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uentas Corrientes\Desktop\Acceso a la Informacion\Documentos No Trabajados\"/>
    </mc:Choice>
  </mc:AlternateContent>
  <bookViews>
    <workbookView xWindow="0" yWindow="0" windowWidth="20490" windowHeight="7755"/>
  </bookViews>
  <sheets>
    <sheet name="Hoja1" sheetId="1" r:id="rId1"/>
    <sheet name="Hoja2" sheetId="2" r:id="rId2"/>
    <sheet name="Esim. ing." sheetId="3" r:id="rId3"/>
    <sheet name="Sumario" sheetId="5" r:id="rId4"/>
    <sheet name="Ing. 2016" sheetId="6" r:id="rId5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4" i="6" l="1"/>
  <c r="J83" i="6"/>
  <c r="J82" i="6"/>
  <c r="C79" i="6"/>
  <c r="J78" i="6"/>
  <c r="J86" i="6" s="1"/>
  <c r="J77" i="6"/>
  <c r="C77" i="6"/>
  <c r="J76" i="6"/>
  <c r="O70" i="6"/>
  <c r="N70" i="6"/>
  <c r="M70" i="6"/>
  <c r="L70" i="6"/>
  <c r="K70" i="6"/>
  <c r="J70" i="6"/>
  <c r="I70" i="6"/>
  <c r="H70" i="6"/>
  <c r="G70" i="6"/>
  <c r="F70" i="6"/>
  <c r="E70" i="6"/>
  <c r="D70" i="6"/>
  <c r="P70" i="6" s="1"/>
  <c r="C83" i="6" s="1"/>
  <c r="P69" i="6"/>
  <c r="O66" i="6"/>
  <c r="N66" i="6"/>
  <c r="M66" i="6"/>
  <c r="L66" i="6"/>
  <c r="K66" i="6"/>
  <c r="J66" i="6"/>
  <c r="I66" i="6"/>
  <c r="H66" i="6"/>
  <c r="G66" i="6"/>
  <c r="F66" i="6"/>
  <c r="E66" i="6"/>
  <c r="D66" i="6"/>
  <c r="P66" i="6" s="1"/>
  <c r="C81" i="6" s="1"/>
  <c r="P65" i="6"/>
  <c r="P64" i="6"/>
  <c r="P63" i="6"/>
  <c r="P62" i="6"/>
  <c r="N55" i="6"/>
  <c r="H55" i="6"/>
  <c r="P49" i="6"/>
  <c r="P48" i="6"/>
  <c r="P45" i="6"/>
  <c r="P44" i="6"/>
  <c r="O43" i="6"/>
  <c r="N43" i="6"/>
  <c r="M43" i="6"/>
  <c r="L43" i="6"/>
  <c r="K43" i="6"/>
  <c r="J43" i="6"/>
  <c r="I43" i="6"/>
  <c r="H43" i="6"/>
  <c r="G43" i="6"/>
  <c r="F43" i="6"/>
  <c r="E43" i="6"/>
  <c r="D43" i="6"/>
  <c r="P43" i="6" s="1"/>
  <c r="P42" i="6"/>
  <c r="O41" i="6"/>
  <c r="N41" i="6"/>
  <c r="M41" i="6"/>
  <c r="L41" i="6"/>
  <c r="K41" i="6"/>
  <c r="J41" i="6"/>
  <c r="I41" i="6"/>
  <c r="H41" i="6"/>
  <c r="G41" i="6"/>
  <c r="F41" i="6"/>
  <c r="E41" i="6"/>
  <c r="D41" i="6"/>
  <c r="P41" i="6" s="1"/>
  <c r="K55" i="6" s="1"/>
  <c r="P40" i="6"/>
  <c r="O39" i="6"/>
  <c r="N39" i="6"/>
  <c r="M39" i="6"/>
  <c r="L39" i="6"/>
  <c r="K39" i="6"/>
  <c r="J39" i="6"/>
  <c r="I39" i="6"/>
  <c r="H39" i="6"/>
  <c r="G39" i="6"/>
  <c r="F39" i="6"/>
  <c r="E39" i="6"/>
  <c r="D39" i="6"/>
  <c r="P39" i="6" s="1"/>
  <c r="P38" i="6"/>
  <c r="O37" i="6"/>
  <c r="N37" i="6"/>
  <c r="M37" i="6"/>
  <c r="L37" i="6"/>
  <c r="K37" i="6"/>
  <c r="J37" i="6"/>
  <c r="I37" i="6"/>
  <c r="H37" i="6"/>
  <c r="G37" i="6"/>
  <c r="F37" i="6"/>
  <c r="E37" i="6"/>
  <c r="D37" i="6"/>
  <c r="P37" i="6" s="1"/>
  <c r="P35" i="6"/>
  <c r="P34" i="6"/>
  <c r="P33" i="6"/>
  <c r="O32" i="6"/>
  <c r="O31" i="6" s="1"/>
  <c r="N32" i="6"/>
  <c r="M32" i="6"/>
  <c r="M31" i="6" s="1"/>
  <c r="L32" i="6"/>
  <c r="K32" i="6"/>
  <c r="K31" i="6" s="1"/>
  <c r="J32" i="6"/>
  <c r="I32" i="6"/>
  <c r="I31" i="6" s="1"/>
  <c r="H32" i="6"/>
  <c r="G32" i="6"/>
  <c r="G31" i="6" s="1"/>
  <c r="F32" i="6"/>
  <c r="E32" i="6"/>
  <c r="E31" i="6" s="1"/>
  <c r="D32" i="6"/>
  <c r="P32" i="6" s="1"/>
  <c r="N31" i="6"/>
  <c r="L31" i="6"/>
  <c r="J31" i="6"/>
  <c r="H31" i="6"/>
  <c r="F31" i="6"/>
  <c r="D31" i="6"/>
  <c r="P30" i="6"/>
  <c r="O28" i="6"/>
  <c r="N28" i="6"/>
  <c r="N27" i="6" s="1"/>
  <c r="M28" i="6"/>
  <c r="L28" i="6"/>
  <c r="L27" i="6" s="1"/>
  <c r="K28" i="6"/>
  <c r="J28" i="6"/>
  <c r="J27" i="6" s="1"/>
  <c r="I28" i="6"/>
  <c r="H28" i="6"/>
  <c r="H27" i="6" s="1"/>
  <c r="G28" i="6"/>
  <c r="F28" i="6"/>
  <c r="F27" i="6" s="1"/>
  <c r="E28" i="6"/>
  <c r="D28" i="6"/>
  <c r="D27" i="6" s="1"/>
  <c r="O27" i="6"/>
  <c r="M27" i="6"/>
  <c r="K27" i="6"/>
  <c r="I27" i="6"/>
  <c r="G27" i="6"/>
  <c r="E27" i="6"/>
  <c r="P26" i="6"/>
  <c r="P25" i="6"/>
  <c r="O24" i="6"/>
  <c r="N24" i="6"/>
  <c r="M24" i="6"/>
  <c r="L24" i="6"/>
  <c r="K24" i="6"/>
  <c r="J24" i="6"/>
  <c r="I24" i="6"/>
  <c r="H24" i="6"/>
  <c r="G24" i="6"/>
  <c r="F24" i="6"/>
  <c r="E24" i="6"/>
  <c r="D24" i="6"/>
  <c r="P24" i="6" s="1"/>
  <c r="P22" i="6"/>
  <c r="P21" i="6"/>
  <c r="O20" i="6"/>
  <c r="N20" i="6"/>
  <c r="M20" i="6"/>
  <c r="M12" i="6" s="1"/>
  <c r="M11" i="6" s="1"/>
  <c r="L20" i="6"/>
  <c r="K20" i="6"/>
  <c r="J20" i="6"/>
  <c r="I20" i="6"/>
  <c r="H20" i="6"/>
  <c r="G20" i="6"/>
  <c r="F20" i="6"/>
  <c r="E20" i="6"/>
  <c r="D20" i="6"/>
  <c r="P20" i="6" s="1"/>
  <c r="P19" i="6"/>
  <c r="P18" i="6"/>
  <c r="P17" i="6"/>
  <c r="O16" i="6"/>
  <c r="N16" i="6"/>
  <c r="M16" i="6"/>
  <c r="L16" i="6"/>
  <c r="K16" i="6"/>
  <c r="J16" i="6"/>
  <c r="I16" i="6"/>
  <c r="H16" i="6"/>
  <c r="G16" i="6"/>
  <c r="F16" i="6"/>
  <c r="E16" i="6"/>
  <c r="D16" i="6"/>
  <c r="P16" i="6" s="1"/>
  <c r="O15" i="6"/>
  <c r="N15" i="6"/>
  <c r="N12" i="6" s="1"/>
  <c r="N11" i="6" s="1"/>
  <c r="M15" i="6"/>
  <c r="L15" i="6"/>
  <c r="L12" i="6" s="1"/>
  <c r="L11" i="6" s="1"/>
  <c r="K15" i="6"/>
  <c r="J15" i="6"/>
  <c r="J12" i="6" s="1"/>
  <c r="J11" i="6" s="1"/>
  <c r="I15" i="6"/>
  <c r="H15" i="6"/>
  <c r="H12" i="6" s="1"/>
  <c r="H11" i="6" s="1"/>
  <c r="G15" i="6"/>
  <c r="F15" i="6"/>
  <c r="F12" i="6" s="1"/>
  <c r="F11" i="6" s="1"/>
  <c r="E15" i="6"/>
  <c r="D15" i="6"/>
  <c r="D12" i="6" s="1"/>
  <c r="P14" i="6"/>
  <c r="P13" i="6"/>
  <c r="O12" i="6"/>
  <c r="O11" i="6" s="1"/>
  <c r="K12" i="6"/>
  <c r="K11" i="6" s="1"/>
  <c r="I12" i="6"/>
  <c r="I11" i="6" s="1"/>
  <c r="G12" i="6"/>
  <c r="G11" i="6" s="1"/>
  <c r="E12" i="6"/>
  <c r="E11" i="6" s="1"/>
  <c r="P10" i="6"/>
  <c r="P9" i="6"/>
  <c r="P8" i="6"/>
  <c r="P7" i="6"/>
  <c r="O6" i="6"/>
  <c r="O5" i="6" s="1"/>
  <c r="O4" i="6" s="1"/>
  <c r="J6" i="6"/>
  <c r="H6" i="6"/>
  <c r="H5" i="6" s="1"/>
  <c r="H4" i="6" s="1"/>
  <c r="G6" i="6"/>
  <c r="F6" i="6"/>
  <c r="P6" i="6" s="1"/>
  <c r="N5" i="6"/>
  <c r="M5" i="6"/>
  <c r="M4" i="6" s="1"/>
  <c r="M52" i="6" s="1"/>
  <c r="L5" i="6"/>
  <c r="K5" i="6"/>
  <c r="K4" i="6" s="1"/>
  <c r="J5" i="6"/>
  <c r="I5" i="6"/>
  <c r="I4" i="6" s="1"/>
  <c r="G5" i="6"/>
  <c r="G4" i="6" s="1"/>
  <c r="G52" i="6" s="1"/>
  <c r="E5" i="6"/>
  <c r="E4" i="6" s="1"/>
  <c r="D5" i="6"/>
  <c r="N4" i="6"/>
  <c r="L4" i="6"/>
  <c r="L52" i="6" s="1"/>
  <c r="J4" i="6"/>
  <c r="D4" i="6"/>
  <c r="D42" i="5"/>
  <c r="D26" i="5"/>
  <c r="P27" i="6" l="1"/>
  <c r="D52" i="6"/>
  <c r="N52" i="6"/>
  <c r="I52" i="6"/>
  <c r="H52" i="6"/>
  <c r="P31" i="6"/>
  <c r="J52" i="6"/>
  <c r="E52" i="6"/>
  <c r="K52" i="6"/>
  <c r="O52" i="6"/>
  <c r="P12" i="6"/>
  <c r="D11" i="6"/>
  <c r="P11" i="6" s="1"/>
  <c r="P4" i="6"/>
  <c r="P15" i="6"/>
  <c r="P28" i="6"/>
  <c r="F5" i="6"/>
  <c r="F4" i="6" s="1"/>
  <c r="F52" i="6" s="1"/>
  <c r="P53" i="6" l="1"/>
  <c r="E55" i="6"/>
  <c r="P55" i="6" s="1"/>
  <c r="P52" i="6"/>
  <c r="C74" i="6"/>
  <c r="P5" i="6"/>
  <c r="I59" i="3" l="1"/>
  <c r="I58" i="3"/>
  <c r="I57" i="3"/>
  <c r="I56" i="3"/>
  <c r="I55" i="3"/>
  <c r="I54" i="3"/>
  <c r="I53" i="3"/>
  <c r="I52" i="3"/>
  <c r="I51" i="3"/>
  <c r="I50" i="3"/>
  <c r="I48" i="3" s="1"/>
  <c r="I47" i="3" s="1"/>
  <c r="I49" i="3"/>
  <c r="F48" i="3"/>
  <c r="E48" i="3"/>
  <c r="E47" i="3" s="1"/>
  <c r="H47" i="3"/>
  <c r="G47" i="3"/>
  <c r="F47" i="3"/>
  <c r="I46" i="3"/>
  <c r="H45" i="3"/>
  <c r="H44" i="3" s="1"/>
  <c r="G45" i="3"/>
  <c r="F45" i="3"/>
  <c r="G44" i="3"/>
  <c r="F44" i="3"/>
  <c r="E44" i="3"/>
  <c r="E45" i="3" s="1"/>
  <c r="I45" i="3" s="1"/>
  <c r="I43" i="3"/>
  <c r="H42" i="3"/>
  <c r="H41" i="3" s="1"/>
  <c r="G42" i="3"/>
  <c r="G41" i="3" s="1"/>
  <c r="F42" i="3"/>
  <c r="E42" i="3"/>
  <c r="I42" i="3" s="1"/>
  <c r="D42" i="3"/>
  <c r="F41" i="3"/>
  <c r="E41" i="3"/>
  <c r="I41" i="3" s="1"/>
  <c r="D41" i="3"/>
  <c r="I40" i="3"/>
  <c r="I39" i="3"/>
  <c r="H39" i="3"/>
  <c r="E39" i="3"/>
  <c r="F38" i="3"/>
  <c r="F31" i="3" s="1"/>
  <c r="H37" i="3"/>
  <c r="E37" i="3"/>
  <c r="E31" i="3" s="1"/>
  <c r="I36" i="3"/>
  <c r="I32" i="3" s="1"/>
  <c r="I34" i="3"/>
  <c r="I33" i="3"/>
  <c r="H32" i="3"/>
  <c r="H31" i="3" s="1"/>
  <c r="E32" i="3"/>
  <c r="D31" i="3"/>
  <c r="F30" i="3"/>
  <c r="G30" i="3" s="1"/>
  <c r="I30" i="3" s="1"/>
  <c r="I29" i="3" s="1"/>
  <c r="I28" i="3" s="1"/>
  <c r="H29" i="3"/>
  <c r="H28" i="3" s="1"/>
  <c r="E29" i="3"/>
  <c r="E28" i="3"/>
  <c r="D28" i="3"/>
  <c r="I27" i="3"/>
  <c r="G26" i="3"/>
  <c r="I26" i="3" s="1"/>
  <c r="I25" i="3" s="1"/>
  <c r="F26" i="3"/>
  <c r="H25" i="3"/>
  <c r="G25" i="3"/>
  <c r="F25" i="3"/>
  <c r="E25" i="3"/>
  <c r="D25" i="3"/>
  <c r="I24" i="3"/>
  <c r="G24" i="3"/>
  <c r="F23" i="3"/>
  <c r="G23" i="3" s="1"/>
  <c r="I23" i="3" s="1"/>
  <c r="F22" i="3"/>
  <c r="G22" i="3" s="1"/>
  <c r="I22" i="3" s="1"/>
  <c r="F21" i="3"/>
  <c r="G21" i="3" s="1"/>
  <c r="I21" i="3" s="1"/>
  <c r="G20" i="3"/>
  <c r="I20" i="3" s="1"/>
  <c r="F20" i="3"/>
  <c r="F19" i="3"/>
  <c r="G19" i="3" s="1"/>
  <c r="I19" i="3" s="1"/>
  <c r="F18" i="3"/>
  <c r="G18" i="3" s="1"/>
  <c r="G17" i="3"/>
  <c r="I17" i="3" s="1"/>
  <c r="F17" i="3"/>
  <c r="F16" i="3"/>
  <c r="G16" i="3" s="1"/>
  <c r="I16" i="3" s="1"/>
  <c r="F15" i="3"/>
  <c r="G15" i="3" s="1"/>
  <c r="I15" i="3" s="1"/>
  <c r="F14" i="3"/>
  <c r="G14" i="3" s="1"/>
  <c r="H13" i="3"/>
  <c r="H12" i="3" s="1"/>
  <c r="E13" i="3"/>
  <c r="E12" i="3" s="1"/>
  <c r="D13" i="3"/>
  <c r="D12" i="3" s="1"/>
  <c r="D60" i="3" s="1"/>
  <c r="G11" i="3"/>
  <c r="I11" i="3" s="1"/>
  <c r="F11" i="3"/>
  <c r="F10" i="3"/>
  <c r="G10" i="3" s="1"/>
  <c r="I10" i="3" s="1"/>
  <c r="F9" i="3"/>
  <c r="G9" i="3" s="1"/>
  <c r="I9" i="3" s="1"/>
  <c r="F8" i="3"/>
  <c r="G8" i="3" s="1"/>
  <c r="H7" i="3"/>
  <c r="H6" i="3" s="1"/>
  <c r="E7" i="3"/>
  <c r="E6" i="3"/>
  <c r="E60" i="3" s="1"/>
  <c r="H64" i="2"/>
  <c r="G64" i="2"/>
  <c r="E64" i="2"/>
  <c r="K61" i="2"/>
  <c r="F61" i="2"/>
  <c r="K60" i="2"/>
  <c r="K59" i="2"/>
  <c r="K58" i="2"/>
  <c r="K57" i="2"/>
  <c r="F57" i="2"/>
  <c r="F56" i="2"/>
  <c r="K56" i="2" s="1"/>
  <c r="K55" i="2"/>
  <c r="F55" i="2"/>
  <c r="F54" i="2"/>
  <c r="K54" i="2" s="1"/>
  <c r="K53" i="2"/>
  <c r="F53" i="2"/>
  <c r="F52" i="2"/>
  <c r="K52" i="2" s="1"/>
  <c r="K51" i="2"/>
  <c r="F51" i="2"/>
  <c r="H50" i="2"/>
  <c r="H49" i="2" s="1"/>
  <c r="H62" i="2" s="1"/>
  <c r="G50" i="2"/>
  <c r="G49" i="2" s="1"/>
  <c r="G62" i="2" s="1"/>
  <c r="E50" i="2"/>
  <c r="D50" i="2"/>
  <c r="F50" i="2" s="1"/>
  <c r="E49" i="2"/>
  <c r="F48" i="2"/>
  <c r="K48" i="2" s="1"/>
  <c r="K47" i="2" s="1"/>
  <c r="K46" i="2" s="1"/>
  <c r="J47" i="2"/>
  <c r="E47" i="2"/>
  <c r="F47" i="2" s="1"/>
  <c r="F63" i="2" s="1"/>
  <c r="J46" i="2"/>
  <c r="D45" i="2"/>
  <c r="F45" i="2" s="1"/>
  <c r="K44" i="2"/>
  <c r="J44" i="2"/>
  <c r="F44" i="2"/>
  <c r="J43" i="2"/>
  <c r="K42" i="2"/>
  <c r="K41" i="2"/>
  <c r="G41" i="2"/>
  <c r="K40" i="2"/>
  <c r="K39" i="2"/>
  <c r="G39" i="2"/>
  <c r="K38" i="2"/>
  <c r="K37" i="2"/>
  <c r="K36" i="2"/>
  <c r="K35" i="2"/>
  <c r="K34" i="2" s="1"/>
  <c r="G34" i="2"/>
  <c r="G33" i="2"/>
  <c r="K32" i="2"/>
  <c r="K31" i="2" s="1"/>
  <c r="K30" i="2" s="1"/>
  <c r="G31" i="2"/>
  <c r="G30" i="2"/>
  <c r="K29" i="2"/>
  <c r="K28" i="2"/>
  <c r="K27" i="2"/>
  <c r="G27" i="2"/>
  <c r="K26" i="2"/>
  <c r="K25" i="2"/>
  <c r="K24" i="2"/>
  <c r="K23" i="2"/>
  <c r="K22" i="2"/>
  <c r="K21" i="2"/>
  <c r="K20" i="2"/>
  <c r="K19" i="2"/>
  <c r="K18" i="2"/>
  <c r="K17" i="2"/>
  <c r="K16" i="2"/>
  <c r="K15" i="2" s="1"/>
  <c r="K14" i="2" s="1"/>
  <c r="G15" i="2"/>
  <c r="G14" i="2"/>
  <c r="K13" i="2"/>
  <c r="K12" i="2"/>
  <c r="K11" i="2"/>
  <c r="K10" i="2"/>
  <c r="K9" i="2"/>
  <c r="G9" i="2"/>
  <c r="G63" i="2" s="1"/>
  <c r="G8" i="2"/>
  <c r="K8" i="2" s="1"/>
  <c r="D75" i="1"/>
  <c r="E74" i="1" s="1"/>
  <c r="F73" i="1" s="1"/>
  <c r="D71" i="1"/>
  <c r="E70" i="1"/>
  <c r="F69" i="1" s="1"/>
  <c r="D67" i="1"/>
  <c r="E66" i="1" s="1"/>
  <c r="F64" i="1" s="1"/>
  <c r="D62" i="1"/>
  <c r="D60" i="1"/>
  <c r="D55" i="1"/>
  <c r="E54" i="1"/>
  <c r="D52" i="1"/>
  <c r="E51" i="1"/>
  <c r="D48" i="1"/>
  <c r="D36" i="1"/>
  <c r="E35" i="1" s="1"/>
  <c r="D30" i="1"/>
  <c r="E29" i="1" s="1"/>
  <c r="G7" i="3" l="1"/>
  <c r="I8" i="3"/>
  <c r="I7" i="3" s="1"/>
  <c r="I6" i="3" s="1"/>
  <c r="G13" i="3"/>
  <c r="G12" i="3" s="1"/>
  <c r="I14" i="3"/>
  <c r="I13" i="3" s="1"/>
  <c r="I12" i="3" s="1"/>
  <c r="H60" i="3"/>
  <c r="I44" i="3"/>
  <c r="G38" i="3"/>
  <c r="F7" i="3"/>
  <c r="F6" i="3" s="1"/>
  <c r="F13" i="3"/>
  <c r="F12" i="3" s="1"/>
  <c r="K33" i="2"/>
  <c r="K50" i="2"/>
  <c r="K63" i="2" s="1"/>
  <c r="F64" i="2"/>
  <c r="K45" i="2"/>
  <c r="K64" i="2" s="1"/>
  <c r="D63" i="2"/>
  <c r="H63" i="2"/>
  <c r="E63" i="2"/>
  <c r="E46" i="2"/>
  <c r="D64" i="2"/>
  <c r="D43" i="2"/>
  <c r="D49" i="2"/>
  <c r="F49" i="2" s="1"/>
  <c r="K49" i="2" s="1"/>
  <c r="F28" i="1"/>
  <c r="F87" i="1" s="1"/>
  <c r="I38" i="3" l="1"/>
  <c r="I37" i="3" s="1"/>
  <c r="I31" i="3" s="1"/>
  <c r="I60" i="3" s="1"/>
  <c r="G31" i="3"/>
  <c r="F60" i="3"/>
  <c r="G6" i="3"/>
  <c r="G60" i="3" s="1"/>
  <c r="E62" i="2"/>
  <c r="F46" i="2"/>
  <c r="D62" i="2"/>
  <c r="F43" i="2"/>
  <c r="K43" i="2" l="1"/>
  <c r="K62" i="2" s="1"/>
  <c r="F62" i="2"/>
</calcChain>
</file>

<file path=xl/comments1.xml><?xml version="1.0" encoding="utf-8"?>
<comments xmlns="http://schemas.openxmlformats.org/spreadsheetml/2006/main">
  <authors>
    <author>Contabilidad</author>
    <author>ExpeUEW7</author>
  </authors>
  <commentList>
    <comment ref="P52" authorId="0" shapeId="0">
      <text>
        <r>
          <rPr>
            <b/>
            <sz val="8"/>
            <rFont val="Tahoma"/>
            <family val="2"/>
          </rPr>
          <t>Contabilidad:</t>
        </r>
        <r>
          <rPr>
            <sz val="8"/>
            <rFont val="Tahoma"/>
            <family val="2"/>
          </rPr>
          <t xml:space="preserve">
suma horizontal
</t>
        </r>
      </text>
    </comment>
    <comment ref="P55" authorId="1" shapeId="0">
      <text>
        <r>
          <rPr>
            <b/>
            <sz val="9"/>
            <rFont val="Tahoma"/>
            <family val="2"/>
          </rPr>
          <t>Nelson Barrera:</t>
        </r>
        <r>
          <rPr>
            <sz val="9"/>
            <rFont val="Tahoma"/>
            <family val="2"/>
          </rPr>
          <t xml:space="preserve">
Entregado en archivo a David Mancia el 02/12/2014</t>
        </r>
      </text>
    </comment>
  </commentList>
</comments>
</file>

<file path=xl/sharedStrings.xml><?xml version="1.0" encoding="utf-8"?>
<sst xmlns="http://schemas.openxmlformats.org/spreadsheetml/2006/main" count="363" uniqueCount="217">
  <si>
    <t>ALCALDIA MUNICIPAL DE SAN JUAN NONUALCO, DEPARTAMENTO DE LA PAZ.</t>
  </si>
  <si>
    <t>PRESUPUESTO AÑO 2019.</t>
  </si>
  <si>
    <t>UNIDAD PRESUPUESTARIA: Dirección Superior, Administración y Finanzas, Servicios Municipales é inversión</t>
  </si>
  <si>
    <t xml:space="preserve"> Pública.</t>
  </si>
  <si>
    <t>LINEA DE TRABAJO: Dirección Superior, Administración y Finanzas, Recolección y Tratamiento de Desechos, Servi</t>
  </si>
  <si>
    <t>cios de Alumbrado Público, Servicios de Registro del Estado Familiar, Registro y Control Tributario de Contribuyentes, Servi</t>
  </si>
  <si>
    <t>cios de Mercado, Rastro, Cementerio y Parque y Servicios  Municipales Diversos, Preinversión, Proyectos de De-</t>
  </si>
  <si>
    <t>sarrollo Social y Amortización del endeudamiento Público.</t>
  </si>
  <si>
    <t>RESPONSABLE: Dirección Superior, Administración y Finanzas, Servicios Municipales é Inversiones Públicas.</t>
  </si>
  <si>
    <t>OBJETIVOS: Ejercer una eficiente coordinación de las líneas y sublíneas de Trabajo, encargadas de la recaudación</t>
  </si>
  <si>
    <t xml:space="preserve"> de Ingresos a fín de hacerla más efectiva; continuar con el proceso de actualización  del Registro y Control Tribu</t>
  </si>
  <si>
    <t>tario Municipal é Implementar las políticas necesarias para la recuperación de la mora por Impuestos y Tasas Mu</t>
  </si>
  <si>
    <t>nicipales para así optimizar los Ingresos.</t>
  </si>
  <si>
    <t xml:space="preserve">PLAN DE TRABAJO: Para lograr los Objetivos citados anteriormente, se hará una reforma a la ordenanza de Tasas </t>
  </si>
  <si>
    <t>y asignarán los recursos que sean necesarios a la Unidad de Registro y Control Tributario Municipal para su efi -</t>
  </si>
  <si>
    <t>ciente funcionamiento.</t>
  </si>
  <si>
    <t>INGRESOS</t>
  </si>
  <si>
    <t>CODIGO</t>
  </si>
  <si>
    <t>DESCRIPCION</t>
  </si>
  <si>
    <t>INGRESOS CORRIENTES</t>
  </si>
  <si>
    <t>IMPUESTOS</t>
  </si>
  <si>
    <t>IMPUESTOS MUNICIPALES</t>
  </si>
  <si>
    <t>Comercio</t>
  </si>
  <si>
    <t>Industria</t>
  </si>
  <si>
    <t>Transporte</t>
  </si>
  <si>
    <t>Vialidades</t>
  </si>
  <si>
    <t>TASAS Y DERECHOS</t>
  </si>
  <si>
    <t>TASAS</t>
  </si>
  <si>
    <t>Servicios de Certificación o Visado de Doc.</t>
  </si>
  <si>
    <t>Expedición de Documentos de Identificación</t>
  </si>
  <si>
    <t>Alumbrado Público</t>
  </si>
  <si>
    <t>Aseo Público</t>
  </si>
  <si>
    <t>Cementerios Municipales</t>
  </si>
  <si>
    <t xml:space="preserve">Fiestas </t>
  </si>
  <si>
    <t xml:space="preserve">Mercado </t>
  </si>
  <si>
    <t>Pavimentación</t>
  </si>
  <si>
    <t>Postes, Torres y Antenas</t>
  </si>
  <si>
    <t>Rastro y tiangue</t>
  </si>
  <si>
    <t>Tasas Diversas</t>
  </si>
  <si>
    <t>DERECHOS</t>
  </si>
  <si>
    <t>Permisos y Licencias Municipales</t>
  </si>
  <si>
    <t>Cotejo de Fierros</t>
  </si>
  <si>
    <t>VENTA DE BIENES Y SERVICIOS</t>
  </si>
  <si>
    <t>ingresos por prestacion de servicios púb.</t>
  </si>
  <si>
    <t>Servicios Básicos</t>
  </si>
  <si>
    <t>INGRESOS FINANCIEROS Y OTROS</t>
  </si>
  <si>
    <t>MULTAS E INTERESES POR MORA</t>
  </si>
  <si>
    <t>Multas por Mora de Impuestos</t>
  </si>
  <si>
    <t>Intereses por mora de Impuestos</t>
  </si>
  <si>
    <t>Multas por Registro del Estado Familiar</t>
  </si>
  <si>
    <t>Otras Multas Municipales</t>
  </si>
  <si>
    <t>ARRENDAMIENTO DE BIENES</t>
  </si>
  <si>
    <t>Arrendamientos de Bienes Inmuebles</t>
  </si>
  <si>
    <t>OTROS INGRESOS NO CLASIFICADOS</t>
  </si>
  <si>
    <t>Ingresos Diversos</t>
  </si>
  <si>
    <t>ASIGNACION FODES ANUAL</t>
  </si>
  <si>
    <t>ASIGNACION FODES-ISDEM 25%.</t>
  </si>
  <si>
    <t>TRANSFERENCIAS CORRIENTES</t>
  </si>
  <si>
    <t>TRANSFERENCIAS CORRIENTES DEL SECTOR PUB.</t>
  </si>
  <si>
    <t>Transferencias corrientes del sector público</t>
  </si>
  <si>
    <t>ASIGNACION FODES-ISDEM 75%.</t>
  </si>
  <si>
    <t>TRANSFERENCIAS DE CAPITAL</t>
  </si>
  <si>
    <t>TRANSFERENCIAS DE CAPITAL DEL SECTOR PUB.</t>
  </si>
  <si>
    <t>Transferencias de capital del sector público (FODES)</t>
  </si>
  <si>
    <t>ENDEUDAMIENTO PUBLICO</t>
  </si>
  <si>
    <t>SALDOS DE AÑOS ANTERIORES</t>
  </si>
  <si>
    <t>SALDOS INICIALES EN CAJA Y BANCOS</t>
  </si>
  <si>
    <t xml:space="preserve"> Fondo Municipal Cta. Cte. 00150138275</t>
  </si>
  <si>
    <t>Mant. de  transp. y recolec. Cta. Cte. 00150139131</t>
  </si>
  <si>
    <t>75% inversiones  FODES Cta. Cte. 00150138259</t>
  </si>
  <si>
    <t>75% inversiones  FODES Cuota de Diciembre 2018</t>
  </si>
  <si>
    <t>Saldos inicial 25% FODES. Cta. 00150138267</t>
  </si>
  <si>
    <t>25% FODES. Cuota del mes de Diciembre de 2018</t>
  </si>
  <si>
    <t>Cuenta de ahorro 75% FODES Cta. 01150516370</t>
  </si>
  <si>
    <t>5% Fiestas Patronales Cta. Cte. No. 00150144216</t>
  </si>
  <si>
    <t>Remanente reest. pasivos C. Cte. 00150147711</t>
  </si>
  <si>
    <t>Obras y Compra maquinaria C. Cte.00150146545</t>
  </si>
  <si>
    <t>Dispon. Pav. H. C. San Simón Cta. Cte. 00150146090</t>
  </si>
  <si>
    <t>DEPARTAMENTO DE LA PAZ</t>
  </si>
  <si>
    <t>PRESUPUESTO DE INGRESOS PARA EL AÑO 2019</t>
  </si>
  <si>
    <t>(En Dolares de los Estados Unidos de América)</t>
  </si>
  <si>
    <t>Cuenta Objeto Especifico</t>
  </si>
  <si>
    <t>FONDO GENERAL</t>
  </si>
  <si>
    <t>CONCEPTO DE INGRESO</t>
  </si>
  <si>
    <t>FODES 25%</t>
  </si>
  <si>
    <t xml:space="preserve"> FODES 75%</t>
  </si>
  <si>
    <t>SUB TOTAL</t>
  </si>
  <si>
    <t>Fondos Propios Municipales</t>
  </si>
  <si>
    <t>Prestamos Externos</t>
  </si>
  <si>
    <t>Prestamos Internos</t>
  </si>
  <si>
    <t>DONACIONES</t>
  </si>
  <si>
    <t>TOTAL</t>
  </si>
  <si>
    <t>Fiestas</t>
  </si>
  <si>
    <t>Mercado</t>
  </si>
  <si>
    <t>Rastro y Tiangue</t>
  </si>
  <si>
    <t>VENTAS DE BIENES Y SERVICIOS</t>
  </si>
  <si>
    <t>Ingresos por prestación de servicios públicos</t>
  </si>
  <si>
    <t>Multas e Intereses por Mora</t>
  </si>
  <si>
    <t xml:space="preserve">Multas por Mora de Impuestos </t>
  </si>
  <si>
    <t>Intereses por  Mora de Impuestos</t>
  </si>
  <si>
    <t>Arrendamiento de   Bienes inmuebles</t>
  </si>
  <si>
    <t>TRANSFERENCIAS CORRIENTES DEL SECT. PUB.</t>
  </si>
  <si>
    <t>Transf. Corrientes del Sector Público</t>
  </si>
  <si>
    <t>|</t>
  </si>
  <si>
    <t>TRANSF. DE CAPITAL DEL SECTOR PUBLICO</t>
  </si>
  <si>
    <t>Transf. De Capital del Sector Público (FODES)</t>
  </si>
  <si>
    <t>SALDOS INICIALES EN CAJA  Y BANCOS</t>
  </si>
  <si>
    <t>75% inversiones  FODES Cta. Cte. 00150138259, enel Banco</t>
  </si>
  <si>
    <t xml:space="preserve"> </t>
  </si>
  <si>
    <t>TOTAL RUBRO DE AGRUPACION</t>
  </si>
  <si>
    <t>TOTAL CUENTA PRESUPUESTARIA</t>
  </si>
  <si>
    <t>TOTAL OBJETO ESPECIFICO</t>
  </si>
  <si>
    <t>.</t>
  </si>
  <si>
    <t>PRESUPUESTO MUNICIPAL 2019</t>
  </si>
  <si>
    <t>CUADRO GENERAL DE INGRESOS POTENCIALES  Y REALES DEL PERIODO COMPRENDIDO DEL 01 DE OCTUBRE DE 2016 AL 30 DE SEPTIEMBRE DE 2017.</t>
  </si>
  <si>
    <t>FUENTE ESPECIFICA</t>
  </si>
  <si>
    <t>1 POTENCIALES</t>
  </si>
  <si>
    <t>2             REALES</t>
  </si>
  <si>
    <t>1-2</t>
  </si>
  <si>
    <t>RECUPERACION MORA 40%</t>
  </si>
  <si>
    <t>NUEVOS CONTRIBUYENTES</t>
  </si>
  <si>
    <t>ESTIMADO</t>
  </si>
  <si>
    <t>JUSTIFICACION</t>
  </si>
  <si>
    <t xml:space="preserve">Se aplicara la nor </t>
  </si>
  <si>
    <t>mativa aprobada</t>
  </si>
  <si>
    <t>Ley de Impuestos</t>
  </si>
  <si>
    <t>Vialidad</t>
  </si>
  <si>
    <t>Municipales</t>
  </si>
  <si>
    <t>Se proyecta refor</t>
  </si>
  <si>
    <t>mar en el ejercicio</t>
  </si>
  <si>
    <t>2018 la Ordenanza</t>
  </si>
  <si>
    <t xml:space="preserve">Reguladora de </t>
  </si>
  <si>
    <t>Tasas Municipales</t>
  </si>
  <si>
    <t>Servicios Basicos</t>
  </si>
  <si>
    <t>ARRENDAMIENTO DE BIENES INMUEBLES</t>
  </si>
  <si>
    <t>Transf. De Capital del Sector Público</t>
  </si>
  <si>
    <t>SUMAN</t>
  </si>
  <si>
    <t>PRESUPUESTO MUNICIPAL AÑO 2019</t>
  </si>
  <si>
    <t>MUNICIPALIDAD DE SAN JUAN NONUALCO DEPARTAMENTO LA PAZ</t>
  </si>
  <si>
    <t xml:space="preserve">DECRETO NUMERO 8. </t>
  </si>
  <si>
    <t>EL CONCEJO MUNICIPAL DE LA CIUDAD DE SAN JUAN NONUALCO, DEPARTAMENTO DE LA PAZ.</t>
  </si>
  <si>
    <t xml:space="preserve">En uso de las facultades que le confiere el Artículo 30, numeral 7 del Código Municipal, relacionados </t>
  </si>
  <si>
    <t xml:space="preserve">con los Artículos 72, 73, 74, 75, 76, 77 y 3 numeral 2; del mismo Código: </t>
  </si>
  <si>
    <t>DECRETA:</t>
  </si>
  <si>
    <t xml:space="preserve">LA ORDENANZA DEL PRESUPUESTO MUNICIPAL, para el Ejercicio que Inicia el uno de enero y finaliza </t>
  </si>
  <si>
    <t>el treinta y uno de  diciembre del año dos mil diecinueve, así:</t>
  </si>
  <si>
    <t xml:space="preserve">Art. 1. Apruebase el Presupuesto de Ingresos y Egresos con sus Disposiciones Generales, el cual se </t>
  </si>
  <si>
    <t xml:space="preserve">ha estructurado aplicando el enfoque por Areas de Gestión, para mostrar con mayor claridad y en </t>
  </si>
  <si>
    <t>forma  específica el origen y destino de los recursos tal como se plantea a continación:</t>
  </si>
  <si>
    <t>SUMARIO DE INGRESOS Y EGRESOS</t>
  </si>
  <si>
    <t>PARTE PRIMERA:  INGRESOS</t>
  </si>
  <si>
    <t>MONTO</t>
  </si>
  <si>
    <t>INGRESOS DE CAPITAL</t>
  </si>
  <si>
    <t>PARTE SEGUNDA:  EGRESOS.</t>
  </si>
  <si>
    <t>EGRESOS</t>
  </si>
  <si>
    <t>01</t>
  </si>
  <si>
    <t>DIRECCION Y ADMINISTRACION MUNICIPAL</t>
  </si>
  <si>
    <t>0101</t>
  </si>
  <si>
    <t>DIRECCION Y ADMINISTRACION SUPERIOR</t>
  </si>
  <si>
    <t>0102</t>
  </si>
  <si>
    <t>ADMINISTRACION FINANCIERA Y TRIBUTARIA</t>
  </si>
  <si>
    <t>02</t>
  </si>
  <si>
    <t>SERVICIOS MUNICIPALES</t>
  </si>
  <si>
    <t>0201-0202</t>
  </si>
  <si>
    <t>SERVICIOS INTERNOS  y EXTERNOS</t>
  </si>
  <si>
    <t>FODES 75% INVERSIONES</t>
  </si>
  <si>
    <t>03</t>
  </si>
  <si>
    <t>INVERSION PARA EL DESARROLLO SOCIAL</t>
  </si>
  <si>
    <t>0302</t>
  </si>
  <si>
    <t>FORTALECIMIENTO PARA EL DESARROLLO SOCIAL</t>
  </si>
  <si>
    <t>APOYO PARA EL DESARROLLO ECONOMICO</t>
  </si>
  <si>
    <t>0401</t>
  </si>
  <si>
    <t>INFRAESTRUCTURA PARA EL DESARROLLO ECONOMICO</t>
  </si>
  <si>
    <t>05</t>
  </si>
  <si>
    <t>DEUDA PUBLICA</t>
  </si>
  <si>
    <t>0501</t>
  </si>
  <si>
    <t>AMORTIZACIÓN DE LA DEUDA PUBLICA</t>
  </si>
  <si>
    <t>CUADRO GENERAL DE INGRESOS  REALES DEL 01 DE OCTUBRE 2015  AL 30 DE SEPTIEMBRE DE 2016, DE LA MUNICIPALIDAD DE SAN JUAN NONUALCO, DEPARTAMENTO DE LA PAZ.</t>
  </si>
  <si>
    <t>CONCEPTO</t>
  </si>
  <si>
    <t xml:space="preserve">De Comercio </t>
  </si>
  <si>
    <t>De Industria</t>
  </si>
  <si>
    <t>Bares y Restaurantes</t>
  </si>
  <si>
    <t>Por Servicios de Certificación o Visado de Docu.</t>
  </si>
  <si>
    <t>Por Expedición de Documentos de Identificación</t>
  </si>
  <si>
    <t>Mercados</t>
  </si>
  <si>
    <t>Ingresos por Prestación de Servicios Públicos</t>
  </si>
  <si>
    <t>Servicios Vásicos</t>
  </si>
  <si>
    <t>Servicios Diversos</t>
  </si>
  <si>
    <t>Intereses por de Impuestos</t>
  </si>
  <si>
    <t>Arrendamiento de Bienes</t>
  </si>
  <si>
    <t>Arrendamiento de Bienes Inmuebles</t>
  </si>
  <si>
    <t>Otros Ingresos no Clasificados</t>
  </si>
  <si>
    <t>Transferencias Corrientes del Sector Público</t>
  </si>
  <si>
    <t>Transferencias de Capital del Sector Público</t>
  </si>
  <si>
    <t>Proyecto de Fortalecimiento de los  Gobiernos Locales</t>
  </si>
  <si>
    <t>C1</t>
  </si>
  <si>
    <t>Proyectos de Infraestructura</t>
  </si>
  <si>
    <t>C2</t>
  </si>
  <si>
    <t>Proyectos Para Prevencion de Riesgos</t>
  </si>
  <si>
    <t>Prestamos FIDEMUNI</t>
  </si>
  <si>
    <t>Prestamos CAJA DE CRED. SAN VICENTE</t>
  </si>
  <si>
    <t>Multi Inversiones Banco Cooperativo</t>
  </si>
  <si>
    <t>FDO. PROP.</t>
  </si>
  <si>
    <t>FDOS. PFGL</t>
  </si>
  <si>
    <t>100% FODES</t>
  </si>
  <si>
    <t>PRESTAMOS</t>
  </si>
  <si>
    <t>GRAN TOTAL</t>
  </si>
  <si>
    <t>COBROS POR DELSUR, S. A DE C. V.</t>
  </si>
  <si>
    <t>PAGOS POR ARRENDAMENTO POR PNC</t>
  </si>
  <si>
    <t>25% FODES</t>
  </si>
  <si>
    <t>OCT-DIC</t>
  </si>
  <si>
    <t>75% FODES</t>
  </si>
  <si>
    <t>TOTAL FODES</t>
  </si>
  <si>
    <t>DELSUR</t>
  </si>
  <si>
    <t>ENE-SEPT.</t>
  </si>
  <si>
    <t>PNC</t>
  </si>
  <si>
    <t>GRAN TOTAL FODES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</si>
</sst>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[$$-409]* #,##0.00_);_([$$-409]* \(#,##0.00\);_([$$-409]* &quot;-&quot;??_);_(@_)"/>
    <numFmt numFmtId="165" formatCode="_(&quot;$&quot;* #,##0.00_);_(&quot;$&quot;* \(#,##0.00\);_(&quot;$&quot;* &quot;-&quot;??_);_(@_)"/>
    <numFmt numFmtId="166" formatCode="_-[$$-409]* #,##0.00_ ;_-[$$-409]* \-#,##0.00\ ;_-[$$-409]* &quot;-&quot;??_ ;_-@_ "/>
  </numFmts>
  <fonts count="4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.5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9"/>
      <color theme="1"/>
      <name val="Calibri"/>
      <family val="2"/>
      <scheme val="minor"/>
    </font>
    <font>
      <u val="singleAccounting"/>
      <sz val="9"/>
      <color theme="1"/>
      <name val="Calibri"/>
      <family val="2"/>
      <scheme val="minor"/>
    </font>
    <font>
      <b/>
      <u val="singleAccounting"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3" tint="0.79995117038483843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9.5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0"/>
      <name val="Tahoma"/>
      <family val="2"/>
    </font>
    <font>
      <sz val="10"/>
      <name val="Arial"/>
      <family val="2"/>
    </font>
    <font>
      <b/>
      <sz val="10"/>
      <name val="Tahoma"/>
      <family val="2"/>
    </font>
    <font>
      <b/>
      <sz val="16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14"/>
      <name val="Tahoma"/>
      <family val="2"/>
    </font>
    <font>
      <sz val="10"/>
      <color indexed="10"/>
      <name val="Arial"/>
      <family val="2"/>
    </font>
    <font>
      <sz val="8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sz val="9"/>
      <name val="Tahoma"/>
      <family val="2"/>
    </font>
    <font>
      <b/>
      <sz val="8"/>
      <name val="Tahoma"/>
      <family val="2"/>
    </font>
    <font>
      <sz val="8"/>
      <name val="Tahoma"/>
      <family val="2"/>
    </font>
    <font>
      <b/>
      <sz val="9"/>
      <name val="Tahoma"/>
      <family val="2"/>
    </font>
  </fonts>
  <fills count="20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66FFFF"/>
        <bgColor indexed="64"/>
      </patternFill>
    </fill>
  </fills>
  <borders count="37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12">
    <xf numFmtId="0" fontId="0" fillId="0" borderId="0" xfId="0"/>
    <xf numFmtId="0" fontId="0" fillId="0" borderId="0" xfId="0" applyFill="1"/>
    <xf numFmtId="0" fontId="3" fillId="0" borderId="0" xfId="0" applyFont="1" applyFill="1" applyAlignment="1">
      <alignment vertical="center"/>
    </xf>
    <xf numFmtId="0" fontId="4" fillId="0" borderId="0" xfId="0" applyFont="1" applyAlignment="1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2" fillId="0" borderId="0" xfId="0" applyFont="1" applyFill="1"/>
    <xf numFmtId="0" fontId="2" fillId="0" borderId="0" xfId="0" applyFont="1"/>
    <xf numFmtId="0" fontId="6" fillId="0" borderId="10" xfId="0" applyFont="1" applyBorder="1" applyAlignment="1">
      <alignment horizontal="center"/>
    </xf>
    <xf numFmtId="0" fontId="6" fillId="0" borderId="10" xfId="0" applyFont="1" applyBorder="1"/>
    <xf numFmtId="164" fontId="6" fillId="0" borderId="10" xfId="0" applyNumberFormat="1" applyFont="1" applyBorder="1"/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164" fontId="6" fillId="0" borderId="11" xfId="0" applyNumberFormat="1" applyFont="1" applyBorder="1"/>
    <xf numFmtId="0" fontId="7" fillId="0" borderId="11" xfId="0" applyFont="1" applyBorder="1" applyAlignment="1">
      <alignment horizontal="center"/>
    </xf>
    <xf numFmtId="0" fontId="7" fillId="0" borderId="11" xfId="0" applyFont="1" applyBorder="1"/>
    <xf numFmtId="164" fontId="7" fillId="0" borderId="11" xfId="0" applyNumberFormat="1" applyFont="1" applyBorder="1"/>
    <xf numFmtId="164" fontId="8" fillId="0" borderId="11" xfId="0" applyNumberFormat="1" applyFont="1" applyBorder="1"/>
    <xf numFmtId="0" fontId="7" fillId="0" borderId="10" xfId="0" applyFont="1" applyBorder="1" applyAlignment="1">
      <alignment horizontal="center"/>
    </xf>
    <xf numFmtId="0" fontId="7" fillId="0" borderId="10" xfId="0" applyFont="1" applyBorder="1"/>
    <xf numFmtId="164" fontId="7" fillId="0" borderId="10" xfId="0" applyNumberFormat="1" applyFont="1" applyBorder="1"/>
    <xf numFmtId="0" fontId="7" fillId="0" borderId="12" xfId="0" applyFont="1" applyBorder="1" applyAlignment="1">
      <alignment horizontal="center"/>
    </xf>
    <xf numFmtId="0" fontId="7" fillId="0" borderId="12" xfId="0" applyFont="1" applyBorder="1"/>
    <xf numFmtId="164" fontId="7" fillId="0" borderId="12" xfId="0" applyNumberFormat="1" applyFont="1" applyBorder="1"/>
    <xf numFmtId="164" fontId="9" fillId="0" borderId="11" xfId="0" applyNumberFormat="1" applyFont="1" applyBorder="1"/>
    <xf numFmtId="164" fontId="10" fillId="0" borderId="11" xfId="0" applyNumberFormat="1" applyFont="1" applyBorder="1"/>
    <xf numFmtId="0" fontId="2" fillId="0" borderId="11" xfId="0" applyFont="1" applyBorder="1"/>
    <xf numFmtId="0" fontId="11" fillId="4" borderId="11" xfId="0" applyFont="1" applyFill="1" applyBorder="1" applyAlignment="1">
      <alignment horizontal="center"/>
    </xf>
    <xf numFmtId="0" fontId="11" fillId="4" borderId="11" xfId="0" applyFont="1" applyFill="1" applyBorder="1"/>
    <xf numFmtId="164" fontId="11" fillId="0" borderId="11" xfId="0" applyNumberFormat="1" applyFont="1" applyBorder="1"/>
    <xf numFmtId="0" fontId="11" fillId="0" borderId="11" xfId="0" applyFont="1" applyBorder="1" applyAlignment="1">
      <alignment horizontal="center"/>
    </xf>
    <xf numFmtId="0" fontId="11" fillId="0" borderId="11" xfId="0" applyFont="1" applyBorder="1"/>
    <xf numFmtId="0" fontId="11" fillId="0" borderId="10" xfId="0" applyFont="1" applyBorder="1"/>
    <xf numFmtId="164" fontId="11" fillId="0" borderId="10" xfId="0" applyNumberFormat="1" applyFont="1" applyBorder="1"/>
    <xf numFmtId="0" fontId="11" fillId="0" borderId="12" xfId="0" applyFont="1" applyBorder="1"/>
    <xf numFmtId="164" fontId="11" fillId="0" borderId="12" xfId="0" applyNumberFormat="1" applyFont="1" applyBorder="1"/>
    <xf numFmtId="164" fontId="3" fillId="3" borderId="8" xfId="0" applyNumberFormat="1" applyFont="1" applyFill="1" applyBorder="1"/>
    <xf numFmtId="164" fontId="2" fillId="3" borderId="9" xfId="0" applyNumberFormat="1" applyFont="1" applyFill="1" applyBorder="1"/>
    <xf numFmtId="0" fontId="12" fillId="0" borderId="0" xfId="0" applyFont="1" applyFill="1"/>
    <xf numFmtId="0" fontId="12" fillId="0" borderId="0" xfId="0" applyFont="1"/>
    <xf numFmtId="0" fontId="0" fillId="0" borderId="0" xfId="0" applyAlignment="1">
      <alignment horizontal="center"/>
    </xf>
    <xf numFmtId="0" fontId="0" fillId="0" borderId="0" xfId="0" applyNumberFormat="1"/>
    <xf numFmtId="0" fontId="2" fillId="0" borderId="1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3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49" fontId="2" fillId="0" borderId="10" xfId="0" applyNumberFormat="1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11" xfId="0" applyFont="1" applyBorder="1" applyAlignment="1">
      <alignment horizontal="center"/>
    </xf>
    <xf numFmtId="0" fontId="0" fillId="0" borderId="11" xfId="0" applyFont="1" applyBorder="1"/>
    <xf numFmtId="164" fontId="0" fillId="0" borderId="11" xfId="0" applyNumberFormat="1" applyFont="1" applyBorder="1"/>
    <xf numFmtId="0" fontId="0" fillId="0" borderId="11" xfId="0" applyBorder="1"/>
    <xf numFmtId="164" fontId="0" fillId="0" borderId="11" xfId="0" applyNumberFormat="1" applyFont="1" applyBorder="1" applyAlignment="1">
      <alignment vertical="center"/>
    </xf>
    <xf numFmtId="164" fontId="0" fillId="0" borderId="10" xfId="0" applyNumberFormat="1" applyFont="1" applyBorder="1"/>
    <xf numFmtId="164" fontId="0" fillId="0" borderId="0" xfId="0" applyNumberFormat="1" applyFont="1" applyBorder="1"/>
    <xf numFmtId="164" fontId="0" fillId="4" borderId="11" xfId="0" applyNumberFormat="1" applyFont="1" applyFill="1" applyBorder="1"/>
    <xf numFmtId="0" fontId="0" fillId="0" borderId="12" xfId="0" applyFont="1" applyBorder="1" applyAlignment="1">
      <alignment horizontal="center"/>
    </xf>
    <xf numFmtId="0" fontId="0" fillId="0" borderId="12" xfId="0" applyFont="1" applyBorder="1"/>
    <xf numFmtId="164" fontId="0" fillId="0" borderId="12" xfId="0" applyNumberFormat="1" applyFont="1" applyBorder="1"/>
    <xf numFmtId="0" fontId="2" fillId="4" borderId="0" xfId="0" applyFont="1" applyFill="1"/>
    <xf numFmtId="164" fontId="0" fillId="4" borderId="12" xfId="0" applyNumberFormat="1" applyFont="1" applyFill="1" applyBorder="1"/>
    <xf numFmtId="164" fontId="15" fillId="4" borderId="12" xfId="0" applyNumberFormat="1" applyFont="1" applyFill="1" applyBorder="1"/>
    <xf numFmtId="0" fontId="0" fillId="0" borderId="12" xfId="0" applyNumberFormat="1" applyBorder="1"/>
    <xf numFmtId="0" fontId="0" fillId="0" borderId="11" xfId="0" applyNumberFormat="1" applyBorder="1"/>
    <xf numFmtId="164" fontId="16" fillId="0" borderId="11" xfId="0" applyNumberFormat="1" applyFont="1" applyBorder="1"/>
    <xf numFmtId="164" fontId="16" fillId="0" borderId="10" xfId="0" applyNumberFormat="1" applyFont="1" applyBorder="1"/>
    <xf numFmtId="0" fontId="16" fillId="0" borderId="0" xfId="0" applyFont="1"/>
    <xf numFmtId="164" fontId="16" fillId="0" borderId="12" xfId="0" applyNumberFormat="1" applyFont="1" applyBorder="1"/>
    <xf numFmtId="165" fontId="16" fillId="0" borderId="11" xfId="0" applyNumberFormat="1" applyFont="1" applyBorder="1"/>
    <xf numFmtId="0" fontId="16" fillId="0" borderId="11" xfId="0" applyFont="1" applyBorder="1"/>
    <xf numFmtId="0" fontId="13" fillId="0" borderId="0" xfId="0" applyFont="1"/>
    <xf numFmtId="164" fontId="2" fillId="0" borderId="0" xfId="0" applyNumberFormat="1" applyFont="1"/>
    <xf numFmtId="164" fontId="0" fillId="0" borderId="0" xfId="0" applyNumberFormat="1"/>
    <xf numFmtId="0" fontId="17" fillId="4" borderId="0" xfId="0" applyFont="1" applyFill="1" applyBorder="1"/>
    <xf numFmtId="166" fontId="3" fillId="0" borderId="0" xfId="0" applyNumberFormat="1" applyFont="1" applyBorder="1" applyAlignment="1"/>
    <xf numFmtId="0" fontId="1" fillId="0" borderId="0" xfId="0" applyNumberFormat="1" applyFont="1"/>
    <xf numFmtId="0" fontId="6" fillId="7" borderId="11" xfId="0" applyFont="1" applyFill="1" applyBorder="1" applyAlignment="1">
      <alignment horizontal="center"/>
    </xf>
    <xf numFmtId="0" fontId="6" fillId="7" borderId="11" xfId="0" applyFont="1" applyFill="1" applyBorder="1"/>
    <xf numFmtId="164" fontId="6" fillId="7" borderId="11" xfId="0" applyNumberFormat="1" applyFont="1" applyFill="1" applyBorder="1"/>
    <xf numFmtId="0" fontId="0" fillId="4" borderId="0" xfId="0" applyFill="1"/>
    <xf numFmtId="0" fontId="6" fillId="8" borderId="11" xfId="0" applyFont="1" applyFill="1" applyBorder="1" applyAlignment="1">
      <alignment horizontal="center"/>
    </xf>
    <xf numFmtId="0" fontId="6" fillId="8" borderId="11" xfId="0" applyFont="1" applyFill="1" applyBorder="1"/>
    <xf numFmtId="164" fontId="6" fillId="8" borderId="11" xfId="0" applyNumberFormat="1" applyFont="1" applyFill="1" applyBorder="1"/>
    <xf numFmtId="0" fontId="7" fillId="8" borderId="11" xfId="0" applyFont="1" applyFill="1" applyBorder="1"/>
    <xf numFmtId="0" fontId="6" fillId="5" borderId="11" xfId="0" applyFont="1" applyFill="1" applyBorder="1" applyAlignment="1">
      <alignment horizontal="center"/>
    </xf>
    <xf numFmtId="0" fontId="6" fillId="5" borderId="11" xfId="0" applyFont="1" applyFill="1" applyBorder="1"/>
    <xf numFmtId="164" fontId="6" fillId="5" borderId="11" xfId="0" applyNumberFormat="1" applyFont="1" applyFill="1" applyBorder="1"/>
    <xf numFmtId="0" fontId="7" fillId="5" borderId="11" xfId="0" applyFont="1" applyFill="1" applyBorder="1"/>
    <xf numFmtId="0" fontId="7" fillId="0" borderId="11" xfId="0" applyFont="1" applyBorder="1" applyAlignment="1"/>
    <xf numFmtId="164" fontId="7" fillId="8" borderId="11" xfId="0" applyNumberFormat="1" applyFont="1" applyFill="1" applyBorder="1"/>
    <xf numFmtId="164" fontId="7" fillId="5" borderId="11" xfId="0" applyNumberFormat="1" applyFont="1" applyFill="1" applyBorder="1"/>
    <xf numFmtId="164" fontId="6" fillId="5" borderId="0" xfId="0" applyNumberFormat="1" applyFont="1" applyFill="1"/>
    <xf numFmtId="0" fontId="7" fillId="4" borderId="11" xfId="0" applyFont="1" applyFill="1" applyBorder="1" applyAlignment="1">
      <alignment horizontal="center"/>
    </xf>
    <xf numFmtId="0" fontId="7" fillId="4" borderId="11" xfId="0" applyFont="1" applyFill="1" applyBorder="1"/>
    <xf numFmtId="164" fontId="7" fillId="4" borderId="11" xfId="0" applyNumberFormat="1" applyFont="1" applyFill="1" applyBorder="1"/>
    <xf numFmtId="0" fontId="6" fillId="5" borderId="12" xfId="0" applyFont="1" applyFill="1" applyBorder="1" applyAlignment="1">
      <alignment horizontal="center"/>
    </xf>
    <xf numFmtId="0" fontId="6" fillId="5" borderId="12" xfId="0" applyFont="1" applyFill="1" applyBorder="1"/>
    <xf numFmtId="164" fontId="6" fillId="5" borderId="12" xfId="0" applyNumberFormat="1" applyFont="1" applyFill="1" applyBorder="1"/>
    <xf numFmtId="164" fontId="7" fillId="5" borderId="12" xfId="0" applyNumberFormat="1" applyFont="1" applyFill="1" applyBorder="1"/>
    <xf numFmtId="0" fontId="7" fillId="4" borderId="10" xfId="0" applyFont="1" applyFill="1" applyBorder="1" applyAlignment="1">
      <alignment horizontal="center"/>
    </xf>
    <xf numFmtId="0" fontId="7" fillId="4" borderId="10" xfId="0" applyFont="1" applyFill="1" applyBorder="1"/>
    <xf numFmtId="164" fontId="7" fillId="4" borderId="10" xfId="0" applyNumberFormat="1" applyFont="1" applyFill="1" applyBorder="1"/>
    <xf numFmtId="164" fontId="6" fillId="4" borderId="11" xfId="0" applyNumberFormat="1" applyFont="1" applyFill="1" applyBorder="1"/>
    <xf numFmtId="164" fontId="11" fillId="4" borderId="11" xfId="0" applyNumberFormat="1" applyFont="1" applyFill="1" applyBorder="1"/>
    <xf numFmtId="0" fontId="19" fillId="0" borderId="11" xfId="0" applyFont="1" applyBorder="1"/>
    <xf numFmtId="164" fontId="2" fillId="2" borderId="11" xfId="0" applyNumberFormat="1" applyFont="1" applyFill="1" applyBorder="1"/>
    <xf numFmtId="0" fontId="0" fillId="0" borderId="0" xfId="0" applyFont="1" applyFill="1" applyBorder="1"/>
    <xf numFmtId="164" fontId="21" fillId="0" borderId="0" xfId="0" applyNumberFormat="1" applyFont="1"/>
    <xf numFmtId="164" fontId="20" fillId="4" borderId="0" xfId="0" applyNumberFormat="1" applyFont="1" applyFill="1" applyBorder="1"/>
    <xf numFmtId="164" fontId="7" fillId="0" borderId="0" xfId="0" applyNumberFormat="1" applyFont="1"/>
    <xf numFmtId="0" fontId="0" fillId="0" borderId="0" xfId="0" applyFill="1" applyBorder="1"/>
    <xf numFmtId="0" fontId="2" fillId="0" borderId="0" xfId="0" applyFont="1" applyFill="1" applyBorder="1"/>
    <xf numFmtId="164" fontId="13" fillId="0" borderId="0" xfId="0" applyNumberFormat="1" applyFont="1"/>
    <xf numFmtId="0" fontId="6" fillId="10" borderId="11" xfId="0" applyFont="1" applyFill="1" applyBorder="1" applyAlignment="1">
      <alignment horizontal="center" vertical="center" wrapText="1"/>
    </xf>
    <xf numFmtId="49" fontId="6" fillId="10" borderId="11" xfId="0" applyNumberFormat="1" applyFont="1" applyFill="1" applyBorder="1" applyAlignment="1">
      <alignment horizontal="center" vertical="center" wrapText="1"/>
    </xf>
    <xf numFmtId="0" fontId="20" fillId="11" borderId="11" xfId="0" applyFont="1" applyFill="1" applyBorder="1" applyAlignment="1">
      <alignment horizontal="center"/>
    </xf>
    <xf numFmtId="0" fontId="20" fillId="11" borderId="11" xfId="0" applyFont="1" applyFill="1" applyBorder="1"/>
    <xf numFmtId="164" fontId="20" fillId="11" borderId="11" xfId="0" applyNumberFormat="1" applyFont="1" applyFill="1" applyBorder="1"/>
    <xf numFmtId="164" fontId="2" fillId="11" borderId="11" xfId="0" applyNumberFormat="1" applyFont="1" applyFill="1" applyBorder="1"/>
    <xf numFmtId="0" fontId="6" fillId="9" borderId="4" xfId="0" applyFont="1" applyFill="1" applyBorder="1"/>
    <xf numFmtId="0" fontId="6" fillId="9" borderId="10" xfId="0" applyFont="1" applyFill="1" applyBorder="1" applyAlignment="1">
      <alignment horizontal="center"/>
    </xf>
    <xf numFmtId="0" fontId="6" fillId="9" borderId="5" xfId="0" applyFont="1" applyFill="1" applyBorder="1" applyAlignment="1">
      <alignment horizontal="center"/>
    </xf>
    <xf numFmtId="0" fontId="2" fillId="13" borderId="4" xfId="0" applyFont="1" applyFill="1" applyBorder="1" applyAlignment="1">
      <alignment horizontal="center"/>
    </xf>
    <xf numFmtId="0" fontId="2" fillId="13" borderId="0" xfId="0" applyFont="1" applyFill="1" applyBorder="1" applyAlignment="1">
      <alignment horizontal="center"/>
    </xf>
    <xf numFmtId="0" fontId="2" fillId="13" borderId="5" xfId="0" applyFont="1" applyFill="1" applyBorder="1" applyAlignment="1">
      <alignment horizontal="center"/>
    </xf>
    <xf numFmtId="0" fontId="2" fillId="13" borderId="6" xfId="0" applyFont="1" applyFill="1" applyBorder="1" applyAlignment="1">
      <alignment horizontal="center"/>
    </xf>
    <xf numFmtId="0" fontId="2" fillId="13" borderId="11" xfId="0" applyFont="1" applyFill="1" applyBorder="1" applyAlignment="1">
      <alignment horizontal="center"/>
    </xf>
    <xf numFmtId="0" fontId="2" fillId="13" borderId="11" xfId="0" applyFont="1" applyFill="1" applyBorder="1"/>
    <xf numFmtId="164" fontId="2" fillId="13" borderId="11" xfId="0" applyNumberFormat="1" applyFont="1" applyFill="1" applyBorder="1"/>
    <xf numFmtId="164" fontId="0" fillId="13" borderId="12" xfId="0" applyNumberFormat="1" applyFont="1" applyFill="1" applyBorder="1"/>
    <xf numFmtId="0" fontId="2" fillId="3" borderId="6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2" fillId="3" borderId="10" xfId="0" applyFont="1" applyFill="1" applyBorder="1"/>
    <xf numFmtId="164" fontId="2" fillId="3" borderId="11" xfId="0" applyNumberFormat="1" applyFont="1" applyFill="1" applyBorder="1"/>
    <xf numFmtId="0" fontId="2" fillId="3" borderId="11" xfId="0" applyFont="1" applyFill="1" applyBorder="1" applyAlignment="1">
      <alignment horizontal="center"/>
    </xf>
    <xf numFmtId="0" fontId="2" fillId="3" borderId="11" xfId="0" applyFont="1" applyFill="1" applyBorder="1"/>
    <xf numFmtId="0" fontId="2" fillId="2" borderId="11" xfId="0" applyFont="1" applyFill="1" applyBorder="1" applyAlignment="1">
      <alignment horizontal="center"/>
    </xf>
    <xf numFmtId="0" fontId="2" fillId="2" borderId="11" xfId="0" applyFont="1" applyFill="1" applyBorder="1"/>
    <xf numFmtId="164" fontId="17" fillId="2" borderId="11" xfId="0" applyNumberFormat="1" applyFont="1" applyFill="1" applyBorder="1"/>
    <xf numFmtId="0" fontId="0" fillId="0" borderId="0" xfId="0" applyAlignment="1">
      <alignment horizontal="left" vertical="center"/>
    </xf>
    <xf numFmtId="0" fontId="3" fillId="12" borderId="7" xfId="0" applyFont="1" applyFill="1" applyBorder="1" applyAlignment="1">
      <alignment horizontal="center"/>
    </xf>
    <xf numFmtId="0" fontId="3" fillId="12" borderId="8" xfId="0" applyFont="1" applyFill="1" applyBorder="1" applyAlignment="1">
      <alignment horizontal="center"/>
    </xf>
    <xf numFmtId="0" fontId="3" fillId="12" borderId="9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5" fillId="0" borderId="0" xfId="0" applyFont="1" applyAlignment="1">
      <alignment horizontal="left" vertical="center"/>
    </xf>
    <xf numFmtId="0" fontId="4" fillId="13" borderId="1" xfId="0" applyFont="1" applyFill="1" applyBorder="1" applyAlignment="1">
      <alignment horizontal="center"/>
    </xf>
    <xf numFmtId="0" fontId="4" fillId="13" borderId="2" xfId="0" applyFont="1" applyFill="1" applyBorder="1" applyAlignment="1">
      <alignment horizontal="center"/>
    </xf>
    <xf numFmtId="0" fontId="4" fillId="13" borderId="3" xfId="0" applyFont="1" applyFill="1" applyBorder="1" applyAlignment="1">
      <alignment horizontal="center"/>
    </xf>
    <xf numFmtId="0" fontId="4" fillId="13" borderId="13" xfId="0" applyFont="1" applyFill="1" applyBorder="1" applyAlignment="1">
      <alignment horizontal="center"/>
    </xf>
    <xf numFmtId="0" fontId="4" fillId="13" borderId="0" xfId="0" applyFont="1" applyFill="1" applyBorder="1" applyAlignment="1">
      <alignment horizontal="center"/>
    </xf>
    <xf numFmtId="0" fontId="4" fillId="13" borderId="14" xfId="0" applyFont="1" applyFill="1" applyBorder="1" applyAlignment="1">
      <alignment horizontal="center"/>
    </xf>
    <xf numFmtId="0" fontId="2" fillId="13" borderId="13" xfId="0" applyFont="1" applyFill="1" applyBorder="1" applyAlignment="1">
      <alignment horizontal="center"/>
    </xf>
    <xf numFmtId="0" fontId="2" fillId="13" borderId="0" xfId="0" applyFont="1" applyFill="1" applyBorder="1" applyAlignment="1">
      <alignment horizontal="center"/>
    </xf>
    <xf numFmtId="0" fontId="2" fillId="13" borderId="14" xfId="0" applyFont="1" applyFill="1" applyBorder="1" applyAlignment="1">
      <alignment horizontal="center"/>
    </xf>
    <xf numFmtId="0" fontId="13" fillId="0" borderId="13" xfId="0" applyFont="1" applyBorder="1" applyAlignment="1">
      <alignment horizontal="center" wrapText="1"/>
    </xf>
    <xf numFmtId="0" fontId="13" fillId="0" borderId="4" xfId="0" applyFont="1" applyBorder="1" applyAlignment="1">
      <alignment horizontal="center" wrapText="1"/>
    </xf>
    <xf numFmtId="0" fontId="2" fillId="3" borderId="5" xfId="0" applyFont="1" applyFill="1" applyBorder="1" applyAlignment="1">
      <alignment horizontal="center"/>
    </xf>
    <xf numFmtId="0" fontId="18" fillId="11" borderId="15" xfId="0" applyFont="1" applyFill="1" applyBorder="1" applyAlignment="1">
      <alignment horizontal="center"/>
    </xf>
    <xf numFmtId="0" fontId="18" fillId="11" borderId="16" xfId="0" applyFont="1" applyFill="1" applyBorder="1" applyAlignment="1">
      <alignment horizontal="center"/>
    </xf>
    <xf numFmtId="0" fontId="18" fillId="11" borderId="17" xfId="0" applyFont="1" applyFill="1" applyBorder="1" applyAlignment="1">
      <alignment horizontal="center"/>
    </xf>
    <xf numFmtId="0" fontId="3" fillId="11" borderId="15" xfId="0" applyFont="1" applyFill="1" applyBorder="1" applyAlignment="1">
      <alignment horizontal="center"/>
    </xf>
    <xf numFmtId="0" fontId="3" fillId="11" borderId="16" xfId="0" applyFont="1" applyFill="1" applyBorder="1" applyAlignment="1">
      <alignment horizontal="center"/>
    </xf>
    <xf numFmtId="0" fontId="3" fillId="11" borderId="17" xfId="0" applyFont="1" applyFill="1" applyBorder="1" applyAlignment="1">
      <alignment horizontal="center"/>
    </xf>
    <xf numFmtId="0" fontId="2" fillId="6" borderId="15" xfId="0" applyFont="1" applyFill="1" applyBorder="1" applyAlignment="1">
      <alignment horizontal="center"/>
    </xf>
    <xf numFmtId="0" fontId="2" fillId="6" borderId="16" xfId="0" applyFont="1" applyFill="1" applyBorder="1" applyAlignment="1">
      <alignment horizontal="center"/>
    </xf>
    <xf numFmtId="0" fontId="2" fillId="6" borderId="17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0" fillId="0" borderId="0" xfId="0" applyAlignment="1">
      <alignment horizontal="left"/>
    </xf>
    <xf numFmtId="0" fontId="0" fillId="0" borderId="0" xfId="0" applyFill="1" applyAlignment="1">
      <alignment horizontal="left"/>
    </xf>
    <xf numFmtId="0" fontId="12" fillId="0" borderId="0" xfId="0" applyFont="1" applyAlignment="1">
      <alignment horizontal="left" vertical="top"/>
    </xf>
    <xf numFmtId="0" fontId="12" fillId="0" borderId="0" xfId="0" applyFont="1" applyAlignment="1">
      <alignment vertical="center"/>
    </xf>
    <xf numFmtId="0" fontId="0" fillId="0" borderId="0" xfId="0" applyFill="1" applyAlignment="1">
      <alignment vertical="center"/>
    </xf>
    <xf numFmtId="0" fontId="3" fillId="0" borderId="0" xfId="0" applyFont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8" borderId="19" xfId="0" applyFont="1" applyFill="1" applyBorder="1" applyAlignment="1">
      <alignment horizontal="center"/>
    </xf>
    <xf numFmtId="0" fontId="3" fillId="8" borderId="20" xfId="0" applyFont="1" applyFill="1" applyBorder="1" applyAlignment="1">
      <alignment horizontal="center"/>
    </xf>
    <xf numFmtId="0" fontId="3" fillId="8" borderId="21" xfId="0" applyFont="1" applyFill="1" applyBorder="1" applyAlignment="1">
      <alignment horizontal="center"/>
    </xf>
    <xf numFmtId="0" fontId="0" fillId="0" borderId="0" xfId="0" applyFont="1" applyAlignment="1">
      <alignment horizontal="center"/>
    </xf>
    <xf numFmtId="0" fontId="2" fillId="14" borderId="22" xfId="0" applyFont="1" applyFill="1" applyBorder="1"/>
    <xf numFmtId="0" fontId="2" fillId="14" borderId="10" xfId="0" applyFont="1" applyFill="1" applyBorder="1" applyAlignment="1">
      <alignment horizontal="center"/>
    </xf>
    <xf numFmtId="0" fontId="2" fillId="14" borderId="23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0" fillId="0" borderId="0" xfId="0" applyFont="1"/>
    <xf numFmtId="0" fontId="0" fillId="0" borderId="0" xfId="0" applyNumberFormat="1" applyFont="1"/>
    <xf numFmtId="0" fontId="13" fillId="0" borderId="11" xfId="0" applyFont="1" applyBorder="1" applyAlignment="1">
      <alignment horizontal="center"/>
    </xf>
    <xf numFmtId="0" fontId="13" fillId="0" borderId="11" xfId="0" applyFont="1" applyBorder="1" applyAlignment="1"/>
    <xf numFmtId="164" fontId="2" fillId="0" borderId="11" xfId="0" applyNumberFormat="1" applyFont="1" applyBorder="1" applyAlignment="1"/>
    <xf numFmtId="164" fontId="13" fillId="0" borderId="0" xfId="0" applyNumberFormat="1" applyFont="1" applyFill="1" applyBorder="1" applyAlignment="1"/>
    <xf numFmtId="0" fontId="13" fillId="0" borderId="11" xfId="0" applyFont="1" applyBorder="1" applyAlignment="1">
      <alignment horizontal="left"/>
    </xf>
    <xf numFmtId="164" fontId="2" fillId="0" borderId="11" xfId="0" applyNumberFormat="1" applyFont="1" applyBorder="1"/>
    <xf numFmtId="164" fontId="13" fillId="0" borderId="0" xfId="0" applyNumberFormat="1" applyFont="1" applyFill="1" applyBorder="1" applyAlignment="1">
      <alignment horizontal="center"/>
    </xf>
    <xf numFmtId="0" fontId="3" fillId="3" borderId="24" xfId="0" applyFont="1" applyFill="1" applyBorder="1" applyAlignment="1">
      <alignment horizontal="center"/>
    </xf>
    <xf numFmtId="0" fontId="3" fillId="3" borderId="25" xfId="0" applyFont="1" applyFill="1" applyBorder="1" applyAlignment="1">
      <alignment horizontal="center"/>
    </xf>
    <xf numFmtId="164" fontId="3" fillId="3" borderId="26" xfId="0" applyNumberFormat="1" applyFont="1" applyFill="1" applyBorder="1" applyAlignment="1"/>
    <xf numFmtId="164" fontId="3" fillId="0" borderId="0" xfId="0" applyNumberFormat="1" applyFont="1" applyFill="1" applyBorder="1" applyAlignment="1"/>
    <xf numFmtId="49" fontId="13" fillId="0" borderId="11" xfId="0" applyNumberFormat="1" applyFont="1" applyBorder="1" applyAlignment="1">
      <alignment horizontal="center"/>
    </xf>
    <xf numFmtId="164" fontId="13" fillId="0" borderId="11" xfId="0" applyNumberFormat="1" applyFont="1" applyBorder="1"/>
    <xf numFmtId="49" fontId="21" fillId="0" borderId="11" xfId="0" applyNumberFormat="1" applyFont="1" applyBorder="1" applyAlignment="1">
      <alignment horizontal="center"/>
    </xf>
    <xf numFmtId="0" fontId="21" fillId="0" borderId="11" xfId="0" applyFont="1" applyBorder="1" applyAlignment="1">
      <alignment horizontal="left"/>
    </xf>
    <xf numFmtId="164" fontId="21" fillId="0" borderId="11" xfId="0" applyNumberFormat="1" applyFont="1" applyBorder="1"/>
    <xf numFmtId="0" fontId="21" fillId="0" borderId="11" xfId="0" applyFont="1" applyBorder="1" applyAlignment="1"/>
    <xf numFmtId="164" fontId="21" fillId="0" borderId="11" xfId="0" applyNumberFormat="1" applyFont="1" applyBorder="1" applyAlignment="1"/>
    <xf numFmtId="164" fontId="13" fillId="0" borderId="11" xfId="0" applyNumberFormat="1" applyFont="1" applyBorder="1" applyAlignment="1"/>
    <xf numFmtId="49" fontId="22" fillId="0" borderId="11" xfId="0" applyNumberFormat="1" applyFont="1" applyBorder="1" applyAlignment="1">
      <alignment horizontal="center"/>
    </xf>
    <xf numFmtId="49" fontId="21" fillId="4" borderId="27" xfId="0" applyNumberFormat="1" applyFont="1" applyFill="1" applyBorder="1" applyAlignment="1">
      <alignment horizontal="center"/>
    </xf>
    <xf numFmtId="0" fontId="13" fillId="4" borderId="11" xfId="0" applyFont="1" applyFill="1" applyBorder="1" applyAlignment="1"/>
    <xf numFmtId="164" fontId="21" fillId="4" borderId="28" xfId="0" applyNumberFormat="1" applyFont="1" applyFill="1" applyBorder="1" applyAlignment="1"/>
    <xf numFmtId="0" fontId="21" fillId="0" borderId="11" xfId="0" applyFont="1" applyFill="1" applyBorder="1" applyAlignment="1"/>
    <xf numFmtId="49" fontId="21" fillId="0" borderId="12" xfId="0" applyNumberFormat="1" applyFont="1" applyBorder="1" applyAlignment="1">
      <alignment horizontal="center"/>
    </xf>
    <xf numFmtId="0" fontId="21" fillId="0" borderId="12" xfId="0" applyFont="1" applyBorder="1" applyAlignment="1"/>
    <xf numFmtId="164" fontId="21" fillId="0" borderId="12" xfId="0" applyNumberFormat="1" applyFont="1" applyBorder="1" applyAlignment="1"/>
    <xf numFmtId="0" fontId="23" fillId="15" borderId="15" xfId="0" applyFont="1" applyFill="1" applyBorder="1" applyAlignment="1"/>
    <xf numFmtId="0" fontId="23" fillId="15" borderId="16" xfId="0" applyFont="1" applyFill="1" applyBorder="1" applyAlignment="1"/>
    <xf numFmtId="0" fontId="23" fillId="15" borderId="17" xfId="0" applyFont="1" applyFill="1" applyBorder="1" applyAlignment="1"/>
    <xf numFmtId="0" fontId="24" fillId="16" borderId="29" xfId="0" applyFont="1" applyFill="1" applyBorder="1" applyAlignment="1">
      <alignment horizontal="center"/>
    </xf>
    <xf numFmtId="0" fontId="23" fillId="16" borderId="29" xfId="0" applyFont="1" applyFill="1" applyBorder="1" applyAlignment="1">
      <alignment horizontal="center"/>
    </xf>
    <xf numFmtId="17" fontId="23" fillId="16" borderId="29" xfId="0" applyNumberFormat="1" applyFont="1" applyFill="1" applyBorder="1" applyAlignment="1">
      <alignment horizontal="center"/>
    </xf>
    <xf numFmtId="0" fontId="25" fillId="0" borderId="0" xfId="0" applyFont="1"/>
    <xf numFmtId="0" fontId="24" fillId="15" borderId="30" xfId="0" applyFont="1" applyFill="1" applyBorder="1" applyAlignment="1">
      <alignment horizontal="center"/>
    </xf>
    <xf numFmtId="0" fontId="24" fillId="15" borderId="31" xfId="0" applyFont="1" applyFill="1" applyBorder="1"/>
    <xf numFmtId="164" fontId="24" fillId="15" borderId="31" xfId="0" applyNumberFormat="1" applyFont="1" applyFill="1" applyBorder="1"/>
    <xf numFmtId="164" fontId="24" fillId="15" borderId="32" xfId="0" applyNumberFormat="1" applyFont="1" applyFill="1" applyBorder="1"/>
    <xf numFmtId="164" fontId="24" fillId="15" borderId="28" xfId="0" applyNumberFormat="1" applyFont="1" applyFill="1" applyBorder="1"/>
    <xf numFmtId="0" fontId="24" fillId="0" borderId="0" xfId="0" applyFont="1" applyFill="1"/>
    <xf numFmtId="0" fontId="24" fillId="17" borderId="27" xfId="0" applyFont="1" applyFill="1" applyBorder="1" applyAlignment="1">
      <alignment horizontal="center"/>
    </xf>
    <xf numFmtId="0" fontId="24" fillId="17" borderId="11" xfId="0" applyFont="1" applyFill="1" applyBorder="1"/>
    <xf numFmtId="164" fontId="24" fillId="17" borderId="11" xfId="0" applyNumberFormat="1" applyFont="1" applyFill="1" applyBorder="1"/>
    <xf numFmtId="164" fontId="24" fillId="17" borderId="7" xfId="0" applyNumberFormat="1" applyFont="1" applyFill="1" applyBorder="1"/>
    <xf numFmtId="164" fontId="24" fillId="17" borderId="28" xfId="0" applyNumberFormat="1" applyFont="1" applyFill="1" applyBorder="1"/>
    <xf numFmtId="0" fontId="24" fillId="0" borderId="0" xfId="0" applyFont="1"/>
    <xf numFmtId="0" fontId="26" fillId="0" borderId="27" xfId="0" applyFont="1" applyBorder="1" applyAlignment="1" applyProtection="1">
      <alignment horizontal="center"/>
      <protection hidden="1"/>
    </xf>
    <xf numFmtId="164" fontId="0" fillId="0" borderId="11" xfId="0" applyNumberFormat="1" applyBorder="1"/>
    <xf numFmtId="164" fontId="27" fillId="0" borderId="11" xfId="0" applyNumberFormat="1" applyFont="1" applyBorder="1"/>
    <xf numFmtId="164" fontId="24" fillId="0" borderId="28" xfId="0" applyNumberFormat="1" applyFont="1" applyBorder="1"/>
    <xf numFmtId="0" fontId="26" fillId="0" borderId="27" xfId="0" applyFont="1" applyFill="1" applyBorder="1" applyAlignment="1" applyProtection="1">
      <alignment horizontal="center"/>
      <protection hidden="1"/>
    </xf>
    <xf numFmtId="0" fontId="28" fillId="15" borderId="27" xfId="0" applyFont="1" applyFill="1" applyBorder="1" applyAlignment="1" applyProtection="1">
      <alignment horizontal="center"/>
      <protection hidden="1"/>
    </xf>
    <xf numFmtId="0" fontId="24" fillId="15" borderId="11" xfId="0" applyFont="1" applyFill="1" applyBorder="1"/>
    <xf numFmtId="164" fontId="24" fillId="15" borderId="11" xfId="0" applyNumberFormat="1" applyFont="1" applyFill="1" applyBorder="1"/>
    <xf numFmtId="0" fontId="28" fillId="17" borderId="27" xfId="0" applyFont="1" applyFill="1" applyBorder="1" applyAlignment="1" applyProtection="1">
      <alignment horizontal="center"/>
      <protection hidden="1"/>
    </xf>
    <xf numFmtId="0" fontId="27" fillId="0" borderId="27" xfId="0" applyFont="1" applyBorder="1" applyAlignment="1">
      <alignment horizontal="center"/>
    </xf>
    <xf numFmtId="0" fontId="27" fillId="0" borderId="11" xfId="0" applyFont="1" applyFill="1" applyBorder="1"/>
    <xf numFmtId="164" fontId="27" fillId="0" borderId="11" xfId="0" applyNumberFormat="1" applyFont="1" applyFill="1" applyBorder="1"/>
    <xf numFmtId="164" fontId="27" fillId="0" borderId="28" xfId="0" applyNumberFormat="1" applyFont="1" applyFill="1" applyBorder="1"/>
    <xf numFmtId="0" fontId="27" fillId="0" borderId="0" xfId="0" applyFont="1" applyFill="1"/>
    <xf numFmtId="0" fontId="26" fillId="0" borderId="33" xfId="0" applyFont="1" applyFill="1" applyBorder="1" applyAlignment="1" applyProtection="1">
      <alignment horizontal="center"/>
      <protection hidden="1"/>
    </xf>
    <xf numFmtId="0" fontId="0" fillId="0" borderId="12" xfId="0" applyBorder="1"/>
    <xf numFmtId="164" fontId="0" fillId="0" borderId="12" xfId="0" applyNumberFormat="1" applyBorder="1"/>
    <xf numFmtId="164" fontId="27" fillId="0" borderId="12" xfId="0" applyNumberFormat="1" applyFont="1" applyBorder="1"/>
    <xf numFmtId="164" fontId="24" fillId="0" borderId="34" xfId="0" applyNumberFormat="1" applyFont="1" applyBorder="1"/>
    <xf numFmtId="0" fontId="28" fillId="18" borderId="33" xfId="0" applyFont="1" applyFill="1" applyBorder="1" applyAlignment="1" applyProtection="1">
      <alignment horizontal="center"/>
      <protection hidden="1"/>
    </xf>
    <xf numFmtId="0" fontId="0" fillId="18" borderId="12" xfId="0" applyFill="1" applyBorder="1"/>
    <xf numFmtId="164" fontId="0" fillId="18" borderId="12" xfId="0" applyNumberFormat="1" applyFill="1" applyBorder="1"/>
    <xf numFmtId="164" fontId="24" fillId="19" borderId="34" xfId="0" applyNumberFormat="1" applyFont="1" applyFill="1" applyBorder="1"/>
    <xf numFmtId="0" fontId="29" fillId="0" borderId="35" xfId="0" applyFont="1" applyBorder="1" applyAlignment="1">
      <alignment horizontal="center"/>
    </xf>
    <xf numFmtId="0" fontId="29" fillId="0" borderId="36" xfId="0" applyFont="1" applyBorder="1" applyAlignment="1">
      <alignment horizontal="center"/>
    </xf>
    <xf numFmtId="164" fontId="24" fillId="0" borderId="29" xfId="0" applyNumberFormat="1" applyFont="1" applyBorder="1"/>
    <xf numFmtId="0" fontId="29" fillId="0" borderId="0" xfId="0" applyFont="1" applyBorder="1" applyAlignment="1">
      <alignment horizontal="center"/>
    </xf>
    <xf numFmtId="164" fontId="24" fillId="0" borderId="0" xfId="0" applyNumberFormat="1" applyFont="1" applyBorder="1"/>
    <xf numFmtId="0" fontId="30" fillId="0" borderId="0" xfId="0" applyFont="1"/>
    <xf numFmtId="164" fontId="2" fillId="0" borderId="29" xfId="0" applyNumberFormat="1" applyFont="1" applyBorder="1" applyAlignment="1">
      <alignment horizontal="center"/>
    </xf>
    <xf numFmtId="164" fontId="2" fillId="0" borderId="29" xfId="0" applyNumberFormat="1" applyFont="1" applyBorder="1"/>
    <xf numFmtId="0" fontId="2" fillId="0" borderId="29" xfId="0" applyFont="1" applyBorder="1" applyAlignment="1">
      <alignment horizontal="center"/>
    </xf>
    <xf numFmtId="164" fontId="2" fillId="0" borderId="17" xfId="0" applyNumberFormat="1" applyFont="1" applyBorder="1"/>
    <xf numFmtId="165" fontId="2" fillId="0" borderId="29" xfId="0" applyNumberFormat="1" applyFont="1" applyBorder="1"/>
    <xf numFmtId="0" fontId="2" fillId="0" borderId="15" xfId="0" applyFon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164" fontId="2" fillId="0" borderId="0" xfId="0" applyNumberFormat="1" applyFont="1" applyBorder="1"/>
    <xf numFmtId="0" fontId="2" fillId="0" borderId="0" xfId="0" applyFont="1" applyBorder="1" applyAlignment="1">
      <alignment horizontal="center"/>
    </xf>
    <xf numFmtId="165" fontId="2" fillId="0" borderId="0" xfId="0" applyNumberFormat="1" applyFont="1" applyBorder="1"/>
    <xf numFmtId="0" fontId="31" fillId="0" borderId="5" xfId="0" applyFont="1" applyBorder="1" applyAlignment="1">
      <alignment horizontal="center"/>
    </xf>
    <xf numFmtId="0" fontId="26" fillId="0" borderId="11" xfId="0" applyFont="1" applyBorder="1" applyAlignment="1" applyProtection="1">
      <alignment horizontal="center"/>
      <protection hidden="1"/>
    </xf>
    <xf numFmtId="0" fontId="28" fillId="17" borderId="11" xfId="0" applyFont="1" applyFill="1" applyBorder="1" applyAlignment="1" applyProtection="1">
      <alignment horizontal="center"/>
      <protection hidden="1"/>
    </xf>
    <xf numFmtId="164" fontId="2" fillId="18" borderId="11" xfId="0" applyNumberFormat="1" applyFont="1" applyFill="1" applyBorder="1"/>
    <xf numFmtId="0" fontId="32" fillId="0" borderId="0" xfId="0" applyFont="1" applyBorder="1" applyAlignment="1" applyProtection="1">
      <alignment horizontal="left"/>
      <protection hidden="1"/>
    </xf>
    <xf numFmtId="0" fontId="0" fillId="0" borderId="0" xfId="0" applyBorder="1"/>
    <xf numFmtId="164" fontId="0" fillId="0" borderId="0" xfId="0" applyNumberFormat="1" applyBorder="1"/>
    <xf numFmtId="164" fontId="27" fillId="0" borderId="0" xfId="0" applyNumberFormat="1" applyFont="1" applyBorder="1"/>
    <xf numFmtId="0" fontId="28" fillId="0" borderId="0" xfId="0" applyFont="1" applyFill="1" applyBorder="1" applyAlignment="1" applyProtection="1">
      <alignment horizontal="center"/>
      <protection hidden="1"/>
    </xf>
    <xf numFmtId="0" fontId="24" fillId="0" borderId="0" xfId="0" applyFont="1" applyFill="1" applyBorder="1"/>
    <xf numFmtId="164" fontId="24" fillId="0" borderId="0" xfId="0" applyNumberFormat="1" applyFont="1" applyFill="1" applyBorder="1"/>
    <xf numFmtId="0" fontId="24" fillId="0" borderId="0" xfId="0" applyFont="1" applyAlignment="1">
      <alignment horizontal="center" vertical="center" wrapText="1"/>
    </xf>
    <xf numFmtId="164" fontId="31" fillId="0" borderId="0" xfId="0" applyNumberFormat="1" applyFont="1" applyAlignment="1">
      <alignment horizontal="center" vertical="center"/>
    </xf>
    <xf numFmtId="0" fontId="3" fillId="0" borderId="0" xfId="0" applyNumberFormat="1" applyFont="1" applyAlignment="1">
      <alignment horizontal="center"/>
    </xf>
    <xf numFmtId="164" fontId="33" fillId="0" borderId="0" xfId="0" applyNumberFormat="1" applyFont="1"/>
    <xf numFmtId="0" fontId="27" fillId="0" borderId="11" xfId="0" applyFont="1" applyBorder="1" applyAlignment="1"/>
    <xf numFmtId="0" fontId="0" fillId="0" borderId="11" xfId="0" applyBorder="1" applyAlignment="1">
      <alignment horizontal="center"/>
    </xf>
    <xf numFmtId="0" fontId="34" fillId="0" borderId="0" xfId="0" applyFont="1"/>
    <xf numFmtId="164" fontId="23" fillId="0" borderId="0" xfId="0" applyNumberFormat="1" applyFont="1"/>
    <xf numFmtId="164" fontId="0" fillId="0" borderId="0" xfId="0" applyNumberFormat="1" applyAlignment="1"/>
    <xf numFmtId="164" fontId="3" fillId="0" borderId="11" xfId="0" applyNumberFormat="1" applyFont="1" applyBorder="1" applyAlignment="1">
      <alignment horizontal="center"/>
    </xf>
    <xf numFmtId="164" fontId="35" fillId="0" borderId="0" xfId="0" applyNumberFormat="1" applyFont="1"/>
    <xf numFmtId="0" fontId="36" fillId="0" borderId="0" xfId="0" applyFont="1"/>
    <xf numFmtId="164" fontId="29" fillId="0" borderId="0" xfId="0" applyNumberFormat="1" applyFont="1"/>
    <xf numFmtId="164" fontId="4" fillId="0" borderId="11" xfId="0" applyNumberFormat="1" applyFont="1" applyBorder="1" applyAlignment="1">
      <alignment horizontal="center"/>
    </xf>
    <xf numFmtId="164" fontId="3" fillId="0" borderId="11" xfId="0" applyNumberFormat="1" applyFont="1" applyBorder="1"/>
    <xf numFmtId="0" fontId="37" fillId="0" borderId="0" xfId="0" applyFont="1" applyBorder="1" applyAlignment="1" applyProtection="1">
      <alignment horizontal="center"/>
      <protection hidden="1"/>
    </xf>
    <xf numFmtId="0" fontId="37" fillId="0" borderId="0" xfId="0" applyFont="1" applyFill="1" applyBorder="1" applyAlignment="1" applyProtection="1">
      <alignment horizontal="center"/>
      <protection hidden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87"/>
  <sheetViews>
    <sheetView tabSelected="1" workbookViewId="0">
      <selection activeCell="D30" sqref="D30"/>
    </sheetView>
  </sheetViews>
  <sheetFormatPr baseColWidth="10" defaultColWidth="11" defaultRowHeight="15" x14ac:dyDescent="0.25"/>
  <cols>
    <col min="1" max="1" width="6.7109375" customWidth="1"/>
    <col min="2" max="2" width="43.42578125" customWidth="1"/>
    <col min="3" max="4" width="11.42578125" customWidth="1"/>
    <col min="5" max="5" width="11.140625" customWidth="1"/>
    <col min="6" max="6" width="16.28515625" customWidth="1"/>
    <col min="7" max="7" width="11" style="1"/>
  </cols>
  <sheetData>
    <row r="2" spans="1:7" ht="18" customHeight="1" x14ac:dyDescent="0.25">
      <c r="A2" s="148" t="s">
        <v>0</v>
      </c>
      <c r="B2" s="149"/>
      <c r="C2" s="149"/>
      <c r="D2" s="149"/>
      <c r="E2" s="149"/>
      <c r="F2" s="150"/>
    </row>
    <row r="3" spans="1:7" ht="18" customHeight="1" x14ac:dyDescent="0.25">
      <c r="A3" s="151" t="s">
        <v>1</v>
      </c>
      <c r="B3" s="152"/>
      <c r="C3" s="152"/>
      <c r="D3" s="152"/>
      <c r="E3" s="152"/>
      <c r="F3" s="153"/>
      <c r="G3" s="2"/>
    </row>
    <row r="5" spans="1:7" ht="18.75" x14ac:dyDescent="0.3">
      <c r="A5" s="142" t="s">
        <v>2</v>
      </c>
      <c r="B5" s="142"/>
      <c r="C5" s="142"/>
      <c r="D5" s="142"/>
      <c r="E5" s="142"/>
      <c r="F5" s="142"/>
      <c r="G5" s="3"/>
    </row>
    <row r="6" spans="1:7" x14ac:dyDescent="0.25">
      <c r="A6" s="142" t="s">
        <v>3</v>
      </c>
      <c r="B6" s="142"/>
      <c r="C6" s="142"/>
      <c r="D6" s="142"/>
      <c r="E6" s="142"/>
      <c r="F6" s="142"/>
    </row>
    <row r="7" spans="1:7" x14ac:dyDescent="0.25">
      <c r="A7" s="4"/>
      <c r="B7" s="4"/>
      <c r="C7" s="4"/>
      <c r="D7" s="4"/>
      <c r="E7" s="4"/>
      <c r="F7" s="4"/>
    </row>
    <row r="8" spans="1:7" x14ac:dyDescent="0.25">
      <c r="A8" s="142" t="s">
        <v>4</v>
      </c>
      <c r="B8" s="142"/>
      <c r="C8" s="142"/>
      <c r="D8" s="142"/>
      <c r="E8" s="142"/>
      <c r="F8" s="142"/>
    </row>
    <row r="9" spans="1:7" x14ac:dyDescent="0.25">
      <c r="A9" s="154" t="s">
        <v>5</v>
      </c>
      <c r="B9" s="154"/>
      <c r="C9" s="154"/>
      <c r="D9" s="154"/>
      <c r="E9" s="154"/>
      <c r="F9" s="154"/>
    </row>
    <row r="10" spans="1:7" x14ac:dyDescent="0.25">
      <c r="A10" s="142" t="s">
        <v>6</v>
      </c>
      <c r="B10" s="142"/>
      <c r="C10" s="142"/>
      <c r="D10" s="142"/>
      <c r="E10" s="142"/>
      <c r="F10" s="142"/>
    </row>
    <row r="11" spans="1:7" x14ac:dyDescent="0.25">
      <c r="A11" s="142" t="s">
        <v>7</v>
      </c>
      <c r="B11" s="142"/>
      <c r="C11" s="142"/>
      <c r="D11" s="142"/>
      <c r="E11" s="142"/>
      <c r="F11" s="142"/>
    </row>
    <row r="12" spans="1:7" x14ac:dyDescent="0.25">
      <c r="A12" s="5"/>
      <c r="B12" s="4"/>
      <c r="C12" s="4"/>
      <c r="D12" s="4"/>
      <c r="E12" s="4"/>
      <c r="F12" s="4"/>
    </row>
    <row r="13" spans="1:7" x14ac:dyDescent="0.25">
      <c r="A13" s="4"/>
      <c r="B13" s="4"/>
      <c r="C13" s="4"/>
      <c r="D13" s="4"/>
      <c r="E13" s="4"/>
      <c r="F13" s="4"/>
    </row>
    <row r="14" spans="1:7" x14ac:dyDescent="0.25">
      <c r="A14" s="142" t="s">
        <v>8</v>
      </c>
      <c r="B14" s="142"/>
      <c r="C14" s="142"/>
      <c r="D14" s="142"/>
      <c r="E14" s="142"/>
      <c r="F14" s="142"/>
    </row>
    <row r="15" spans="1:7" x14ac:dyDescent="0.25">
      <c r="A15" s="4"/>
      <c r="B15" s="4"/>
      <c r="C15" s="4"/>
      <c r="D15" s="4"/>
      <c r="E15" s="4"/>
      <c r="F15" s="4"/>
    </row>
    <row r="16" spans="1:7" x14ac:dyDescent="0.25">
      <c r="A16" s="4"/>
      <c r="B16" s="4"/>
      <c r="C16" s="4"/>
      <c r="D16" s="4"/>
      <c r="E16" s="4"/>
      <c r="F16" s="4"/>
    </row>
    <row r="17" spans="1:7" x14ac:dyDescent="0.25">
      <c r="A17" s="142" t="s">
        <v>9</v>
      </c>
      <c r="B17" s="142"/>
      <c r="C17" s="142"/>
      <c r="D17" s="142"/>
      <c r="E17" s="142"/>
      <c r="F17" s="142"/>
    </row>
    <row r="18" spans="1:7" x14ac:dyDescent="0.25">
      <c r="A18" s="142" t="s">
        <v>10</v>
      </c>
      <c r="B18" s="142"/>
      <c r="C18" s="142"/>
      <c r="D18" s="142"/>
      <c r="E18" s="142"/>
      <c r="F18" s="142"/>
    </row>
    <row r="19" spans="1:7" x14ac:dyDescent="0.25">
      <c r="A19" s="142" t="s">
        <v>11</v>
      </c>
      <c r="B19" s="142"/>
      <c r="C19" s="142"/>
      <c r="D19" s="142"/>
      <c r="E19" s="142"/>
      <c r="F19" s="142"/>
    </row>
    <row r="20" spans="1:7" x14ac:dyDescent="0.25">
      <c r="A20" s="142" t="s">
        <v>12</v>
      </c>
      <c r="B20" s="142"/>
      <c r="C20" s="142"/>
      <c r="D20" s="142"/>
      <c r="E20" s="142"/>
      <c r="F20" s="142"/>
    </row>
    <row r="21" spans="1:7" ht="15" customHeight="1" x14ac:dyDescent="0.25">
      <c r="A21" s="4"/>
      <c r="B21" s="4"/>
      <c r="C21" s="4"/>
      <c r="D21" s="4"/>
      <c r="E21" s="4"/>
      <c r="F21" s="4"/>
    </row>
    <row r="22" spans="1:7" ht="15" customHeight="1" x14ac:dyDescent="0.25">
      <c r="A22" s="142" t="s">
        <v>13</v>
      </c>
      <c r="B22" s="142"/>
      <c r="C22" s="142"/>
      <c r="D22" s="142"/>
      <c r="E22" s="142"/>
      <c r="F22" s="142"/>
    </row>
    <row r="23" spans="1:7" x14ac:dyDescent="0.25">
      <c r="A23" s="142" t="s">
        <v>14</v>
      </c>
      <c r="B23" s="142"/>
      <c r="C23" s="142"/>
      <c r="D23" s="142"/>
      <c r="E23" s="142"/>
      <c r="F23" s="142"/>
    </row>
    <row r="24" spans="1:7" x14ac:dyDescent="0.25">
      <c r="A24" s="142" t="s">
        <v>15</v>
      </c>
      <c r="B24" s="142"/>
      <c r="C24" s="142"/>
      <c r="D24" s="142"/>
      <c r="E24" s="142"/>
      <c r="F24" s="142"/>
    </row>
    <row r="26" spans="1:7" s="7" customFormat="1" ht="20.25" customHeight="1" x14ac:dyDescent="0.25">
      <c r="A26" s="143" t="s">
        <v>16</v>
      </c>
      <c r="B26" s="144"/>
      <c r="C26" s="144"/>
      <c r="D26" s="144"/>
      <c r="E26" s="144"/>
      <c r="F26" s="145"/>
      <c r="G26" s="6"/>
    </row>
    <row r="27" spans="1:7" s="7" customFormat="1" ht="27.75" customHeight="1" x14ac:dyDescent="0.25">
      <c r="A27" s="122" t="s">
        <v>17</v>
      </c>
      <c r="B27" s="123" t="s">
        <v>18</v>
      </c>
      <c r="C27" s="124"/>
      <c r="D27" s="123"/>
      <c r="E27" s="124"/>
      <c r="F27" s="123"/>
      <c r="G27" s="6"/>
    </row>
    <row r="28" spans="1:7" s="7" customFormat="1" x14ac:dyDescent="0.25">
      <c r="A28" s="8">
        <v>1</v>
      </c>
      <c r="B28" s="9" t="s">
        <v>19</v>
      </c>
      <c r="C28" s="10"/>
      <c r="D28" s="10"/>
      <c r="E28" s="10"/>
      <c r="F28" s="10">
        <f>SUM(E29:E54)</f>
        <v>1102749.23</v>
      </c>
      <c r="G28" s="6"/>
    </row>
    <row r="29" spans="1:7" s="7" customFormat="1" x14ac:dyDescent="0.25">
      <c r="A29" s="11">
        <v>11</v>
      </c>
      <c r="B29" s="12" t="s">
        <v>20</v>
      </c>
      <c r="C29" s="13"/>
      <c r="D29" s="13"/>
      <c r="E29" s="13">
        <f>SUM(D30)</f>
        <v>138668.28</v>
      </c>
      <c r="F29" s="13"/>
      <c r="G29" s="6"/>
    </row>
    <row r="30" spans="1:7" s="7" customFormat="1" x14ac:dyDescent="0.25">
      <c r="A30" s="11">
        <v>118</v>
      </c>
      <c r="B30" s="12" t="s">
        <v>21</v>
      </c>
      <c r="C30" s="13"/>
      <c r="D30" s="13">
        <f>SUM(C31:C34)</f>
        <v>138668.28</v>
      </c>
      <c r="E30" s="13"/>
      <c r="F30" s="13"/>
      <c r="G30" s="6"/>
    </row>
    <row r="31" spans="1:7" x14ac:dyDescent="0.25">
      <c r="A31" s="14">
        <v>11801</v>
      </c>
      <c r="B31" s="15" t="s">
        <v>22</v>
      </c>
      <c r="C31" s="16">
        <v>62085.11</v>
      </c>
      <c r="D31" s="16"/>
      <c r="E31" s="16"/>
      <c r="F31" s="16"/>
    </row>
    <row r="32" spans="1:7" x14ac:dyDescent="0.25">
      <c r="A32" s="14">
        <v>11802</v>
      </c>
      <c r="B32" s="15" t="s">
        <v>23</v>
      </c>
      <c r="C32" s="16">
        <v>63650.31</v>
      </c>
      <c r="D32" s="16"/>
      <c r="E32" s="16"/>
      <c r="F32" s="16"/>
    </row>
    <row r="33" spans="1:7" x14ac:dyDescent="0.25">
      <c r="A33" s="14">
        <v>11816</v>
      </c>
      <c r="B33" s="15" t="s">
        <v>24</v>
      </c>
      <c r="C33" s="16">
        <v>5006.58</v>
      </c>
      <c r="D33" s="16"/>
      <c r="E33" s="16"/>
      <c r="F33" s="16"/>
    </row>
    <row r="34" spans="1:7" x14ac:dyDescent="0.25">
      <c r="A34" s="14">
        <v>11818</v>
      </c>
      <c r="B34" s="15" t="s">
        <v>25</v>
      </c>
      <c r="C34" s="17">
        <v>7926.28</v>
      </c>
      <c r="D34" s="16"/>
      <c r="E34" s="16"/>
      <c r="F34" s="16"/>
    </row>
    <row r="35" spans="1:7" s="7" customFormat="1" x14ac:dyDescent="0.25">
      <c r="A35" s="11">
        <v>12</v>
      </c>
      <c r="B35" s="12" t="s">
        <v>26</v>
      </c>
      <c r="C35" s="13"/>
      <c r="D35" s="13"/>
      <c r="E35" s="13">
        <f>SUM(D36:D48)</f>
        <v>823874.6399999999</v>
      </c>
      <c r="F35" s="13"/>
      <c r="G35" s="6"/>
    </row>
    <row r="36" spans="1:7" s="7" customFormat="1" x14ac:dyDescent="0.25">
      <c r="A36" s="11">
        <v>121</v>
      </c>
      <c r="B36" s="12" t="s">
        <v>27</v>
      </c>
      <c r="C36" s="13"/>
      <c r="D36" s="13">
        <f>SUM(C37:C47)</f>
        <v>738818.15999999992</v>
      </c>
      <c r="E36" s="13"/>
      <c r="F36" s="13"/>
      <c r="G36" s="6"/>
    </row>
    <row r="37" spans="1:7" x14ac:dyDescent="0.25">
      <c r="A37" s="14">
        <v>12105</v>
      </c>
      <c r="B37" s="15" t="s">
        <v>28</v>
      </c>
      <c r="C37" s="16">
        <v>20821.64</v>
      </c>
      <c r="D37" s="16"/>
      <c r="E37" s="16"/>
      <c r="F37" s="16"/>
    </row>
    <row r="38" spans="1:7" x14ac:dyDescent="0.25">
      <c r="A38" s="14">
        <v>12106</v>
      </c>
      <c r="B38" s="15" t="s">
        <v>29</v>
      </c>
      <c r="C38" s="16">
        <v>10492.88</v>
      </c>
      <c r="D38" s="16"/>
      <c r="E38" s="16"/>
      <c r="F38" s="16"/>
    </row>
    <row r="39" spans="1:7" ht="15" customHeight="1" x14ac:dyDescent="0.25">
      <c r="A39" s="14">
        <v>12108</v>
      </c>
      <c r="B39" s="15" t="s">
        <v>30</v>
      </c>
      <c r="C39" s="16">
        <v>96303.62</v>
      </c>
      <c r="D39" s="16"/>
      <c r="E39" s="16"/>
      <c r="F39" s="16"/>
    </row>
    <row r="40" spans="1:7" x14ac:dyDescent="0.25">
      <c r="A40" s="14">
        <v>12109</v>
      </c>
      <c r="B40" s="15" t="s">
        <v>31</v>
      </c>
      <c r="C40" s="16">
        <v>127398.47</v>
      </c>
      <c r="D40" s="16"/>
      <c r="E40" s="16"/>
      <c r="F40" s="16"/>
    </row>
    <row r="41" spans="1:7" x14ac:dyDescent="0.25">
      <c r="A41" s="14">
        <v>12111</v>
      </c>
      <c r="B41" s="15" t="s">
        <v>32</v>
      </c>
      <c r="C41" s="16">
        <v>13347.74</v>
      </c>
      <c r="D41" s="16"/>
      <c r="E41" s="16"/>
      <c r="F41" s="16"/>
    </row>
    <row r="42" spans="1:7" x14ac:dyDescent="0.25">
      <c r="A42" s="18">
        <v>12114</v>
      </c>
      <c r="B42" s="19" t="s">
        <v>33</v>
      </c>
      <c r="C42" s="20">
        <v>33927.57</v>
      </c>
      <c r="D42" s="20"/>
      <c r="E42" s="20"/>
      <c r="F42" s="20"/>
    </row>
    <row r="43" spans="1:7" x14ac:dyDescent="0.25">
      <c r="A43" s="14">
        <v>12115</v>
      </c>
      <c r="B43" s="15" t="s">
        <v>34</v>
      </c>
      <c r="C43" s="16">
        <v>74560.42</v>
      </c>
      <c r="D43" s="16"/>
      <c r="E43" s="16"/>
      <c r="F43" s="16"/>
    </row>
    <row r="44" spans="1:7" x14ac:dyDescent="0.25">
      <c r="A44" s="14">
        <v>12117</v>
      </c>
      <c r="B44" s="15" t="s">
        <v>35</v>
      </c>
      <c r="C44" s="16">
        <v>90025.42</v>
      </c>
      <c r="D44" s="16"/>
      <c r="E44" s="16"/>
      <c r="F44" s="16"/>
    </row>
    <row r="45" spans="1:7" x14ac:dyDescent="0.25">
      <c r="A45" s="21">
        <v>12118</v>
      </c>
      <c r="B45" s="22" t="s">
        <v>36</v>
      </c>
      <c r="C45" s="23">
        <v>265484.68</v>
      </c>
      <c r="D45" s="23"/>
      <c r="E45" s="23"/>
      <c r="F45" s="23"/>
    </row>
    <row r="46" spans="1:7" x14ac:dyDescent="0.25">
      <c r="A46" s="18">
        <v>12119</v>
      </c>
      <c r="B46" s="19" t="s">
        <v>37</v>
      </c>
      <c r="C46" s="20">
        <v>1905</v>
      </c>
      <c r="D46" s="20"/>
      <c r="E46" s="20"/>
      <c r="F46" s="20"/>
    </row>
    <row r="47" spans="1:7" ht="16.5" x14ac:dyDescent="0.35">
      <c r="A47" s="14">
        <v>12199</v>
      </c>
      <c r="B47" s="15" t="s">
        <v>38</v>
      </c>
      <c r="C47" s="24">
        <v>4550.72</v>
      </c>
      <c r="D47" s="16"/>
      <c r="E47" s="16"/>
      <c r="F47" s="16"/>
    </row>
    <row r="48" spans="1:7" s="7" customFormat="1" ht="16.5" x14ac:dyDescent="0.35">
      <c r="A48" s="11">
        <v>122</v>
      </c>
      <c r="B48" s="12" t="s">
        <v>39</v>
      </c>
      <c r="C48" s="13"/>
      <c r="D48" s="25">
        <f>SUM(C49:C50)</f>
        <v>85056.48</v>
      </c>
      <c r="E48" s="13"/>
      <c r="F48" s="13"/>
      <c r="G48" s="6"/>
    </row>
    <row r="49" spans="1:7" x14ac:dyDescent="0.25">
      <c r="A49" s="14">
        <v>12210</v>
      </c>
      <c r="B49" s="15" t="s">
        <v>40</v>
      </c>
      <c r="C49" s="16">
        <v>85038.73</v>
      </c>
      <c r="D49" s="15"/>
      <c r="E49" s="15"/>
      <c r="F49" s="16"/>
    </row>
    <row r="50" spans="1:7" ht="16.5" x14ac:dyDescent="0.35">
      <c r="A50" s="14">
        <v>12211</v>
      </c>
      <c r="B50" s="15" t="s">
        <v>41</v>
      </c>
      <c r="C50" s="24">
        <v>17.75</v>
      </c>
      <c r="D50" s="16"/>
      <c r="E50" s="16"/>
      <c r="F50" s="16"/>
    </row>
    <row r="51" spans="1:7" s="7" customFormat="1" x14ac:dyDescent="0.25">
      <c r="A51" s="11">
        <v>14</v>
      </c>
      <c r="B51" s="12" t="s">
        <v>42</v>
      </c>
      <c r="C51" s="13"/>
      <c r="E51" s="13">
        <f>SUM(D52)</f>
        <v>92072.71</v>
      </c>
      <c r="F51" s="13"/>
      <c r="G51" s="6"/>
    </row>
    <row r="52" spans="1:7" s="7" customFormat="1" ht="14.25" customHeight="1" x14ac:dyDescent="0.35">
      <c r="A52" s="11">
        <v>142</v>
      </c>
      <c r="B52" s="12" t="s">
        <v>43</v>
      </c>
      <c r="C52" s="13"/>
      <c r="D52" s="25">
        <f>SUM(C53:C53)</f>
        <v>92072.71</v>
      </c>
      <c r="E52" s="13"/>
      <c r="F52" s="13"/>
      <c r="G52" s="6"/>
    </row>
    <row r="53" spans="1:7" ht="14.25" customHeight="1" x14ac:dyDescent="0.25">
      <c r="A53" s="14">
        <v>14201</v>
      </c>
      <c r="B53" s="15" t="s">
        <v>44</v>
      </c>
      <c r="C53" s="17">
        <v>92072.71</v>
      </c>
      <c r="D53" s="16"/>
      <c r="E53" s="16"/>
      <c r="F53" s="16"/>
    </row>
    <row r="54" spans="1:7" s="7" customFormat="1" ht="16.5" x14ac:dyDescent="0.35">
      <c r="A54" s="11">
        <v>15</v>
      </c>
      <c r="B54" s="12" t="s">
        <v>45</v>
      </c>
      <c r="C54" s="13"/>
      <c r="E54" s="25">
        <f>SUM(D55:D62)</f>
        <v>48133.599999999999</v>
      </c>
      <c r="F54" s="13"/>
      <c r="G54" s="6"/>
    </row>
    <row r="55" spans="1:7" s="7" customFormat="1" ht="14.25" customHeight="1" x14ac:dyDescent="0.25">
      <c r="A55" s="11">
        <v>153</v>
      </c>
      <c r="B55" s="12" t="s">
        <v>46</v>
      </c>
      <c r="C55" s="13"/>
      <c r="D55" s="16">
        <f>SUM(C56:C59)</f>
        <v>13213.859999999999</v>
      </c>
      <c r="E55" s="13"/>
      <c r="F55" s="13"/>
      <c r="G55" s="6"/>
    </row>
    <row r="56" spans="1:7" ht="14.25" customHeight="1" x14ac:dyDescent="0.25">
      <c r="A56" s="14">
        <v>15301</v>
      </c>
      <c r="B56" s="15" t="s">
        <v>47</v>
      </c>
      <c r="C56" s="16">
        <v>6556.98</v>
      </c>
      <c r="D56" s="16"/>
      <c r="E56" s="16"/>
      <c r="F56" s="16"/>
    </row>
    <row r="57" spans="1:7" x14ac:dyDescent="0.25">
      <c r="A57" s="14">
        <v>15302</v>
      </c>
      <c r="B57" s="15" t="s">
        <v>48</v>
      </c>
      <c r="C57" s="16">
        <v>3316.72</v>
      </c>
      <c r="D57" s="16"/>
      <c r="E57" s="16"/>
      <c r="F57" s="16"/>
    </row>
    <row r="58" spans="1:7" x14ac:dyDescent="0.25">
      <c r="A58" s="14">
        <v>15312</v>
      </c>
      <c r="B58" s="15" t="s">
        <v>49</v>
      </c>
      <c r="C58" s="16">
        <v>3328.72</v>
      </c>
      <c r="D58" s="16"/>
      <c r="E58" s="16"/>
      <c r="F58" s="16"/>
    </row>
    <row r="59" spans="1:7" x14ac:dyDescent="0.25">
      <c r="A59" s="14">
        <v>15314</v>
      </c>
      <c r="B59" s="15" t="s">
        <v>50</v>
      </c>
      <c r="C59" s="17">
        <v>11.44</v>
      </c>
      <c r="D59" s="16"/>
      <c r="E59" s="16"/>
      <c r="F59" s="16"/>
    </row>
    <row r="60" spans="1:7" s="7" customFormat="1" ht="14.25" customHeight="1" x14ac:dyDescent="0.25">
      <c r="A60" s="11">
        <v>154</v>
      </c>
      <c r="B60" s="12" t="s">
        <v>51</v>
      </c>
      <c r="C60" s="13"/>
      <c r="D60" s="16">
        <f>SUM(C61)</f>
        <v>31708.77</v>
      </c>
      <c r="E60" s="13"/>
      <c r="F60" s="13"/>
      <c r="G60" s="6"/>
    </row>
    <row r="61" spans="1:7" ht="14.25" customHeight="1" x14ac:dyDescent="0.35">
      <c r="A61" s="14">
        <v>15402</v>
      </c>
      <c r="B61" s="15" t="s">
        <v>52</v>
      </c>
      <c r="C61" s="24">
        <v>31708.77</v>
      </c>
      <c r="D61" s="16"/>
      <c r="E61" s="16"/>
      <c r="F61" s="16"/>
    </row>
    <row r="62" spans="1:7" s="7" customFormat="1" ht="14.25" customHeight="1" x14ac:dyDescent="0.35">
      <c r="A62" s="11">
        <v>157</v>
      </c>
      <c r="B62" s="12" t="s">
        <v>53</v>
      </c>
      <c r="C62" s="13"/>
      <c r="D62" s="24">
        <f>SUM(C63)</f>
        <v>3210.97</v>
      </c>
      <c r="E62" s="13"/>
      <c r="F62" s="13"/>
      <c r="G62" s="6"/>
    </row>
    <row r="63" spans="1:7" ht="14.25" customHeight="1" x14ac:dyDescent="0.35">
      <c r="A63" s="14">
        <v>15799</v>
      </c>
      <c r="B63" s="15" t="s">
        <v>54</v>
      </c>
      <c r="C63" s="24">
        <v>3210.97</v>
      </c>
      <c r="D63" s="16"/>
      <c r="E63" s="16"/>
      <c r="F63" s="16"/>
    </row>
    <row r="64" spans="1:7" s="7" customFormat="1" ht="14.25" customHeight="1" x14ac:dyDescent="0.25">
      <c r="A64" s="11"/>
      <c r="B64" s="12" t="s">
        <v>55</v>
      </c>
      <c r="C64" s="13"/>
      <c r="D64" s="13"/>
      <c r="E64" s="13"/>
      <c r="F64" s="16">
        <f>SUM(E66)</f>
        <v>310798.33</v>
      </c>
      <c r="G64" s="6"/>
    </row>
    <row r="65" spans="1:7" s="7" customFormat="1" ht="14.25" customHeight="1" x14ac:dyDescent="0.25">
      <c r="A65" s="11"/>
      <c r="B65" s="12" t="s">
        <v>56</v>
      </c>
      <c r="C65" s="13"/>
      <c r="D65" s="13"/>
      <c r="E65" s="13"/>
      <c r="F65" s="13"/>
      <c r="G65" s="6"/>
    </row>
    <row r="66" spans="1:7" s="7" customFormat="1" ht="14.25" customHeight="1" x14ac:dyDescent="0.35">
      <c r="A66" s="11">
        <v>16</v>
      </c>
      <c r="B66" s="12" t="s">
        <v>57</v>
      </c>
      <c r="C66" s="13"/>
      <c r="D66" s="13"/>
      <c r="E66" s="24">
        <f>SUM(D67)</f>
        <v>310798.33</v>
      </c>
      <c r="F66" s="13"/>
      <c r="G66" s="6"/>
    </row>
    <row r="67" spans="1:7" s="7" customFormat="1" ht="14.25" customHeight="1" x14ac:dyDescent="0.35">
      <c r="A67" s="11">
        <v>162</v>
      </c>
      <c r="B67" s="12" t="s">
        <v>58</v>
      </c>
      <c r="C67" s="13"/>
      <c r="D67" s="24">
        <f>SUM(C68)</f>
        <v>310798.33</v>
      </c>
      <c r="E67" s="13"/>
      <c r="F67" s="13"/>
      <c r="G67" s="6"/>
    </row>
    <row r="68" spans="1:7" ht="14.25" customHeight="1" x14ac:dyDescent="0.35">
      <c r="A68" s="14">
        <v>16201</v>
      </c>
      <c r="B68" s="15" t="s">
        <v>59</v>
      </c>
      <c r="C68" s="24">
        <v>310798.33</v>
      </c>
      <c r="D68" s="16"/>
      <c r="E68" s="16"/>
      <c r="F68" s="16"/>
    </row>
    <row r="69" spans="1:7" s="7" customFormat="1" ht="14.25" customHeight="1" x14ac:dyDescent="0.25">
      <c r="A69" s="11"/>
      <c r="B69" s="12" t="s">
        <v>60</v>
      </c>
      <c r="C69" s="13"/>
      <c r="D69" s="13"/>
      <c r="E69" s="13"/>
      <c r="F69" s="16">
        <f>SUM(E70)</f>
        <v>932395.08</v>
      </c>
      <c r="G69" s="6"/>
    </row>
    <row r="70" spans="1:7" s="7" customFormat="1" ht="14.25" customHeight="1" x14ac:dyDescent="0.35">
      <c r="A70" s="11">
        <v>22</v>
      </c>
      <c r="B70" s="12" t="s">
        <v>61</v>
      </c>
      <c r="C70" s="13"/>
      <c r="D70" s="13"/>
      <c r="E70" s="24">
        <f>SUM(D71)</f>
        <v>932395.08</v>
      </c>
      <c r="F70" s="26"/>
      <c r="G70" s="6"/>
    </row>
    <row r="71" spans="1:7" s="7" customFormat="1" ht="14.25" customHeight="1" x14ac:dyDescent="0.35">
      <c r="A71" s="11">
        <v>222</v>
      </c>
      <c r="B71" s="12" t="s">
        <v>62</v>
      </c>
      <c r="C71" s="13"/>
      <c r="D71" s="24">
        <f>SUM(C72)</f>
        <v>932395.08</v>
      </c>
      <c r="E71" s="13"/>
      <c r="F71" s="13"/>
      <c r="G71" s="6"/>
    </row>
    <row r="72" spans="1:7" ht="14.25" customHeight="1" x14ac:dyDescent="0.35">
      <c r="A72" s="14">
        <v>22201</v>
      </c>
      <c r="B72" s="15" t="s">
        <v>63</v>
      </c>
      <c r="C72" s="24">
        <v>932395.08</v>
      </c>
      <c r="D72" s="16"/>
      <c r="E72" s="16"/>
      <c r="F72" s="16"/>
    </row>
    <row r="73" spans="1:7" x14ac:dyDescent="0.25">
      <c r="A73" s="11">
        <v>3</v>
      </c>
      <c r="B73" s="12" t="s">
        <v>64</v>
      </c>
      <c r="C73" s="16"/>
      <c r="D73" s="16"/>
      <c r="E73" s="16"/>
      <c r="F73" s="16">
        <f>SUM(E74)</f>
        <v>105446.09999999998</v>
      </c>
    </row>
    <row r="74" spans="1:7" s="7" customFormat="1" ht="16.5" x14ac:dyDescent="0.35">
      <c r="A74" s="11">
        <v>32</v>
      </c>
      <c r="B74" s="12" t="s">
        <v>65</v>
      </c>
      <c r="C74" s="13"/>
      <c r="D74" s="10"/>
      <c r="E74" s="24">
        <f>SUM(D75)</f>
        <v>105446.09999999998</v>
      </c>
      <c r="F74" s="26"/>
      <c r="G74" s="6"/>
    </row>
    <row r="75" spans="1:7" s="7" customFormat="1" ht="16.5" x14ac:dyDescent="0.35">
      <c r="A75" s="11">
        <v>321</v>
      </c>
      <c r="B75" s="12" t="s">
        <v>66</v>
      </c>
      <c r="C75" s="13"/>
      <c r="D75" s="24">
        <f>SUM(C76:C86)</f>
        <v>105446.09999999998</v>
      </c>
      <c r="E75" s="13"/>
      <c r="F75" s="13"/>
      <c r="G75" s="6"/>
    </row>
    <row r="76" spans="1:7" x14ac:dyDescent="0.25">
      <c r="A76" s="27">
        <v>32102</v>
      </c>
      <c r="B76" s="28" t="s">
        <v>67</v>
      </c>
      <c r="C76" s="29">
        <v>308.73</v>
      </c>
      <c r="D76" s="16"/>
      <c r="E76" s="16"/>
      <c r="F76" s="16"/>
    </row>
    <row r="77" spans="1:7" x14ac:dyDescent="0.25">
      <c r="A77" s="30">
        <v>32102</v>
      </c>
      <c r="B77" s="31" t="s">
        <v>68</v>
      </c>
      <c r="C77" s="29">
        <v>3900.93</v>
      </c>
      <c r="D77" s="16"/>
      <c r="E77" s="16"/>
      <c r="F77" s="16"/>
    </row>
    <row r="78" spans="1:7" ht="14.25" customHeight="1" x14ac:dyDescent="0.25">
      <c r="A78" s="30">
        <v>32102</v>
      </c>
      <c r="B78" s="31" t="s">
        <v>69</v>
      </c>
      <c r="C78" s="29">
        <v>4211.6000000000004</v>
      </c>
      <c r="D78" s="16"/>
      <c r="E78" s="16"/>
      <c r="F78" s="16"/>
    </row>
    <row r="79" spans="1:7" ht="14.25" customHeight="1" x14ac:dyDescent="0.25">
      <c r="A79" s="30">
        <v>32102</v>
      </c>
      <c r="B79" s="31" t="s">
        <v>70</v>
      </c>
      <c r="C79" s="29">
        <v>72068.62</v>
      </c>
      <c r="D79" s="16"/>
      <c r="E79" s="16"/>
      <c r="F79" s="16"/>
    </row>
    <row r="80" spans="1:7" ht="15" customHeight="1" x14ac:dyDescent="0.25">
      <c r="A80" s="30">
        <v>32102</v>
      </c>
      <c r="B80" s="31" t="s">
        <v>71</v>
      </c>
      <c r="C80" s="29">
        <v>101.89</v>
      </c>
      <c r="D80" s="16"/>
      <c r="E80" s="16"/>
      <c r="F80" s="16"/>
    </row>
    <row r="81" spans="1:7" ht="15" customHeight="1" x14ac:dyDescent="0.25">
      <c r="A81" s="30">
        <v>32102</v>
      </c>
      <c r="B81" s="31" t="s">
        <v>72</v>
      </c>
      <c r="C81" s="29">
        <v>24022.87</v>
      </c>
      <c r="D81" s="20"/>
      <c r="E81" s="20"/>
      <c r="F81" s="20"/>
    </row>
    <row r="82" spans="1:7" ht="14.25" customHeight="1" x14ac:dyDescent="0.25">
      <c r="A82" s="30">
        <v>32102</v>
      </c>
      <c r="B82" s="32" t="s">
        <v>73</v>
      </c>
      <c r="C82" s="33">
        <v>50.01</v>
      </c>
      <c r="D82" s="20"/>
      <c r="E82" s="20"/>
      <c r="F82" s="20"/>
    </row>
    <row r="83" spans="1:7" x14ac:dyDescent="0.25">
      <c r="A83" s="30">
        <v>32102</v>
      </c>
      <c r="B83" s="31" t="s">
        <v>74</v>
      </c>
      <c r="C83" s="29">
        <v>275.25</v>
      </c>
      <c r="D83" s="20"/>
      <c r="E83" s="20"/>
      <c r="F83" s="20"/>
    </row>
    <row r="84" spans="1:7" x14ac:dyDescent="0.25">
      <c r="A84" s="30">
        <v>32102</v>
      </c>
      <c r="B84" s="34" t="s">
        <v>75</v>
      </c>
      <c r="C84" s="35">
        <v>59.51</v>
      </c>
      <c r="D84" s="16"/>
      <c r="E84" s="16"/>
      <c r="F84" s="16"/>
    </row>
    <row r="85" spans="1:7" x14ac:dyDescent="0.25">
      <c r="A85" s="30">
        <v>32102</v>
      </c>
      <c r="B85" s="31" t="s">
        <v>76</v>
      </c>
      <c r="C85" s="29">
        <v>333.07</v>
      </c>
      <c r="D85" s="16"/>
      <c r="E85" s="16"/>
      <c r="F85" s="16"/>
    </row>
    <row r="86" spans="1:7" x14ac:dyDescent="0.25">
      <c r="A86" s="30">
        <v>32102</v>
      </c>
      <c r="B86" s="32" t="s">
        <v>77</v>
      </c>
      <c r="C86" s="33">
        <v>113.62</v>
      </c>
      <c r="D86" s="16"/>
      <c r="E86" s="16"/>
      <c r="F86" s="16"/>
    </row>
    <row r="87" spans="1:7" s="39" customFormat="1" ht="15.75" x14ac:dyDescent="0.25">
      <c r="A87" s="146"/>
      <c r="B87" s="147"/>
      <c r="C87" s="36"/>
      <c r="D87" s="36"/>
      <c r="E87" s="36"/>
      <c r="F87" s="37">
        <f>SUM(F28:F86)</f>
        <v>2451388.7400000002</v>
      </c>
      <c r="G87" s="38"/>
    </row>
  </sheetData>
  <mergeCells count="18">
    <mergeCell ref="A9:F9"/>
    <mergeCell ref="A2:F2"/>
    <mergeCell ref="A3:F3"/>
    <mergeCell ref="A5:F5"/>
    <mergeCell ref="A6:F6"/>
    <mergeCell ref="A8:F8"/>
    <mergeCell ref="A87:B87"/>
    <mergeCell ref="A10:F10"/>
    <mergeCell ref="A11:F11"/>
    <mergeCell ref="A14:F14"/>
    <mergeCell ref="A17:F17"/>
    <mergeCell ref="A18:F18"/>
    <mergeCell ref="A19:F19"/>
    <mergeCell ref="A20:F20"/>
    <mergeCell ref="A22:F22"/>
    <mergeCell ref="A23:F23"/>
    <mergeCell ref="A24:F24"/>
    <mergeCell ref="A26:F2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158"/>
  <sheetViews>
    <sheetView workbookViewId="0">
      <selection activeCell="B62" sqref="B62:K64"/>
    </sheetView>
  </sheetViews>
  <sheetFormatPr baseColWidth="10" defaultColWidth="11" defaultRowHeight="15" x14ac:dyDescent="0.25"/>
  <cols>
    <col min="1" max="1" width="3.42578125" customWidth="1"/>
    <col min="2" max="2" width="7.140625" style="40" customWidth="1"/>
    <col min="3" max="3" width="48.5703125" customWidth="1"/>
    <col min="4" max="4" width="12.85546875" customWidth="1"/>
    <col min="5" max="5" width="14.85546875" customWidth="1"/>
    <col min="6" max="6" width="15" customWidth="1"/>
    <col min="7" max="7" width="13.85546875" customWidth="1"/>
    <col min="8" max="9" width="13.85546875" style="41" customWidth="1"/>
    <col min="10" max="10" width="14" customWidth="1"/>
    <col min="11" max="11" width="14.5703125" customWidth="1"/>
    <col min="13" max="13" width="13.5703125" customWidth="1"/>
  </cols>
  <sheetData>
    <row r="2" spans="2:12" ht="18.75" x14ac:dyDescent="0.3">
      <c r="B2" s="155" t="s">
        <v>78</v>
      </c>
      <c r="C2" s="156"/>
      <c r="D2" s="156"/>
      <c r="E2" s="156"/>
      <c r="F2" s="156"/>
      <c r="G2" s="156"/>
      <c r="H2" s="156"/>
      <c r="I2" s="156"/>
      <c r="J2" s="156"/>
      <c r="K2" s="157"/>
    </row>
    <row r="3" spans="2:12" ht="18.75" x14ac:dyDescent="0.3">
      <c r="B3" s="158" t="s">
        <v>79</v>
      </c>
      <c r="C3" s="159"/>
      <c r="D3" s="159"/>
      <c r="E3" s="159"/>
      <c r="F3" s="159"/>
      <c r="G3" s="159"/>
      <c r="H3" s="159"/>
      <c r="I3" s="159"/>
      <c r="J3" s="159"/>
      <c r="K3" s="160"/>
    </row>
    <row r="4" spans="2:12" x14ac:dyDescent="0.25">
      <c r="B4" s="161" t="s">
        <v>80</v>
      </c>
      <c r="C4" s="162"/>
      <c r="D4" s="162"/>
      <c r="E4" s="162"/>
      <c r="F4" s="162"/>
      <c r="G4" s="162"/>
      <c r="H4" s="162"/>
      <c r="I4" s="162"/>
      <c r="J4" s="162"/>
      <c r="K4" s="163"/>
    </row>
    <row r="5" spans="2:12" x14ac:dyDescent="0.25">
      <c r="B5" s="125"/>
      <c r="C5" s="126"/>
      <c r="D5" s="127"/>
      <c r="E5" s="127"/>
      <c r="F5" s="127"/>
      <c r="G5" s="127"/>
      <c r="H5" s="127"/>
      <c r="I5" s="127"/>
      <c r="J5" s="127"/>
      <c r="K5" s="128"/>
    </row>
    <row r="6" spans="2:12" x14ac:dyDescent="0.25">
      <c r="B6" s="164" t="s">
        <v>81</v>
      </c>
      <c r="C6" s="42"/>
      <c r="D6" s="166" t="s">
        <v>82</v>
      </c>
      <c r="E6" s="166"/>
      <c r="F6" s="133"/>
      <c r="G6" s="43"/>
      <c r="H6" s="43"/>
      <c r="I6" s="43"/>
      <c r="J6" s="43"/>
      <c r="K6" s="44"/>
    </row>
    <row r="7" spans="2:12" s="7" customFormat="1" ht="45" x14ac:dyDescent="0.25">
      <c r="B7" s="165"/>
      <c r="C7" s="45" t="s">
        <v>83</v>
      </c>
      <c r="D7" s="46" t="s">
        <v>84</v>
      </c>
      <c r="E7" s="47" t="s">
        <v>85</v>
      </c>
      <c r="F7" s="47" t="s">
        <v>86</v>
      </c>
      <c r="G7" s="47" t="s">
        <v>87</v>
      </c>
      <c r="H7" s="48" t="s">
        <v>88</v>
      </c>
      <c r="I7" s="47" t="s">
        <v>89</v>
      </c>
      <c r="J7" s="47" t="s">
        <v>90</v>
      </c>
      <c r="K7" s="49" t="s">
        <v>91</v>
      </c>
      <c r="L7" s="50"/>
    </row>
    <row r="8" spans="2:12" s="7" customFormat="1" x14ac:dyDescent="0.25">
      <c r="B8" s="134">
        <v>11</v>
      </c>
      <c r="C8" s="135" t="s">
        <v>20</v>
      </c>
      <c r="D8" s="136"/>
      <c r="E8" s="136"/>
      <c r="F8" s="136"/>
      <c r="G8" s="136">
        <f>SUM(G9)</f>
        <v>138668.28</v>
      </c>
      <c r="H8" s="136"/>
      <c r="I8" s="136"/>
      <c r="J8" s="136"/>
      <c r="K8" s="136">
        <f>SUM(G8)</f>
        <v>138668.28</v>
      </c>
    </row>
    <row r="9" spans="2:12" s="7" customFormat="1" x14ac:dyDescent="0.25">
      <c r="B9" s="129">
        <v>118</v>
      </c>
      <c r="C9" s="130" t="s">
        <v>21</v>
      </c>
      <c r="D9" s="131"/>
      <c r="E9" s="131"/>
      <c r="F9" s="131"/>
      <c r="G9" s="131">
        <f>SUM(G10:G13)</f>
        <v>138668.28</v>
      </c>
      <c r="H9" s="131"/>
      <c r="I9" s="131"/>
      <c r="J9" s="131"/>
      <c r="K9" s="131">
        <f>SUM(G9)</f>
        <v>138668.28</v>
      </c>
    </row>
    <row r="10" spans="2:12" x14ac:dyDescent="0.25">
      <c r="B10" s="51">
        <v>11801</v>
      </c>
      <c r="C10" s="52" t="s">
        <v>22</v>
      </c>
      <c r="D10" s="53"/>
      <c r="E10" s="53"/>
      <c r="F10" s="53"/>
      <c r="G10" s="53">
        <v>62085.11</v>
      </c>
      <c r="H10" s="53"/>
      <c r="I10" s="53"/>
      <c r="J10" s="54"/>
      <c r="K10" s="53">
        <f>SUM(G10)</f>
        <v>62085.11</v>
      </c>
    </row>
    <row r="11" spans="2:12" x14ac:dyDescent="0.25">
      <c r="B11" s="51">
        <v>11802</v>
      </c>
      <c r="C11" s="52" t="s">
        <v>23</v>
      </c>
      <c r="D11" s="53"/>
      <c r="E11" s="53"/>
      <c r="F11" s="53"/>
      <c r="G11" s="53">
        <v>63650.31</v>
      </c>
      <c r="H11" s="53"/>
      <c r="I11" s="53"/>
      <c r="J11" s="54"/>
      <c r="K11" s="53">
        <f t="shared" ref="K11:K13" si="0">SUM(G11)</f>
        <v>63650.31</v>
      </c>
    </row>
    <row r="12" spans="2:12" x14ac:dyDescent="0.25">
      <c r="B12" s="51">
        <v>11816</v>
      </c>
      <c r="C12" s="54" t="s">
        <v>24</v>
      </c>
      <c r="D12" s="53"/>
      <c r="E12" s="53"/>
      <c r="F12" s="53"/>
      <c r="G12" s="53">
        <v>5006.58</v>
      </c>
      <c r="H12" s="53"/>
      <c r="I12" s="53"/>
      <c r="J12" s="54"/>
      <c r="K12" s="53">
        <f t="shared" si="0"/>
        <v>5006.58</v>
      </c>
    </row>
    <row r="13" spans="2:12" x14ac:dyDescent="0.25">
      <c r="B13" s="51">
        <v>11818</v>
      </c>
      <c r="C13" s="52" t="s">
        <v>25</v>
      </c>
      <c r="D13" s="53"/>
      <c r="E13" s="53"/>
      <c r="F13" s="53"/>
      <c r="G13" s="53">
        <v>7926.28</v>
      </c>
      <c r="H13" s="53"/>
      <c r="I13" s="53"/>
      <c r="J13" s="54"/>
      <c r="K13" s="53">
        <f t="shared" si="0"/>
        <v>7926.28</v>
      </c>
    </row>
    <row r="14" spans="2:12" s="7" customFormat="1" x14ac:dyDescent="0.25">
      <c r="B14" s="137">
        <v>12</v>
      </c>
      <c r="C14" s="138" t="s">
        <v>26</v>
      </c>
      <c r="D14" s="136"/>
      <c r="E14" s="136"/>
      <c r="F14" s="136"/>
      <c r="G14" s="136">
        <f>SUM(G15,G27)</f>
        <v>823874.6399999999</v>
      </c>
      <c r="H14" s="136"/>
      <c r="I14" s="136"/>
      <c r="J14" s="136"/>
      <c r="K14" s="136">
        <f>SUM(K15,K27)</f>
        <v>823874.6399999999</v>
      </c>
    </row>
    <row r="15" spans="2:12" s="7" customFormat="1" x14ac:dyDescent="0.25">
      <c r="B15" s="129">
        <v>121</v>
      </c>
      <c r="C15" s="130" t="s">
        <v>27</v>
      </c>
      <c r="D15" s="131"/>
      <c r="E15" s="131"/>
      <c r="F15" s="131"/>
      <c r="G15" s="131">
        <f>SUM(G16:G26)</f>
        <v>738818.15999999992</v>
      </c>
      <c r="H15" s="131"/>
      <c r="I15" s="131"/>
      <c r="J15" s="131"/>
      <c r="K15" s="131">
        <f>SUM(K16:K26)</f>
        <v>738818.15999999992</v>
      </c>
    </row>
    <row r="16" spans="2:12" x14ac:dyDescent="0.25">
      <c r="B16" s="51">
        <v>12105</v>
      </c>
      <c r="C16" s="52" t="s">
        <v>28</v>
      </c>
      <c r="D16" s="53"/>
      <c r="E16" s="53"/>
      <c r="F16" s="53"/>
      <c r="G16" s="53">
        <v>20821.64</v>
      </c>
      <c r="H16" s="53"/>
      <c r="I16" s="53"/>
      <c r="J16" s="54"/>
      <c r="K16" s="53">
        <f t="shared" ref="K16:K26" si="1">SUM(G16)</f>
        <v>20821.64</v>
      </c>
    </row>
    <row r="17" spans="2:11" x14ac:dyDescent="0.25">
      <c r="B17" s="51">
        <v>12106</v>
      </c>
      <c r="C17" s="52" t="s">
        <v>29</v>
      </c>
      <c r="D17" s="53"/>
      <c r="E17" s="53"/>
      <c r="F17" s="53"/>
      <c r="G17" s="53">
        <v>10492.88</v>
      </c>
      <c r="H17" s="53"/>
      <c r="I17" s="53"/>
      <c r="J17" s="54"/>
      <c r="K17" s="53">
        <f t="shared" si="1"/>
        <v>10492.88</v>
      </c>
    </row>
    <row r="18" spans="2:11" x14ac:dyDescent="0.25">
      <c r="B18" s="51">
        <v>12108</v>
      </c>
      <c r="C18" s="52" t="s">
        <v>30</v>
      </c>
      <c r="D18" s="53"/>
      <c r="E18" s="53"/>
      <c r="F18" s="53"/>
      <c r="G18" s="53">
        <v>96303.62</v>
      </c>
      <c r="H18" s="53"/>
      <c r="I18" s="53"/>
      <c r="J18" s="54"/>
      <c r="K18" s="53">
        <f t="shared" si="1"/>
        <v>96303.62</v>
      </c>
    </row>
    <row r="19" spans="2:11" x14ac:dyDescent="0.25">
      <c r="B19" s="51">
        <v>12109</v>
      </c>
      <c r="C19" s="52" t="s">
        <v>31</v>
      </c>
      <c r="D19" s="53"/>
      <c r="E19" s="53"/>
      <c r="F19" s="53"/>
      <c r="G19" s="55">
        <v>127398.47</v>
      </c>
      <c r="H19" s="53"/>
      <c r="I19" s="53"/>
      <c r="J19" s="54"/>
      <c r="K19" s="53">
        <f t="shared" si="1"/>
        <v>127398.47</v>
      </c>
    </row>
    <row r="20" spans="2:11" x14ac:dyDescent="0.25">
      <c r="B20" s="51">
        <v>12111</v>
      </c>
      <c r="C20" s="52" t="s">
        <v>32</v>
      </c>
      <c r="D20" s="53"/>
      <c r="E20" s="53"/>
      <c r="F20" s="53"/>
      <c r="G20" s="53">
        <v>13347.74</v>
      </c>
      <c r="H20" s="53"/>
      <c r="I20" s="53"/>
      <c r="J20" s="54"/>
      <c r="K20" s="53">
        <f t="shared" si="1"/>
        <v>13347.74</v>
      </c>
    </row>
    <row r="21" spans="2:11" x14ac:dyDescent="0.25">
      <c r="B21" s="51">
        <v>12114</v>
      </c>
      <c r="C21" s="54" t="s">
        <v>92</v>
      </c>
      <c r="D21" s="53"/>
      <c r="E21" s="53"/>
      <c r="F21" s="53"/>
      <c r="G21" s="53">
        <v>33927.57</v>
      </c>
      <c r="H21" s="53"/>
      <c r="I21" s="53"/>
      <c r="J21" s="54"/>
      <c r="K21" s="53">
        <f t="shared" si="1"/>
        <v>33927.57</v>
      </c>
    </row>
    <row r="22" spans="2:11" x14ac:dyDescent="0.25">
      <c r="B22" s="51">
        <v>12115</v>
      </c>
      <c r="C22" s="52" t="s">
        <v>93</v>
      </c>
      <c r="D22" s="53"/>
      <c r="E22" s="53"/>
      <c r="F22" s="53"/>
      <c r="G22" s="53">
        <v>74560.42</v>
      </c>
      <c r="H22" s="53"/>
      <c r="I22" s="53"/>
      <c r="J22" s="54"/>
      <c r="K22" s="53">
        <f t="shared" si="1"/>
        <v>74560.42</v>
      </c>
    </row>
    <row r="23" spans="2:11" x14ac:dyDescent="0.25">
      <c r="B23" s="51">
        <v>12117</v>
      </c>
      <c r="C23" s="52" t="s">
        <v>35</v>
      </c>
      <c r="D23" s="53"/>
      <c r="E23" s="53"/>
      <c r="F23" s="53"/>
      <c r="G23" s="53">
        <v>90025.42</v>
      </c>
      <c r="H23" s="53"/>
      <c r="I23" s="53"/>
      <c r="J23" s="54"/>
      <c r="K23" s="53">
        <f t="shared" si="1"/>
        <v>90025.42</v>
      </c>
    </row>
    <row r="24" spans="2:11" x14ac:dyDescent="0.25">
      <c r="B24" s="51">
        <v>12118</v>
      </c>
      <c r="C24" s="52" t="s">
        <v>36</v>
      </c>
      <c r="D24" s="53"/>
      <c r="E24" s="53"/>
      <c r="F24" s="53"/>
      <c r="G24" s="53">
        <v>265484.68</v>
      </c>
      <c r="H24" s="53"/>
      <c r="I24" s="53"/>
      <c r="J24" s="54"/>
      <c r="K24" s="53">
        <f t="shared" si="1"/>
        <v>265484.68</v>
      </c>
    </row>
    <row r="25" spans="2:11" x14ac:dyDescent="0.25">
      <c r="B25" s="51">
        <v>12119</v>
      </c>
      <c r="C25" s="52" t="s">
        <v>94</v>
      </c>
      <c r="D25" s="53"/>
      <c r="E25" s="53"/>
      <c r="F25" s="53"/>
      <c r="G25" s="53">
        <v>1905</v>
      </c>
      <c r="H25" s="53"/>
      <c r="I25" s="53"/>
      <c r="J25" s="54"/>
      <c r="K25" s="53">
        <f t="shared" si="1"/>
        <v>1905</v>
      </c>
    </row>
    <row r="26" spans="2:11" x14ac:dyDescent="0.25">
      <c r="B26" s="51">
        <v>12199</v>
      </c>
      <c r="C26" s="52" t="s">
        <v>38</v>
      </c>
      <c r="D26" s="53"/>
      <c r="E26" s="53"/>
      <c r="F26" s="53"/>
      <c r="G26" s="53">
        <v>4550.72</v>
      </c>
      <c r="H26" s="53"/>
      <c r="I26" s="53"/>
      <c r="J26" s="54"/>
      <c r="K26" s="53">
        <f t="shared" si="1"/>
        <v>4550.72</v>
      </c>
    </row>
    <row r="27" spans="2:11" s="7" customFormat="1" x14ac:dyDescent="0.25">
      <c r="B27" s="129">
        <v>122</v>
      </c>
      <c r="C27" s="130" t="s">
        <v>39</v>
      </c>
      <c r="D27" s="131"/>
      <c r="E27" s="131"/>
      <c r="F27" s="131"/>
      <c r="G27" s="131">
        <f>SUM(G28:G29)</f>
        <v>85056.48</v>
      </c>
      <c r="H27" s="131"/>
      <c r="I27" s="131"/>
      <c r="J27" s="131"/>
      <c r="K27" s="131">
        <f t="shared" ref="K27" si="2">SUM(G27)</f>
        <v>85056.48</v>
      </c>
    </row>
    <row r="28" spans="2:11" x14ac:dyDescent="0.25">
      <c r="B28" s="51">
        <v>12210</v>
      </c>
      <c r="C28" s="52" t="s">
        <v>40</v>
      </c>
      <c r="D28" s="53"/>
      <c r="E28" s="53"/>
      <c r="F28" s="53"/>
      <c r="G28" s="53">
        <v>85038.73</v>
      </c>
      <c r="H28" s="53"/>
      <c r="I28" s="53"/>
      <c r="J28" s="54"/>
      <c r="K28" s="53">
        <f t="shared" ref="K28:K29" si="3">SUM(G28)</f>
        <v>85038.73</v>
      </c>
    </row>
    <row r="29" spans="2:11" x14ac:dyDescent="0.25">
      <c r="B29" s="51">
        <v>12211</v>
      </c>
      <c r="C29" s="52" t="s">
        <v>41</v>
      </c>
      <c r="D29" s="53"/>
      <c r="E29" s="53"/>
      <c r="F29" s="53"/>
      <c r="G29" s="53">
        <v>17.75</v>
      </c>
      <c r="H29" s="56"/>
      <c r="I29" s="57"/>
      <c r="K29" s="53">
        <f t="shared" si="3"/>
        <v>17.75</v>
      </c>
    </row>
    <row r="30" spans="2:11" s="7" customFormat="1" x14ac:dyDescent="0.25">
      <c r="B30" s="137">
        <v>14</v>
      </c>
      <c r="C30" s="138" t="s">
        <v>95</v>
      </c>
      <c r="D30" s="136"/>
      <c r="E30" s="136"/>
      <c r="F30" s="136"/>
      <c r="G30" s="136">
        <f>SUM(G31)</f>
        <v>92072.71</v>
      </c>
      <c r="H30" s="136"/>
      <c r="I30" s="136"/>
      <c r="J30" s="136"/>
      <c r="K30" s="136">
        <f>SUM(K31)</f>
        <v>92072.71</v>
      </c>
    </row>
    <row r="31" spans="2:11" s="7" customFormat="1" x14ac:dyDescent="0.25">
      <c r="B31" s="129">
        <v>142</v>
      </c>
      <c r="C31" s="130" t="s">
        <v>96</v>
      </c>
      <c r="D31" s="131"/>
      <c r="E31" s="131"/>
      <c r="F31" s="131"/>
      <c r="G31" s="131">
        <f>SUM(G32:G32)</f>
        <v>92072.71</v>
      </c>
      <c r="H31" s="131"/>
      <c r="I31" s="131"/>
      <c r="J31" s="131"/>
      <c r="K31" s="131">
        <f>SUM(K32:K32)</f>
        <v>92072.71</v>
      </c>
    </row>
    <row r="32" spans="2:11" x14ac:dyDescent="0.25">
      <c r="B32" s="51">
        <v>14201</v>
      </c>
      <c r="C32" s="52" t="s">
        <v>44</v>
      </c>
      <c r="D32" s="53"/>
      <c r="E32" s="53"/>
      <c r="F32" s="53"/>
      <c r="G32" s="58">
        <v>92072.71</v>
      </c>
      <c r="H32" s="53"/>
      <c r="I32" s="53"/>
      <c r="J32" s="54"/>
      <c r="K32" s="53">
        <f t="shared" ref="K32" si="4">SUM(G32)</f>
        <v>92072.71</v>
      </c>
    </row>
    <row r="33" spans="2:11" s="7" customFormat="1" x14ac:dyDescent="0.25">
      <c r="B33" s="137">
        <v>15</v>
      </c>
      <c r="C33" s="138" t="s">
        <v>45</v>
      </c>
      <c r="D33" s="136"/>
      <c r="E33" s="136"/>
      <c r="F33" s="136"/>
      <c r="G33" s="136">
        <f>SUM(G34,G39,G41)</f>
        <v>48133.599999999999</v>
      </c>
      <c r="H33" s="136"/>
      <c r="I33" s="136"/>
      <c r="J33" s="136"/>
      <c r="K33" s="136">
        <f>SUM(K41,K39,K34)</f>
        <v>48133.599999999999</v>
      </c>
    </row>
    <row r="34" spans="2:11" s="7" customFormat="1" x14ac:dyDescent="0.25">
      <c r="B34" s="129">
        <v>153</v>
      </c>
      <c r="C34" s="130" t="s">
        <v>97</v>
      </c>
      <c r="D34" s="131"/>
      <c r="E34" s="131"/>
      <c r="F34" s="131"/>
      <c r="G34" s="131">
        <f>SUM(G35:G38)</f>
        <v>13213.859999999999</v>
      </c>
      <c r="H34" s="131"/>
      <c r="I34" s="131"/>
      <c r="J34" s="131"/>
      <c r="K34" s="131">
        <f>SUM(K35:K38)</f>
        <v>13213.859999999999</v>
      </c>
    </row>
    <row r="35" spans="2:11" x14ac:dyDescent="0.25">
      <c r="B35" s="51">
        <v>15301</v>
      </c>
      <c r="C35" s="52" t="s">
        <v>98</v>
      </c>
      <c r="D35" s="53"/>
      <c r="E35" s="53"/>
      <c r="F35" s="53"/>
      <c r="G35" s="53">
        <v>6556.98</v>
      </c>
      <c r="H35" s="53"/>
      <c r="I35" s="53"/>
      <c r="J35" s="54"/>
      <c r="K35" s="53">
        <f t="shared" ref="K35:K38" si="5">SUM(G35)</f>
        <v>6556.98</v>
      </c>
    </row>
    <row r="36" spans="2:11" x14ac:dyDescent="0.25">
      <c r="B36" s="59">
        <v>15302</v>
      </c>
      <c r="C36" s="60" t="s">
        <v>99</v>
      </c>
      <c r="D36" s="61"/>
      <c r="E36" s="61"/>
      <c r="F36" s="61"/>
      <c r="G36" s="61">
        <v>3316.72</v>
      </c>
      <c r="H36" s="61"/>
      <c r="I36" s="61"/>
      <c r="J36" s="54"/>
      <c r="K36" s="53">
        <f t="shared" si="5"/>
        <v>3316.72</v>
      </c>
    </row>
    <row r="37" spans="2:11" x14ac:dyDescent="0.25">
      <c r="B37" s="51">
        <v>15312</v>
      </c>
      <c r="C37" s="54" t="s">
        <v>49</v>
      </c>
      <c r="D37" s="53"/>
      <c r="E37" s="53"/>
      <c r="F37" s="53"/>
      <c r="G37" s="53">
        <v>3328.72</v>
      </c>
      <c r="H37" s="53"/>
      <c r="I37" s="53"/>
      <c r="J37" s="54"/>
      <c r="K37" s="53">
        <f t="shared" si="5"/>
        <v>3328.72</v>
      </c>
    </row>
    <row r="38" spans="2:11" x14ac:dyDescent="0.25">
      <c r="B38" s="51">
        <v>15314</v>
      </c>
      <c r="C38" s="54" t="s">
        <v>50</v>
      </c>
      <c r="D38" s="53"/>
      <c r="E38" s="53"/>
      <c r="F38" s="53"/>
      <c r="G38" s="53">
        <v>11.44</v>
      </c>
      <c r="H38" s="53"/>
      <c r="I38" s="53"/>
      <c r="J38" s="54"/>
      <c r="K38" s="53">
        <f t="shared" si="5"/>
        <v>11.44</v>
      </c>
    </row>
    <row r="39" spans="2:11" s="62" customFormat="1" x14ac:dyDescent="0.25">
      <c r="B39" s="129">
        <v>154</v>
      </c>
      <c r="C39" s="130" t="s">
        <v>51</v>
      </c>
      <c r="D39" s="131"/>
      <c r="E39" s="131"/>
      <c r="F39" s="131"/>
      <c r="G39" s="131">
        <f>SUM(G40)</f>
        <v>31708.77</v>
      </c>
      <c r="H39" s="131"/>
      <c r="I39" s="131"/>
      <c r="J39" s="131"/>
      <c r="K39" s="131">
        <f>SUM(K40)</f>
        <v>31708.77</v>
      </c>
    </row>
    <row r="40" spans="2:11" x14ac:dyDescent="0.25">
      <c r="B40" s="59">
        <v>15402</v>
      </c>
      <c r="C40" s="60" t="s">
        <v>100</v>
      </c>
      <c r="D40" s="61"/>
      <c r="E40" s="61"/>
      <c r="F40" s="61"/>
      <c r="G40" s="61">
        <v>31708.77</v>
      </c>
      <c r="H40" s="61"/>
      <c r="I40" s="57"/>
      <c r="K40" s="61">
        <f>SUM(G40)</f>
        <v>31708.77</v>
      </c>
    </row>
    <row r="41" spans="2:11" s="7" customFormat="1" x14ac:dyDescent="0.25">
      <c r="B41" s="129">
        <v>157</v>
      </c>
      <c r="C41" s="130" t="s">
        <v>53</v>
      </c>
      <c r="D41" s="131"/>
      <c r="E41" s="131"/>
      <c r="F41" s="131"/>
      <c r="G41" s="131">
        <f>SUM(G42)</f>
        <v>3210.97</v>
      </c>
      <c r="H41" s="131"/>
      <c r="I41" s="131"/>
      <c r="J41" s="130"/>
      <c r="K41" s="131">
        <f>SUM(K42)</f>
        <v>3210.97</v>
      </c>
    </row>
    <row r="42" spans="2:11" x14ac:dyDescent="0.25">
      <c r="B42" s="51">
        <v>15799</v>
      </c>
      <c r="C42" s="52" t="s">
        <v>54</v>
      </c>
      <c r="D42" s="53"/>
      <c r="E42" s="53"/>
      <c r="F42" s="53"/>
      <c r="G42" s="53">
        <v>3210.97</v>
      </c>
      <c r="H42" s="53"/>
      <c r="I42" s="57"/>
      <c r="K42" s="53">
        <f>SUM(G42)</f>
        <v>3210.97</v>
      </c>
    </row>
    <row r="43" spans="2:11" s="7" customFormat="1" x14ac:dyDescent="0.25">
      <c r="B43" s="137">
        <v>16</v>
      </c>
      <c r="C43" s="138" t="s">
        <v>57</v>
      </c>
      <c r="D43" s="136">
        <f>SUM(D45)</f>
        <v>310798.33</v>
      </c>
      <c r="E43" s="136"/>
      <c r="F43" s="136">
        <f>SUM(D43,E43)</f>
        <v>310798.33</v>
      </c>
      <c r="G43" s="136"/>
      <c r="H43" s="26"/>
      <c r="I43" s="26"/>
      <c r="J43" s="136">
        <f>SUM(J44)</f>
        <v>0</v>
      </c>
      <c r="K43" s="136">
        <f>SUM(F43)</f>
        <v>310798.33</v>
      </c>
    </row>
    <row r="44" spans="2:11" s="7" customFormat="1" x14ac:dyDescent="0.25">
      <c r="B44" s="129">
        <v>162</v>
      </c>
      <c r="C44" s="130" t="s">
        <v>101</v>
      </c>
      <c r="D44" s="132">
        <v>310798.33</v>
      </c>
      <c r="E44" s="131"/>
      <c r="F44" s="131">
        <f>SUM(D44,E44)</f>
        <v>310798.33</v>
      </c>
      <c r="G44" s="131"/>
      <c r="H44" s="26"/>
      <c r="I44" s="26"/>
      <c r="J44" s="131">
        <f>SUM(J45)</f>
        <v>0</v>
      </c>
      <c r="K44" s="136">
        <f>SUM(F44)</f>
        <v>310798.33</v>
      </c>
    </row>
    <row r="45" spans="2:11" x14ac:dyDescent="0.25">
      <c r="B45" s="59">
        <v>16201</v>
      </c>
      <c r="C45" s="60" t="s">
        <v>102</v>
      </c>
      <c r="D45" s="63">
        <f>SUM(D44)</f>
        <v>310798.33</v>
      </c>
      <c r="E45" s="64"/>
      <c r="F45" s="63">
        <f>SUM(D45,E45)</f>
        <v>310798.33</v>
      </c>
      <c r="G45" s="64"/>
      <c r="H45" s="65"/>
      <c r="I45" s="65"/>
      <c r="J45" s="63" t="s">
        <v>103</v>
      </c>
      <c r="K45" s="63">
        <f>SUM(F45)</f>
        <v>310798.33</v>
      </c>
    </row>
    <row r="46" spans="2:11" s="7" customFormat="1" x14ac:dyDescent="0.25">
      <c r="B46" s="137">
        <v>22</v>
      </c>
      <c r="C46" s="138" t="s">
        <v>61</v>
      </c>
      <c r="D46" s="136"/>
      <c r="E46" s="136">
        <f>SUM(E47)</f>
        <v>932395.08</v>
      </c>
      <c r="F46" s="136">
        <f>SUM(E46)</f>
        <v>932395.08</v>
      </c>
      <c r="G46" s="136"/>
      <c r="H46" s="26"/>
      <c r="I46" s="26"/>
      <c r="J46" s="136">
        <f>SUM(J47)</f>
        <v>0</v>
      </c>
      <c r="K46" s="136">
        <f>SUM(K47)</f>
        <v>932395.08</v>
      </c>
    </row>
    <row r="47" spans="2:11" s="7" customFormat="1" x14ac:dyDescent="0.25">
      <c r="B47" s="129">
        <v>222</v>
      </c>
      <c r="C47" s="130" t="s">
        <v>104</v>
      </c>
      <c r="D47" s="131"/>
      <c r="E47" s="131">
        <f>SUM(E48)</f>
        <v>932395.08</v>
      </c>
      <c r="F47" s="131">
        <f>SUM(E47)</f>
        <v>932395.08</v>
      </c>
      <c r="G47" s="131"/>
      <c r="H47" s="26"/>
      <c r="I47" s="26"/>
      <c r="J47" s="131">
        <f>SUM(J48:J48)</f>
        <v>0</v>
      </c>
      <c r="K47" s="131">
        <f>SUM(K48)</f>
        <v>932395.08</v>
      </c>
    </row>
    <row r="48" spans="2:11" x14ac:dyDescent="0.25">
      <c r="B48" s="51">
        <v>22201</v>
      </c>
      <c r="C48" s="52" t="s">
        <v>105</v>
      </c>
      <c r="D48" s="53"/>
      <c r="E48" s="53">
        <v>932395.08</v>
      </c>
      <c r="F48" s="53">
        <f>SUM(E48)</f>
        <v>932395.08</v>
      </c>
      <c r="G48" s="53"/>
      <c r="H48" s="66"/>
      <c r="I48" s="66"/>
      <c r="J48" s="53"/>
      <c r="K48" s="53">
        <f>SUM(F48)</f>
        <v>932395.08</v>
      </c>
    </row>
    <row r="49" spans="2:13" s="7" customFormat="1" x14ac:dyDescent="0.25">
      <c r="B49" s="137">
        <v>32</v>
      </c>
      <c r="C49" s="138" t="s">
        <v>65</v>
      </c>
      <c r="D49" s="136">
        <f t="shared" ref="D49:H49" si="6">SUM(D50)</f>
        <v>24124.76</v>
      </c>
      <c r="E49" s="136">
        <f t="shared" si="6"/>
        <v>80344.779999999984</v>
      </c>
      <c r="F49" s="136">
        <f>SUM(D49:E49)</f>
        <v>104469.53999999998</v>
      </c>
      <c r="G49" s="136">
        <f t="shared" si="6"/>
        <v>583.98</v>
      </c>
      <c r="H49" s="136">
        <f t="shared" si="6"/>
        <v>392.58</v>
      </c>
      <c r="I49" s="136"/>
      <c r="J49" s="136"/>
      <c r="K49" s="136">
        <f>SUM(F49:J49)</f>
        <v>105446.09999999998</v>
      </c>
    </row>
    <row r="50" spans="2:13" s="7" customFormat="1" x14ac:dyDescent="0.25">
      <c r="B50" s="129">
        <v>321</v>
      </c>
      <c r="C50" s="130" t="s">
        <v>106</v>
      </c>
      <c r="D50" s="131">
        <f>SUM(D51:D61)</f>
        <v>24124.76</v>
      </c>
      <c r="E50" s="131">
        <f>SUM(E51:E61)</f>
        <v>80344.779999999984</v>
      </c>
      <c r="F50" s="131">
        <f>SUM(D50:E50)</f>
        <v>104469.53999999998</v>
      </c>
      <c r="G50" s="131">
        <f>SUM(G51:G61)</f>
        <v>583.98</v>
      </c>
      <c r="H50" s="131">
        <f>SUM(H51:H60)</f>
        <v>392.58</v>
      </c>
      <c r="I50" s="131"/>
      <c r="J50" s="131"/>
      <c r="K50" s="131">
        <f>SUM(K51:K61)</f>
        <v>105446.09999999998</v>
      </c>
    </row>
    <row r="51" spans="2:13" x14ac:dyDescent="0.25">
      <c r="B51" s="27">
        <v>32102</v>
      </c>
      <c r="C51" s="28" t="s">
        <v>67</v>
      </c>
      <c r="D51" s="67"/>
      <c r="E51" s="67"/>
      <c r="F51" s="67">
        <f>SUM(D51:E51)</f>
        <v>0</v>
      </c>
      <c r="G51" s="67">
        <v>308.73</v>
      </c>
      <c r="H51" s="67"/>
      <c r="I51" s="67"/>
      <c r="J51" s="67"/>
      <c r="K51" s="67">
        <f>SUM(F51:J51)</f>
        <v>308.73</v>
      </c>
    </row>
    <row r="52" spans="2:13" x14ac:dyDescent="0.25">
      <c r="B52" s="30">
        <v>32102</v>
      </c>
      <c r="C52" s="31" t="s">
        <v>68</v>
      </c>
      <c r="D52" s="67"/>
      <c r="E52" s="67">
        <v>3900.93</v>
      </c>
      <c r="F52" s="67">
        <f>SUM(E52)</f>
        <v>3900.93</v>
      </c>
      <c r="G52" s="67"/>
      <c r="H52" s="67"/>
      <c r="I52" s="67"/>
      <c r="J52" s="67"/>
      <c r="K52" s="67">
        <f t="shared" ref="K52:K61" si="7">SUM(F52:J52)</f>
        <v>3900.93</v>
      </c>
    </row>
    <row r="53" spans="2:13" x14ac:dyDescent="0.25">
      <c r="B53" s="30">
        <v>32102</v>
      </c>
      <c r="C53" s="31" t="s">
        <v>107</v>
      </c>
      <c r="D53" s="67"/>
      <c r="E53" s="67">
        <v>4211.6000000000004</v>
      </c>
      <c r="F53" s="67">
        <f>SUM(E53)</f>
        <v>4211.6000000000004</v>
      </c>
      <c r="G53" s="67"/>
      <c r="H53" s="67" t="s">
        <v>108</v>
      </c>
      <c r="I53" s="67"/>
      <c r="J53" s="67"/>
      <c r="K53" s="67">
        <f t="shared" si="7"/>
        <v>4211.6000000000004</v>
      </c>
    </row>
    <row r="54" spans="2:13" x14ac:dyDescent="0.25">
      <c r="B54" s="30">
        <v>32102</v>
      </c>
      <c r="C54" s="31" t="s">
        <v>70</v>
      </c>
      <c r="D54" s="67"/>
      <c r="E54" s="67">
        <v>72068.62</v>
      </c>
      <c r="F54" s="67">
        <f>SUM(E54)</f>
        <v>72068.62</v>
      </c>
      <c r="G54" s="67"/>
      <c r="H54" s="67"/>
      <c r="I54" s="67"/>
      <c r="J54" s="67"/>
      <c r="K54" s="67">
        <f t="shared" si="7"/>
        <v>72068.62</v>
      </c>
    </row>
    <row r="55" spans="2:13" x14ac:dyDescent="0.25">
      <c r="B55" s="30">
        <v>32102</v>
      </c>
      <c r="C55" s="31" t="s">
        <v>71</v>
      </c>
      <c r="D55" s="67">
        <v>101.89</v>
      </c>
      <c r="E55" s="67"/>
      <c r="F55" s="67">
        <f>SUM(D55:E55)</f>
        <v>101.89</v>
      </c>
      <c r="G55" s="67"/>
      <c r="H55" s="67"/>
      <c r="I55" s="67"/>
      <c r="J55" s="67"/>
      <c r="K55" s="67">
        <f t="shared" si="7"/>
        <v>101.89</v>
      </c>
    </row>
    <row r="56" spans="2:13" x14ac:dyDescent="0.25">
      <c r="B56" s="30">
        <v>32102</v>
      </c>
      <c r="C56" s="31" t="s">
        <v>72</v>
      </c>
      <c r="D56" s="67">
        <v>24022.87</v>
      </c>
      <c r="E56" s="68"/>
      <c r="F56" s="67">
        <f>SUM(D56)</f>
        <v>24022.87</v>
      </c>
      <c r="G56" s="67"/>
      <c r="H56" s="67"/>
      <c r="I56" s="67"/>
      <c r="J56" s="67"/>
      <c r="K56" s="67">
        <f t="shared" si="7"/>
        <v>24022.87</v>
      </c>
    </row>
    <row r="57" spans="2:13" x14ac:dyDescent="0.25">
      <c r="B57" s="30">
        <v>32102</v>
      </c>
      <c r="C57" s="32" t="s">
        <v>73</v>
      </c>
      <c r="D57" s="69"/>
      <c r="E57" s="68">
        <v>50.01</v>
      </c>
      <c r="F57" s="67">
        <f>SUM(E57)</f>
        <v>50.01</v>
      </c>
      <c r="G57" s="67"/>
      <c r="H57" s="67"/>
      <c r="I57" s="67"/>
      <c r="J57" s="67"/>
      <c r="K57" s="67">
        <f t="shared" si="7"/>
        <v>50.01</v>
      </c>
    </row>
    <row r="58" spans="2:13" x14ac:dyDescent="0.25">
      <c r="B58" s="30">
        <v>32102</v>
      </c>
      <c r="C58" s="31" t="s">
        <v>74</v>
      </c>
      <c r="D58" s="67"/>
      <c r="E58" s="68"/>
      <c r="F58" s="67"/>
      <c r="G58" s="67">
        <v>275.25</v>
      </c>
      <c r="H58" s="67"/>
      <c r="I58" s="67"/>
      <c r="J58" s="67"/>
      <c r="K58" s="67">
        <f t="shared" si="7"/>
        <v>275.25</v>
      </c>
    </row>
    <row r="59" spans="2:13" x14ac:dyDescent="0.25">
      <c r="B59" s="30">
        <v>32102</v>
      </c>
      <c r="C59" s="34" t="s">
        <v>75</v>
      </c>
      <c r="D59" s="67"/>
      <c r="E59" s="67"/>
      <c r="F59" s="70"/>
      <c r="G59" s="71"/>
      <c r="H59" s="70">
        <v>59.51</v>
      </c>
      <c r="I59" s="70"/>
      <c r="J59" s="71"/>
      <c r="K59" s="67">
        <f t="shared" si="7"/>
        <v>59.51</v>
      </c>
    </row>
    <row r="60" spans="2:13" x14ac:dyDescent="0.25">
      <c r="B60" s="30">
        <v>32102</v>
      </c>
      <c r="C60" s="31" t="s">
        <v>76</v>
      </c>
      <c r="D60" s="67"/>
      <c r="E60" s="67"/>
      <c r="F60" s="67"/>
      <c r="G60" s="72"/>
      <c r="H60" s="67">
        <v>333.07</v>
      </c>
      <c r="I60" s="67"/>
      <c r="J60" s="72"/>
      <c r="K60" s="67">
        <f t="shared" si="7"/>
        <v>333.07</v>
      </c>
    </row>
    <row r="61" spans="2:13" x14ac:dyDescent="0.25">
      <c r="B61" s="30">
        <v>32102</v>
      </c>
      <c r="C61" s="32" t="s">
        <v>77</v>
      </c>
      <c r="D61" s="67"/>
      <c r="E61" s="68">
        <v>113.62</v>
      </c>
      <c r="F61" s="68">
        <f>SUM(E61)</f>
        <v>113.62</v>
      </c>
      <c r="G61" s="67"/>
      <c r="H61" s="67"/>
      <c r="I61" s="67"/>
      <c r="J61" s="67"/>
      <c r="K61" s="67">
        <f t="shared" si="7"/>
        <v>113.62</v>
      </c>
    </row>
    <row r="62" spans="2:13" s="7" customFormat="1" x14ac:dyDescent="0.25">
      <c r="B62" s="139"/>
      <c r="C62" s="140" t="s">
        <v>109</v>
      </c>
      <c r="D62" s="141">
        <f>SUM(D43,D49)</f>
        <v>334923.09000000003</v>
      </c>
      <c r="E62" s="141">
        <f>SUM(E46,E49)</f>
        <v>1012739.86</v>
      </c>
      <c r="F62" s="108">
        <f>SUM(F43,F46,F49)</f>
        <v>1347662.95</v>
      </c>
      <c r="G62" s="141">
        <f>SUM(G8,G14,G30,G33,G49)</f>
        <v>1103333.21</v>
      </c>
      <c r="H62" s="108">
        <f>SUM(H49,G46)</f>
        <v>392.58</v>
      </c>
      <c r="I62" s="108"/>
      <c r="J62" s="108"/>
      <c r="K62" s="108">
        <f>SUM(K8,K14,K30,K33,K43,K46,K49)</f>
        <v>2451388.7400000002</v>
      </c>
      <c r="M62" s="73"/>
    </row>
    <row r="63" spans="2:13" s="7" customFormat="1" x14ac:dyDescent="0.25">
      <c r="B63" s="139"/>
      <c r="C63" s="140" t="s">
        <v>110</v>
      </c>
      <c r="D63" s="141">
        <f>SUM(D44,D50)</f>
        <v>334923.09000000003</v>
      </c>
      <c r="E63" s="141">
        <f>SUM(E47,E50)</f>
        <v>1012739.86</v>
      </c>
      <c r="F63" s="108">
        <f>SUM(F44,F47,F50)</f>
        <v>1347662.95</v>
      </c>
      <c r="G63" s="141">
        <f>SUM(G9,G15,G27,G31,G34,G39,G41,G50)</f>
        <v>1103333.21</v>
      </c>
      <c r="H63" s="108">
        <f>SUM(G47,H50)</f>
        <v>392.58</v>
      </c>
      <c r="I63" s="108"/>
      <c r="J63" s="108"/>
      <c r="K63" s="108">
        <f>SUM(K9,K15,K27,K31,K34,K39,K41,K44,K47,K50)</f>
        <v>2451388.7400000002</v>
      </c>
    </row>
    <row r="64" spans="2:13" s="7" customFormat="1" x14ac:dyDescent="0.25">
      <c r="B64" s="139"/>
      <c r="C64" s="140" t="s">
        <v>111</v>
      </c>
      <c r="D64" s="141">
        <f>SUM(D45,D55,D56)</f>
        <v>334923.09000000003</v>
      </c>
      <c r="E64" s="141">
        <f>SUM(E48,E52:E61)</f>
        <v>1012739.86</v>
      </c>
      <c r="F64" s="108">
        <f>SUM(F45,F48,F51:F61)</f>
        <v>1347662.9500000002</v>
      </c>
      <c r="G64" s="141">
        <f>SUM(G10:G13,G16:G26,G28:G29,G32:G32,G35:G38,G40,G42,G51:G61)</f>
        <v>1103333.2099999997</v>
      </c>
      <c r="H64" s="108">
        <f>SUM(H59:H61)</f>
        <v>392.58</v>
      </c>
      <c r="I64" s="108"/>
      <c r="J64" s="108"/>
      <c r="K64" s="108">
        <f>SUM(K10,K11:K13,K16:K26,K28:K29,K32,K35:K38,K40,K42,K45,K48,K51:K61)</f>
        <v>2451388.7399999998</v>
      </c>
      <c r="M64" s="74"/>
    </row>
    <row r="66" spans="2:11" x14ac:dyDescent="0.25">
      <c r="K66" s="75"/>
    </row>
    <row r="67" spans="2:11" x14ac:dyDescent="0.25">
      <c r="E67" s="75"/>
      <c r="F67" s="75"/>
      <c r="K67" s="75"/>
    </row>
    <row r="69" spans="2:11" ht="15.75" x14ac:dyDescent="0.25">
      <c r="C69" s="76"/>
      <c r="D69" s="77"/>
      <c r="E69" s="77"/>
      <c r="F69" s="77"/>
    </row>
    <row r="70" spans="2:11" x14ac:dyDescent="0.25">
      <c r="C70" t="s">
        <v>103</v>
      </c>
    </row>
    <row r="71" spans="2:11" x14ac:dyDescent="0.25">
      <c r="K71" s="75"/>
    </row>
    <row r="78" spans="2:11" x14ac:dyDescent="0.25">
      <c r="B78"/>
      <c r="H78"/>
      <c r="I78"/>
    </row>
    <row r="79" spans="2:11" x14ac:dyDescent="0.25">
      <c r="B79"/>
      <c r="H79"/>
      <c r="I79"/>
    </row>
    <row r="80" spans="2:11" x14ac:dyDescent="0.25">
      <c r="B80"/>
      <c r="H80"/>
      <c r="I80"/>
    </row>
    <row r="81" spans="2:9" x14ac:dyDescent="0.25">
      <c r="B81"/>
      <c r="H81"/>
      <c r="I81"/>
    </row>
    <row r="82" spans="2:9" x14ac:dyDescent="0.25">
      <c r="B82"/>
      <c r="H82"/>
      <c r="I82"/>
    </row>
    <row r="83" spans="2:9" x14ac:dyDescent="0.25">
      <c r="B83"/>
      <c r="H83"/>
      <c r="I83"/>
    </row>
    <row r="84" spans="2:9" x14ac:dyDescent="0.25">
      <c r="B84"/>
      <c r="H84"/>
      <c r="I84"/>
    </row>
    <row r="85" spans="2:9" x14ac:dyDescent="0.25">
      <c r="B85"/>
      <c r="H85"/>
      <c r="I85"/>
    </row>
    <row r="86" spans="2:9" x14ac:dyDescent="0.25">
      <c r="B86"/>
      <c r="H86"/>
      <c r="I86"/>
    </row>
    <row r="87" spans="2:9" x14ac:dyDescent="0.25">
      <c r="B87"/>
      <c r="H87"/>
      <c r="I87"/>
    </row>
    <row r="88" spans="2:9" x14ac:dyDescent="0.25">
      <c r="B88"/>
      <c r="H88"/>
      <c r="I88"/>
    </row>
    <row r="89" spans="2:9" x14ac:dyDescent="0.25">
      <c r="B89"/>
      <c r="H89"/>
      <c r="I89"/>
    </row>
    <row r="90" spans="2:9" x14ac:dyDescent="0.25">
      <c r="B90"/>
      <c r="H90"/>
      <c r="I90"/>
    </row>
    <row r="91" spans="2:9" x14ac:dyDescent="0.25">
      <c r="B91"/>
      <c r="H91"/>
      <c r="I91"/>
    </row>
    <row r="92" spans="2:9" x14ac:dyDescent="0.25">
      <c r="B92"/>
      <c r="H92"/>
      <c r="I92"/>
    </row>
    <row r="93" spans="2:9" x14ac:dyDescent="0.25">
      <c r="B93"/>
      <c r="H93"/>
      <c r="I93"/>
    </row>
    <row r="94" spans="2:9" x14ac:dyDescent="0.25">
      <c r="B94"/>
      <c r="H94"/>
      <c r="I94"/>
    </row>
    <row r="95" spans="2:9" x14ac:dyDescent="0.25">
      <c r="B95"/>
      <c r="H95"/>
      <c r="I95"/>
    </row>
    <row r="96" spans="2:9" x14ac:dyDescent="0.25">
      <c r="B96"/>
      <c r="H96"/>
      <c r="I96"/>
    </row>
    <row r="97" spans="2:9" x14ac:dyDescent="0.25">
      <c r="B97"/>
      <c r="H97"/>
      <c r="I97"/>
    </row>
    <row r="98" spans="2:9" x14ac:dyDescent="0.25">
      <c r="B98"/>
      <c r="H98"/>
      <c r="I98"/>
    </row>
    <row r="99" spans="2:9" x14ac:dyDescent="0.25">
      <c r="B99"/>
      <c r="H99"/>
      <c r="I99"/>
    </row>
    <row r="100" spans="2:9" x14ac:dyDescent="0.25">
      <c r="B100"/>
      <c r="H100"/>
      <c r="I100"/>
    </row>
    <row r="101" spans="2:9" x14ac:dyDescent="0.25">
      <c r="B101"/>
      <c r="H101"/>
      <c r="I101"/>
    </row>
    <row r="102" spans="2:9" x14ac:dyDescent="0.25">
      <c r="B102"/>
      <c r="H102"/>
      <c r="I102"/>
    </row>
    <row r="103" spans="2:9" x14ac:dyDescent="0.25">
      <c r="B103"/>
      <c r="H103"/>
      <c r="I103"/>
    </row>
    <row r="104" spans="2:9" x14ac:dyDescent="0.25">
      <c r="B104"/>
      <c r="H104"/>
      <c r="I104"/>
    </row>
    <row r="105" spans="2:9" x14ac:dyDescent="0.25">
      <c r="B105"/>
      <c r="H105"/>
      <c r="I105"/>
    </row>
    <row r="106" spans="2:9" x14ac:dyDescent="0.25">
      <c r="B106"/>
      <c r="H106"/>
      <c r="I106"/>
    </row>
    <row r="107" spans="2:9" x14ac:dyDescent="0.25">
      <c r="B107"/>
      <c r="H107"/>
      <c r="I107"/>
    </row>
    <row r="108" spans="2:9" x14ac:dyDescent="0.25">
      <c r="B108"/>
      <c r="H108"/>
      <c r="I108"/>
    </row>
    <row r="109" spans="2:9" x14ac:dyDescent="0.25">
      <c r="B109"/>
      <c r="H109"/>
      <c r="I109"/>
    </row>
    <row r="110" spans="2:9" x14ac:dyDescent="0.25">
      <c r="B110"/>
      <c r="H110"/>
      <c r="I110"/>
    </row>
    <row r="111" spans="2:9" x14ac:dyDescent="0.25">
      <c r="B111"/>
      <c r="H111"/>
      <c r="I111"/>
    </row>
    <row r="112" spans="2:9" x14ac:dyDescent="0.25">
      <c r="B112"/>
      <c r="H112"/>
      <c r="I112"/>
    </row>
    <row r="113" spans="2:9" x14ac:dyDescent="0.25">
      <c r="B113"/>
      <c r="H113"/>
      <c r="I113"/>
    </row>
    <row r="114" spans="2:9" x14ac:dyDescent="0.25">
      <c r="B114"/>
      <c r="H114"/>
      <c r="I114"/>
    </row>
    <row r="115" spans="2:9" x14ac:dyDescent="0.25">
      <c r="B115"/>
      <c r="H115"/>
      <c r="I115"/>
    </row>
    <row r="116" spans="2:9" x14ac:dyDescent="0.25">
      <c r="B116"/>
      <c r="H116"/>
      <c r="I116"/>
    </row>
    <row r="117" spans="2:9" x14ac:dyDescent="0.25">
      <c r="B117"/>
      <c r="H117"/>
      <c r="I117"/>
    </row>
    <row r="118" spans="2:9" x14ac:dyDescent="0.25">
      <c r="B118"/>
      <c r="H118"/>
      <c r="I118"/>
    </row>
    <row r="119" spans="2:9" x14ac:dyDescent="0.25">
      <c r="B119"/>
      <c r="H119"/>
      <c r="I119"/>
    </row>
    <row r="120" spans="2:9" x14ac:dyDescent="0.25">
      <c r="B120"/>
      <c r="H120"/>
      <c r="I120"/>
    </row>
    <row r="121" spans="2:9" x14ac:dyDescent="0.25">
      <c r="B121"/>
      <c r="H121"/>
      <c r="I121"/>
    </row>
    <row r="122" spans="2:9" x14ac:dyDescent="0.25">
      <c r="B122"/>
      <c r="H122"/>
      <c r="I122"/>
    </row>
    <row r="123" spans="2:9" x14ac:dyDescent="0.25">
      <c r="B123"/>
      <c r="H123"/>
      <c r="I123"/>
    </row>
    <row r="124" spans="2:9" x14ac:dyDescent="0.25">
      <c r="B124"/>
      <c r="H124"/>
      <c r="I124"/>
    </row>
    <row r="125" spans="2:9" x14ac:dyDescent="0.25">
      <c r="B125"/>
      <c r="H125"/>
      <c r="I125"/>
    </row>
    <row r="126" spans="2:9" x14ac:dyDescent="0.25">
      <c r="B126"/>
      <c r="H126"/>
      <c r="I126"/>
    </row>
    <row r="158" spans="2:9" x14ac:dyDescent="0.25">
      <c r="B158"/>
      <c r="H158" s="78" t="s">
        <v>112</v>
      </c>
      <c r="I158"/>
    </row>
  </sheetData>
  <mergeCells count="5">
    <mergeCell ref="B2:K2"/>
    <mergeCell ref="B3:K3"/>
    <mergeCell ref="B4:K4"/>
    <mergeCell ref="B6:B7"/>
    <mergeCell ref="D6:E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65"/>
  <sheetViews>
    <sheetView workbookViewId="0">
      <selection activeCell="E69" sqref="E69"/>
    </sheetView>
  </sheetViews>
  <sheetFormatPr baseColWidth="10" defaultColWidth="11" defaultRowHeight="15" x14ac:dyDescent="0.25"/>
  <cols>
    <col min="1" max="1" width="3.42578125" customWidth="1"/>
    <col min="2" max="2" width="6.7109375" style="40" customWidth="1"/>
    <col min="3" max="3" width="41.42578125" customWidth="1"/>
    <col min="4" max="4" width="13.5703125" customWidth="1"/>
    <col min="5" max="5" width="13.42578125" customWidth="1"/>
    <col min="6" max="6" width="12.7109375" style="41" customWidth="1"/>
    <col min="7" max="7" width="13" customWidth="1"/>
    <col min="8" max="8" width="12.42578125" customWidth="1"/>
    <col min="9" max="9" width="14.7109375" customWidth="1"/>
    <col min="10" max="10" width="15.42578125" customWidth="1"/>
    <col min="11" max="11" width="12.5703125" customWidth="1"/>
  </cols>
  <sheetData>
    <row r="1" spans="2:12" ht="15.75" thickBot="1" x14ac:dyDescent="0.3"/>
    <row r="2" spans="2:12" ht="21.75" thickBot="1" x14ac:dyDescent="0.4">
      <c r="B2" s="167" t="s">
        <v>113</v>
      </c>
      <c r="C2" s="168"/>
      <c r="D2" s="168"/>
      <c r="E2" s="168"/>
      <c r="F2" s="168"/>
      <c r="G2" s="168"/>
      <c r="H2" s="168"/>
      <c r="I2" s="168"/>
      <c r="J2" s="169"/>
    </row>
    <row r="3" spans="2:12" ht="16.5" thickBot="1" x14ac:dyDescent="0.3">
      <c r="B3" s="170" t="s">
        <v>0</v>
      </c>
      <c r="C3" s="171"/>
      <c r="D3" s="171"/>
      <c r="E3" s="171"/>
      <c r="F3" s="171"/>
      <c r="G3" s="171"/>
      <c r="H3" s="171"/>
      <c r="I3" s="171"/>
      <c r="J3" s="172"/>
    </row>
    <row r="4" spans="2:12" ht="15.75" thickBot="1" x14ac:dyDescent="0.3">
      <c r="B4" s="173" t="s">
        <v>114</v>
      </c>
      <c r="C4" s="174"/>
      <c r="D4" s="174"/>
      <c r="E4" s="174"/>
      <c r="F4" s="174"/>
      <c r="G4" s="174"/>
      <c r="H4" s="174"/>
      <c r="I4" s="174"/>
      <c r="J4" s="175"/>
    </row>
    <row r="5" spans="2:12" s="7" customFormat="1" ht="35.25" customHeight="1" x14ac:dyDescent="0.25">
      <c r="B5" s="116" t="s">
        <v>17</v>
      </c>
      <c r="C5" s="116" t="s">
        <v>115</v>
      </c>
      <c r="D5" s="116" t="s">
        <v>116</v>
      </c>
      <c r="E5" s="116" t="s">
        <v>117</v>
      </c>
      <c r="F5" s="117" t="s">
        <v>118</v>
      </c>
      <c r="G5" s="116" t="s">
        <v>119</v>
      </c>
      <c r="H5" s="116" t="s">
        <v>120</v>
      </c>
      <c r="I5" s="116" t="s">
        <v>121</v>
      </c>
      <c r="J5" s="116" t="s">
        <v>122</v>
      </c>
      <c r="K5" s="50"/>
    </row>
    <row r="6" spans="2:12" s="7" customFormat="1" x14ac:dyDescent="0.25">
      <c r="B6" s="79">
        <v>11</v>
      </c>
      <c r="C6" s="80" t="s">
        <v>20</v>
      </c>
      <c r="D6" s="81">
        <v>155000</v>
      </c>
      <c r="E6" s="81">
        <f>SUM(E7)</f>
        <v>45113.81</v>
      </c>
      <c r="F6" s="81">
        <f>SUM(F7)</f>
        <v>163886.19</v>
      </c>
      <c r="G6" s="81">
        <f>SUM(F6*40%)</f>
        <v>65554.47600000001</v>
      </c>
      <c r="H6" s="81">
        <f>SUM(H7)</f>
        <v>28000</v>
      </c>
      <c r="I6" s="81">
        <f>SUM(I7)</f>
        <v>138668.28599999999</v>
      </c>
      <c r="J6" s="80"/>
    </row>
    <row r="7" spans="2:12" s="62" customFormat="1" x14ac:dyDescent="0.25">
      <c r="B7" s="79">
        <v>118</v>
      </c>
      <c r="C7" s="80" t="s">
        <v>21</v>
      </c>
      <c r="D7" s="81">
        <v>155000</v>
      </c>
      <c r="E7" s="81">
        <f>SUM(E8:E11)</f>
        <v>45113.81</v>
      </c>
      <c r="F7" s="81">
        <f>SUM(F8:F11)</f>
        <v>163886.19</v>
      </c>
      <c r="G7" s="81">
        <f>SUM(G8:G11)</f>
        <v>65554.47600000001</v>
      </c>
      <c r="H7" s="81">
        <f>SUM(H8:H11)</f>
        <v>28000</v>
      </c>
      <c r="I7" s="81">
        <f>SUM(I8:I11)</f>
        <v>138668.28599999999</v>
      </c>
      <c r="J7" s="80"/>
    </row>
    <row r="8" spans="2:12" x14ac:dyDescent="0.25">
      <c r="B8" s="14">
        <v>11801</v>
      </c>
      <c r="C8" s="15" t="s">
        <v>22</v>
      </c>
      <c r="D8" s="16">
        <v>90000</v>
      </c>
      <c r="E8" s="16">
        <v>18475.189999999999</v>
      </c>
      <c r="F8" s="16">
        <f>SUM(D8-E8)</f>
        <v>71524.81</v>
      </c>
      <c r="G8" s="16">
        <f>SUM(F8*40%)</f>
        <v>28609.923999999999</v>
      </c>
      <c r="H8" s="16">
        <v>15000</v>
      </c>
      <c r="I8" s="16">
        <f>SUM(E8,G8,H8)</f>
        <v>62085.114000000001</v>
      </c>
      <c r="J8" s="16" t="s">
        <v>123</v>
      </c>
      <c r="K8" s="75"/>
    </row>
    <row r="9" spans="2:12" x14ac:dyDescent="0.25">
      <c r="B9" s="14">
        <v>11802</v>
      </c>
      <c r="C9" s="15" t="s">
        <v>23</v>
      </c>
      <c r="D9" s="16">
        <v>99000</v>
      </c>
      <c r="E9" s="16">
        <v>23417.18</v>
      </c>
      <c r="F9" s="16">
        <f>SUM(D9-E9)</f>
        <v>75582.820000000007</v>
      </c>
      <c r="G9" s="16">
        <f>SUM(F9*40%)</f>
        <v>30233.128000000004</v>
      </c>
      <c r="H9" s="16">
        <v>10000</v>
      </c>
      <c r="I9" s="16">
        <f>SUM(E9,G9,H9)</f>
        <v>63650.308000000005</v>
      </c>
      <c r="J9" s="15" t="s">
        <v>124</v>
      </c>
    </row>
    <row r="10" spans="2:12" ht="15.75" customHeight="1" x14ac:dyDescent="0.25">
      <c r="B10" s="14">
        <v>11816</v>
      </c>
      <c r="C10" s="15" t="s">
        <v>24</v>
      </c>
      <c r="D10" s="16">
        <v>5000</v>
      </c>
      <c r="E10" s="16">
        <v>10.97</v>
      </c>
      <c r="F10" s="16">
        <f>SUM(D10-E10)</f>
        <v>4989.03</v>
      </c>
      <c r="G10" s="16">
        <f>SUM(F10*40%)</f>
        <v>1995.6120000000001</v>
      </c>
      <c r="H10" s="16">
        <v>3000</v>
      </c>
      <c r="I10" s="16">
        <f>SUM(E10,G10,H10)</f>
        <v>5006.5820000000003</v>
      </c>
      <c r="J10" s="15" t="s">
        <v>125</v>
      </c>
      <c r="L10" s="82"/>
    </row>
    <row r="11" spans="2:12" x14ac:dyDescent="0.25">
      <c r="B11" s="14">
        <v>11818</v>
      </c>
      <c r="C11" s="15" t="s">
        <v>126</v>
      </c>
      <c r="D11" s="16">
        <v>15000</v>
      </c>
      <c r="E11" s="16">
        <v>3210.47</v>
      </c>
      <c r="F11" s="16">
        <f>SUM(D11-E11)</f>
        <v>11789.53</v>
      </c>
      <c r="G11" s="16">
        <f>SUM(F11*40%)</f>
        <v>4715.8120000000008</v>
      </c>
      <c r="H11" s="16"/>
      <c r="I11" s="16">
        <f>SUM(E11,G11,H11)</f>
        <v>7926.2820000000011</v>
      </c>
      <c r="J11" s="15" t="s">
        <v>127</v>
      </c>
    </row>
    <row r="12" spans="2:12" x14ac:dyDescent="0.25">
      <c r="B12" s="83">
        <v>12</v>
      </c>
      <c r="C12" s="84" t="s">
        <v>26</v>
      </c>
      <c r="D12" s="85">
        <f t="shared" ref="D12:I12" si="0">SUM(D13,D25)</f>
        <v>982800</v>
      </c>
      <c r="E12" s="85">
        <f t="shared" si="0"/>
        <v>456538.75</v>
      </c>
      <c r="F12" s="85">
        <f t="shared" si="0"/>
        <v>530829.72</v>
      </c>
      <c r="G12" s="85">
        <f t="shared" si="0"/>
        <v>212331.88800000004</v>
      </c>
      <c r="H12" s="85">
        <f t="shared" si="0"/>
        <v>155000</v>
      </c>
      <c r="I12" s="85">
        <f t="shared" si="0"/>
        <v>823874.63800000004</v>
      </c>
      <c r="J12" s="86"/>
    </row>
    <row r="13" spans="2:12" x14ac:dyDescent="0.25">
      <c r="B13" s="87">
        <v>121</v>
      </c>
      <c r="C13" s="88" t="s">
        <v>27</v>
      </c>
      <c r="D13" s="89">
        <f t="shared" ref="D13:H13" si="1">SUM(D14:D23)</f>
        <v>862800</v>
      </c>
      <c r="E13" s="89">
        <f>SUM(E14:E24)</f>
        <v>444789.79</v>
      </c>
      <c r="F13" s="89">
        <f t="shared" si="1"/>
        <v>422560.93</v>
      </c>
      <c r="G13" s="89">
        <f t="shared" si="1"/>
        <v>169024.37200000003</v>
      </c>
      <c r="H13" s="89">
        <f t="shared" si="1"/>
        <v>125000</v>
      </c>
      <c r="I13" s="89">
        <f>SUM(I14:I24)</f>
        <v>738818.16200000001</v>
      </c>
      <c r="J13" s="90"/>
    </row>
    <row r="14" spans="2:12" x14ac:dyDescent="0.25">
      <c r="B14" s="14">
        <v>12105</v>
      </c>
      <c r="C14" s="15" t="s">
        <v>28</v>
      </c>
      <c r="D14" s="16">
        <v>14800</v>
      </c>
      <c r="E14" s="16">
        <v>8169.4</v>
      </c>
      <c r="F14" s="16">
        <f>SUM(D14-E14)</f>
        <v>6630.6</v>
      </c>
      <c r="G14" s="16">
        <f t="shared" ref="G14:G23" si="2">SUM(F14*40%)</f>
        <v>2652.2400000000002</v>
      </c>
      <c r="H14" s="16">
        <v>10000</v>
      </c>
      <c r="I14" s="16">
        <f>SUM(E14,G14,H14)</f>
        <v>20821.64</v>
      </c>
      <c r="J14" s="15"/>
    </row>
    <row r="15" spans="2:12" x14ac:dyDescent="0.25">
      <c r="B15" s="14">
        <v>12106</v>
      </c>
      <c r="C15" s="15" t="s">
        <v>29</v>
      </c>
      <c r="D15" s="16">
        <v>1000</v>
      </c>
      <c r="E15" s="16">
        <v>154.80000000000001</v>
      </c>
      <c r="F15" s="16">
        <f>SUM(D15-E15)</f>
        <v>845.2</v>
      </c>
      <c r="G15" s="16">
        <f t="shared" si="2"/>
        <v>338.08000000000004</v>
      </c>
      <c r="H15" s="16">
        <v>10000</v>
      </c>
      <c r="I15" s="16">
        <f>SUM(E15,G15,H15)</f>
        <v>10492.88</v>
      </c>
      <c r="J15" s="15" t="s">
        <v>128</v>
      </c>
    </row>
    <row r="16" spans="2:12" x14ac:dyDescent="0.25">
      <c r="B16" s="14">
        <v>12108</v>
      </c>
      <c r="C16" s="15" t="s">
        <v>30</v>
      </c>
      <c r="D16" s="16">
        <v>140000</v>
      </c>
      <c r="E16" s="16">
        <v>33839.370000000003</v>
      </c>
      <c r="F16" s="16">
        <f t="shared" ref="F16:F23" si="3">SUM(D16-E16)</f>
        <v>106160.63</v>
      </c>
      <c r="G16" s="16">
        <f t="shared" si="2"/>
        <v>42464.252000000008</v>
      </c>
      <c r="H16" s="16">
        <v>20000</v>
      </c>
      <c r="I16" s="16">
        <f t="shared" ref="I16:I24" si="4">SUM(E16,G16,H16)</f>
        <v>96303.622000000003</v>
      </c>
      <c r="J16" s="15" t="s">
        <v>129</v>
      </c>
    </row>
    <row r="17" spans="2:10" x14ac:dyDescent="0.25">
      <c r="B17" s="14">
        <v>12109</v>
      </c>
      <c r="C17" s="15" t="s">
        <v>31</v>
      </c>
      <c r="D17" s="16">
        <v>150000</v>
      </c>
      <c r="E17" s="16">
        <v>62330.79</v>
      </c>
      <c r="F17" s="16">
        <f t="shared" si="3"/>
        <v>87669.209999999992</v>
      </c>
      <c r="G17" s="16">
        <f t="shared" si="2"/>
        <v>35067.684000000001</v>
      </c>
      <c r="H17" s="16">
        <v>30000</v>
      </c>
      <c r="I17" s="16">
        <f t="shared" si="4"/>
        <v>127398.474</v>
      </c>
      <c r="J17" s="15" t="s">
        <v>130</v>
      </c>
    </row>
    <row r="18" spans="2:10" x14ac:dyDescent="0.25">
      <c r="B18" s="14">
        <v>12111</v>
      </c>
      <c r="C18" s="15" t="s">
        <v>32</v>
      </c>
      <c r="D18" s="16">
        <v>25000</v>
      </c>
      <c r="E18" s="16">
        <v>5572.9</v>
      </c>
      <c r="F18" s="16">
        <f t="shared" si="3"/>
        <v>19427.099999999999</v>
      </c>
      <c r="G18" s="16">
        <f t="shared" si="2"/>
        <v>7770.84</v>
      </c>
      <c r="H18" s="16"/>
      <c r="I18" s="16">
        <v>13347.74</v>
      </c>
      <c r="J18" s="15" t="s">
        <v>131</v>
      </c>
    </row>
    <row r="19" spans="2:10" x14ac:dyDescent="0.25">
      <c r="B19" s="14">
        <v>12114</v>
      </c>
      <c r="C19" s="15" t="s">
        <v>92</v>
      </c>
      <c r="D19" s="16">
        <v>40000</v>
      </c>
      <c r="E19" s="16">
        <v>23212.61</v>
      </c>
      <c r="F19" s="16">
        <f t="shared" si="3"/>
        <v>16787.39</v>
      </c>
      <c r="G19" s="16">
        <f t="shared" si="2"/>
        <v>6714.9560000000001</v>
      </c>
      <c r="H19" s="16">
        <v>4000</v>
      </c>
      <c r="I19" s="16">
        <f t="shared" si="4"/>
        <v>33927.565999999999</v>
      </c>
      <c r="J19" s="15" t="s">
        <v>132</v>
      </c>
    </row>
    <row r="20" spans="2:10" x14ac:dyDescent="0.25">
      <c r="B20" s="14">
        <v>12115</v>
      </c>
      <c r="C20" s="15" t="s">
        <v>93</v>
      </c>
      <c r="D20" s="16">
        <v>95000</v>
      </c>
      <c r="E20" s="16">
        <v>44267.37</v>
      </c>
      <c r="F20" s="16">
        <f t="shared" si="3"/>
        <v>50732.63</v>
      </c>
      <c r="G20" s="16">
        <f t="shared" si="2"/>
        <v>20293.052</v>
      </c>
      <c r="H20" s="16">
        <v>10000</v>
      </c>
      <c r="I20" s="16">
        <f t="shared" si="4"/>
        <v>74560.422000000006</v>
      </c>
      <c r="J20" s="15"/>
    </row>
    <row r="21" spans="2:10" x14ac:dyDescent="0.25">
      <c r="B21" s="14">
        <v>12117</v>
      </c>
      <c r="C21" s="15" t="s">
        <v>35</v>
      </c>
      <c r="D21" s="16">
        <v>105000</v>
      </c>
      <c r="E21" s="16">
        <v>38375.699999999997</v>
      </c>
      <c r="F21" s="16">
        <f t="shared" si="3"/>
        <v>66624.3</v>
      </c>
      <c r="G21" s="16">
        <f t="shared" si="2"/>
        <v>26649.72</v>
      </c>
      <c r="H21" s="16">
        <v>25000</v>
      </c>
      <c r="I21" s="16">
        <f t="shared" si="4"/>
        <v>90025.42</v>
      </c>
      <c r="J21" s="15"/>
    </row>
    <row r="22" spans="2:10" x14ac:dyDescent="0.25">
      <c r="B22" s="14">
        <v>12118</v>
      </c>
      <c r="C22" s="91" t="s">
        <v>36</v>
      </c>
      <c r="D22" s="16">
        <v>290000</v>
      </c>
      <c r="E22" s="16">
        <v>224141.13</v>
      </c>
      <c r="F22" s="16">
        <f t="shared" si="3"/>
        <v>65858.87</v>
      </c>
      <c r="G22" s="16">
        <f t="shared" si="2"/>
        <v>26343.547999999999</v>
      </c>
      <c r="H22" s="16">
        <v>15000</v>
      </c>
      <c r="I22" s="16">
        <f t="shared" si="4"/>
        <v>265484.67800000001</v>
      </c>
      <c r="J22" s="91"/>
    </row>
    <row r="23" spans="2:10" x14ac:dyDescent="0.25">
      <c r="B23" s="14">
        <v>12119</v>
      </c>
      <c r="C23" s="91" t="s">
        <v>94</v>
      </c>
      <c r="D23" s="16">
        <v>2000</v>
      </c>
      <c r="E23" s="16">
        <v>175</v>
      </c>
      <c r="F23" s="16">
        <f t="shared" si="3"/>
        <v>1825</v>
      </c>
      <c r="G23" s="16">
        <f t="shared" si="2"/>
        <v>730</v>
      </c>
      <c r="H23" s="16">
        <v>1000</v>
      </c>
      <c r="I23" s="16">
        <f t="shared" si="4"/>
        <v>1905</v>
      </c>
      <c r="J23" s="91"/>
    </row>
    <row r="24" spans="2:10" x14ac:dyDescent="0.25">
      <c r="B24" s="14">
        <v>12199</v>
      </c>
      <c r="C24" s="91" t="s">
        <v>38</v>
      </c>
      <c r="D24" s="16"/>
      <c r="E24" s="16">
        <v>4550.72</v>
      </c>
      <c r="F24" s="16"/>
      <c r="G24" s="16">
        <f t="shared" ref="G24:G26" si="5">SUM(F24*40%)</f>
        <v>0</v>
      </c>
      <c r="H24" s="16"/>
      <c r="I24" s="16">
        <f t="shared" si="4"/>
        <v>4550.72</v>
      </c>
      <c r="J24" s="91"/>
    </row>
    <row r="25" spans="2:10" s="7" customFormat="1" x14ac:dyDescent="0.25">
      <c r="B25" s="87">
        <v>122</v>
      </c>
      <c r="C25" s="88" t="s">
        <v>39</v>
      </c>
      <c r="D25" s="89">
        <f>SUM(D26:D27)</f>
        <v>120000</v>
      </c>
      <c r="E25" s="89">
        <f>SUM(E26:E27)</f>
        <v>11748.96</v>
      </c>
      <c r="F25" s="89">
        <f>SUM(F26:F27)</f>
        <v>108268.79000000001</v>
      </c>
      <c r="G25" s="89">
        <f t="shared" si="5"/>
        <v>43307.516000000003</v>
      </c>
      <c r="H25" s="89">
        <f>SUM(H26:H27)</f>
        <v>30000</v>
      </c>
      <c r="I25" s="89">
        <f>SUM(I26:I27)</f>
        <v>85056.475999999995</v>
      </c>
      <c r="J25" s="88"/>
    </row>
    <row r="26" spans="2:10" x14ac:dyDescent="0.25">
      <c r="B26" s="14">
        <v>12210</v>
      </c>
      <c r="C26" s="15" t="s">
        <v>40</v>
      </c>
      <c r="D26" s="16">
        <v>120000</v>
      </c>
      <c r="E26" s="16">
        <v>11731.21</v>
      </c>
      <c r="F26" s="16">
        <f>SUM(D26-E26)</f>
        <v>108268.79000000001</v>
      </c>
      <c r="G26" s="16">
        <f t="shared" si="5"/>
        <v>43307.516000000003</v>
      </c>
      <c r="H26" s="16">
        <v>30000</v>
      </c>
      <c r="I26" s="13">
        <f t="shared" ref="I26:I30" si="6">SUM(E26,G26,H26)</f>
        <v>85038.725999999995</v>
      </c>
      <c r="J26" s="15"/>
    </row>
    <row r="27" spans="2:10" x14ac:dyDescent="0.25">
      <c r="B27" s="14">
        <v>12211</v>
      </c>
      <c r="C27" s="15" t="s">
        <v>41</v>
      </c>
      <c r="D27" s="16"/>
      <c r="E27" s="16">
        <v>17.75</v>
      </c>
      <c r="F27" s="16"/>
      <c r="G27" s="16"/>
      <c r="H27" s="16"/>
      <c r="I27" s="16">
        <f t="shared" si="6"/>
        <v>17.75</v>
      </c>
      <c r="J27" s="15"/>
    </row>
    <row r="28" spans="2:10" s="7" customFormat="1" x14ac:dyDescent="0.25">
      <c r="B28" s="83">
        <v>14</v>
      </c>
      <c r="C28" s="84" t="s">
        <v>95</v>
      </c>
      <c r="D28" s="85">
        <f>SUM(D29:D30)</f>
        <v>98000</v>
      </c>
      <c r="E28" s="85">
        <f t="shared" ref="E28:I28" si="7">SUM(E29)</f>
        <v>38121.18</v>
      </c>
      <c r="F28" s="92"/>
      <c r="G28" s="92"/>
      <c r="H28" s="85">
        <f t="shared" si="7"/>
        <v>30000</v>
      </c>
      <c r="I28" s="85">
        <f t="shared" si="7"/>
        <v>92072.707999999999</v>
      </c>
      <c r="J28" s="84"/>
    </row>
    <row r="29" spans="2:10" x14ac:dyDescent="0.25">
      <c r="B29" s="87">
        <v>142</v>
      </c>
      <c r="C29" s="88" t="s">
        <v>96</v>
      </c>
      <c r="D29" s="89"/>
      <c r="E29" s="89">
        <f>SUM(E30:E30)</f>
        <v>38121.18</v>
      </c>
      <c r="F29" s="93"/>
      <c r="G29" s="93"/>
      <c r="H29" s="89">
        <f>SUM(H30:H30)</f>
        <v>30000</v>
      </c>
      <c r="I29" s="89">
        <f>SUM(I30:I30)</f>
        <v>92072.707999999999</v>
      </c>
      <c r="J29" s="90"/>
    </row>
    <row r="30" spans="2:10" x14ac:dyDescent="0.25">
      <c r="B30" s="14">
        <v>14201</v>
      </c>
      <c r="C30" s="15" t="s">
        <v>133</v>
      </c>
      <c r="D30" s="16">
        <v>98000</v>
      </c>
      <c r="E30" s="16">
        <v>38121.18</v>
      </c>
      <c r="F30" s="16">
        <f>SUM(D30-E30)</f>
        <v>59878.82</v>
      </c>
      <c r="G30" s="16">
        <f>SUM(F30*40%)</f>
        <v>23951.528000000002</v>
      </c>
      <c r="H30" s="16">
        <v>30000</v>
      </c>
      <c r="I30" s="13">
        <f t="shared" si="6"/>
        <v>92072.707999999999</v>
      </c>
      <c r="J30" s="15"/>
    </row>
    <row r="31" spans="2:10" s="7" customFormat="1" x14ac:dyDescent="0.25">
      <c r="B31" s="83">
        <v>15</v>
      </c>
      <c r="C31" s="84" t="s">
        <v>45</v>
      </c>
      <c r="D31" s="85">
        <f>SUM(D32:D40)</f>
        <v>30000</v>
      </c>
      <c r="E31" s="85">
        <f>SUM(E37,E39,E32)</f>
        <v>39494.78</v>
      </c>
      <c r="F31" s="92">
        <f>SUM(F38)</f>
        <v>3818.7099999999991</v>
      </c>
      <c r="G31" s="92">
        <f>SUM(G38)</f>
        <v>1527.4839999999997</v>
      </c>
      <c r="H31" s="85">
        <f>SUM(H32+H37+H39)</f>
        <v>7000</v>
      </c>
      <c r="I31" s="85">
        <f>SUM(I32,I37,I39)</f>
        <v>48133.603999999999</v>
      </c>
      <c r="J31" s="85"/>
    </row>
    <row r="32" spans="2:10" x14ac:dyDescent="0.25">
      <c r="B32" s="87">
        <v>153</v>
      </c>
      <c r="C32" s="88" t="s">
        <v>97</v>
      </c>
      <c r="D32" s="89"/>
      <c r="E32" s="94">
        <f>SUM(E33:E35)</f>
        <v>13102.519999999999</v>
      </c>
      <c r="F32" s="93"/>
      <c r="G32" s="93"/>
      <c r="H32" s="89">
        <f>SUM(H33:H34)</f>
        <v>0</v>
      </c>
      <c r="I32" s="89">
        <f>SUM(I33:I36)</f>
        <v>13213.859999999999</v>
      </c>
      <c r="J32" s="93"/>
    </row>
    <row r="33" spans="2:10" x14ac:dyDescent="0.25">
      <c r="B33" s="14">
        <v>15301</v>
      </c>
      <c r="C33" s="15" t="s">
        <v>98</v>
      </c>
      <c r="D33" s="16"/>
      <c r="E33" s="16">
        <v>6556.98</v>
      </c>
      <c r="F33" s="16"/>
      <c r="G33" s="16"/>
      <c r="H33" s="16"/>
      <c r="I33" s="16">
        <f>SUM(E33,G33,H33)</f>
        <v>6556.98</v>
      </c>
      <c r="J33" s="16"/>
    </row>
    <row r="34" spans="2:10" x14ac:dyDescent="0.25">
      <c r="B34" s="14">
        <v>15302</v>
      </c>
      <c r="C34" s="15" t="s">
        <v>99</v>
      </c>
      <c r="D34" s="16"/>
      <c r="E34" s="16">
        <v>3316.72</v>
      </c>
      <c r="F34" s="16"/>
      <c r="G34" s="16"/>
      <c r="H34" s="16"/>
      <c r="I34" s="16">
        <f>SUM(E34,G34,H34)</f>
        <v>3316.72</v>
      </c>
      <c r="J34" s="16"/>
    </row>
    <row r="35" spans="2:10" x14ac:dyDescent="0.25">
      <c r="B35" s="14">
        <v>15312</v>
      </c>
      <c r="C35" s="15" t="s">
        <v>49</v>
      </c>
      <c r="D35" s="16"/>
      <c r="E35" s="16">
        <v>3228.82</v>
      </c>
      <c r="F35" s="16"/>
      <c r="G35" s="16"/>
      <c r="H35" s="16"/>
      <c r="I35" s="16">
        <v>3328.72</v>
      </c>
      <c r="J35" s="16"/>
    </row>
    <row r="36" spans="2:10" x14ac:dyDescent="0.25">
      <c r="B36" s="14">
        <v>15314</v>
      </c>
      <c r="C36" s="15" t="s">
        <v>50</v>
      </c>
      <c r="D36" s="16"/>
      <c r="E36" s="16">
        <v>11.44</v>
      </c>
      <c r="F36" s="16"/>
      <c r="G36" s="16"/>
      <c r="H36" s="16"/>
      <c r="I36" s="16">
        <f>SUM(E36)</f>
        <v>11.44</v>
      </c>
      <c r="J36" s="16"/>
    </row>
    <row r="37" spans="2:10" x14ac:dyDescent="0.25">
      <c r="B37" s="87">
        <v>154</v>
      </c>
      <c r="C37" s="88" t="s">
        <v>134</v>
      </c>
      <c r="D37" s="89"/>
      <c r="E37" s="89">
        <f>SUM(E38)</f>
        <v>26181.29</v>
      </c>
      <c r="F37" s="93"/>
      <c r="G37" s="93"/>
      <c r="H37" s="89">
        <f>SUM(H38)</f>
        <v>4000</v>
      </c>
      <c r="I37" s="89">
        <f>SUM(I38)</f>
        <v>31708.774000000001</v>
      </c>
      <c r="J37" s="93"/>
    </row>
    <row r="38" spans="2:10" x14ac:dyDescent="0.25">
      <c r="B38" s="95">
        <v>15402</v>
      </c>
      <c r="C38" s="96" t="s">
        <v>100</v>
      </c>
      <c r="D38" s="97">
        <v>30000</v>
      </c>
      <c r="E38" s="97">
        <v>26181.29</v>
      </c>
      <c r="F38" s="97">
        <f>SUM(D38-E38)</f>
        <v>3818.7099999999991</v>
      </c>
      <c r="G38" s="97">
        <f>SUM(F38*40%)</f>
        <v>1527.4839999999997</v>
      </c>
      <c r="H38" s="97">
        <v>4000</v>
      </c>
      <c r="I38" s="97">
        <f>SUM(E38,G38,H38)</f>
        <v>31708.774000000001</v>
      </c>
      <c r="J38" s="97"/>
    </row>
    <row r="39" spans="2:10" x14ac:dyDescent="0.25">
      <c r="B39" s="98">
        <v>157</v>
      </c>
      <c r="C39" s="99" t="s">
        <v>53</v>
      </c>
      <c r="D39" s="100"/>
      <c r="E39" s="100">
        <f>SUM(E40)</f>
        <v>210.97</v>
      </c>
      <c r="F39" s="100"/>
      <c r="G39" s="100"/>
      <c r="H39" s="100">
        <f>SUM(H40)</f>
        <v>3000</v>
      </c>
      <c r="I39" s="100">
        <f>SUM(I40)</f>
        <v>3210.97</v>
      </c>
      <c r="J39" s="101"/>
    </row>
    <row r="40" spans="2:10" x14ac:dyDescent="0.25">
      <c r="B40" s="102">
        <v>15799</v>
      </c>
      <c r="C40" s="103" t="s">
        <v>54</v>
      </c>
      <c r="D40" s="104"/>
      <c r="E40" s="104">
        <v>210.97</v>
      </c>
      <c r="F40" s="104"/>
      <c r="G40" s="104"/>
      <c r="H40" s="104">
        <v>3000</v>
      </c>
      <c r="I40" s="104">
        <f>SUM(E40,G40,H40)</f>
        <v>3210.97</v>
      </c>
      <c r="J40" s="104"/>
    </row>
    <row r="41" spans="2:10" s="7" customFormat="1" x14ac:dyDescent="0.25">
      <c r="B41" s="83">
        <v>16</v>
      </c>
      <c r="C41" s="84" t="s">
        <v>57</v>
      </c>
      <c r="D41" s="85">
        <f>SUM(D43)</f>
        <v>0</v>
      </c>
      <c r="E41" s="92">
        <f>SUM(E42)</f>
        <v>310798.33</v>
      </c>
      <c r="F41" s="85">
        <f>SUM(F42)</f>
        <v>0</v>
      </c>
      <c r="G41" s="85">
        <f>SUM(G42)</f>
        <v>0</v>
      </c>
      <c r="H41" s="85">
        <f>SUM(H42)</f>
        <v>0</v>
      </c>
      <c r="I41" s="92">
        <f t="shared" ref="I41:I46" si="8">SUM(E41)</f>
        <v>310798.33</v>
      </c>
      <c r="J41" s="85"/>
    </row>
    <row r="42" spans="2:10" x14ac:dyDescent="0.25">
      <c r="B42" s="87">
        <v>162</v>
      </c>
      <c r="C42" s="88" t="s">
        <v>101</v>
      </c>
      <c r="D42" s="89">
        <f>SUM(D43)</f>
        <v>0</v>
      </c>
      <c r="E42" s="93">
        <f>SUM(E43)</f>
        <v>310798.33</v>
      </c>
      <c r="F42" s="89">
        <f t="shared" ref="F42:H42" si="9">SUM(F43)</f>
        <v>0</v>
      </c>
      <c r="G42" s="89">
        <f t="shared" si="9"/>
        <v>0</v>
      </c>
      <c r="H42" s="89">
        <f t="shared" si="9"/>
        <v>0</v>
      </c>
      <c r="I42" s="93">
        <f t="shared" si="8"/>
        <v>310798.33</v>
      </c>
      <c r="J42" s="93"/>
    </row>
    <row r="43" spans="2:10" x14ac:dyDescent="0.25">
      <c r="B43" s="14">
        <v>16201</v>
      </c>
      <c r="C43" s="15" t="s">
        <v>102</v>
      </c>
      <c r="D43" s="16"/>
      <c r="E43" s="16">
        <v>310798.33</v>
      </c>
      <c r="F43" s="16"/>
      <c r="G43" s="16"/>
      <c r="H43" s="16"/>
      <c r="I43" s="16">
        <f t="shared" si="8"/>
        <v>310798.33</v>
      </c>
      <c r="J43" s="16"/>
    </row>
    <row r="44" spans="2:10" s="7" customFormat="1" x14ac:dyDescent="0.25">
      <c r="B44" s="83">
        <v>22</v>
      </c>
      <c r="C44" s="84" t="s">
        <v>61</v>
      </c>
      <c r="D44" s="85"/>
      <c r="E44" s="85">
        <f>SUM(E46)</f>
        <v>932395.08</v>
      </c>
      <c r="F44" s="85">
        <f t="shared" ref="F44:H45" si="10">SUM(F45)</f>
        <v>0</v>
      </c>
      <c r="G44" s="85">
        <f t="shared" si="10"/>
        <v>0</v>
      </c>
      <c r="H44" s="85">
        <f t="shared" si="10"/>
        <v>0</v>
      </c>
      <c r="I44" s="85">
        <f t="shared" si="8"/>
        <v>932395.08</v>
      </c>
      <c r="J44" s="85"/>
    </row>
    <row r="45" spans="2:10" x14ac:dyDescent="0.25">
      <c r="B45" s="87">
        <v>222</v>
      </c>
      <c r="C45" s="88" t="s">
        <v>104</v>
      </c>
      <c r="D45" s="89"/>
      <c r="E45" s="85">
        <f>SUM(E44)</f>
        <v>932395.08</v>
      </c>
      <c r="F45" s="89">
        <f t="shared" si="10"/>
        <v>0</v>
      </c>
      <c r="G45" s="89">
        <f t="shared" si="10"/>
        <v>0</v>
      </c>
      <c r="H45" s="89">
        <f t="shared" si="10"/>
        <v>0</v>
      </c>
      <c r="I45" s="85">
        <f t="shared" si="8"/>
        <v>932395.08</v>
      </c>
      <c r="J45" s="93"/>
    </row>
    <row r="46" spans="2:10" x14ac:dyDescent="0.25">
      <c r="B46" s="14">
        <v>22201</v>
      </c>
      <c r="C46" s="15" t="s">
        <v>135</v>
      </c>
      <c r="D46" s="16"/>
      <c r="E46" s="105">
        <v>932395.08</v>
      </c>
      <c r="F46" s="97"/>
      <c r="G46" s="97"/>
      <c r="H46" s="97"/>
      <c r="I46" s="105">
        <f t="shared" si="8"/>
        <v>932395.08</v>
      </c>
      <c r="J46" s="16"/>
    </row>
    <row r="47" spans="2:10" s="7" customFormat="1" x14ac:dyDescent="0.25">
      <c r="B47" s="83">
        <v>32</v>
      </c>
      <c r="C47" s="84"/>
      <c r="D47" s="85"/>
      <c r="E47" s="85">
        <f>SUM(E48)</f>
        <v>105446.09999999998</v>
      </c>
      <c r="F47" s="85">
        <f>SUM(F48)</f>
        <v>0</v>
      </c>
      <c r="G47" s="85">
        <f>SUM(G48)</f>
        <v>0</v>
      </c>
      <c r="H47" s="85">
        <f>SUM(H48)</f>
        <v>0</v>
      </c>
      <c r="I47" s="85">
        <f>SUM(I48)</f>
        <v>105446.09999999998</v>
      </c>
      <c r="J47" s="85"/>
    </row>
    <row r="48" spans="2:10" x14ac:dyDescent="0.25">
      <c r="B48" s="87">
        <v>321</v>
      </c>
      <c r="C48" s="88" t="s">
        <v>106</v>
      </c>
      <c r="D48" s="93"/>
      <c r="E48" s="89">
        <f>SUM(E49:E59)</f>
        <v>105446.09999999998</v>
      </c>
      <c r="F48" s="93">
        <f>SUM(F49:F58)</f>
        <v>0</v>
      </c>
      <c r="G48" s="93"/>
      <c r="H48" s="93"/>
      <c r="I48" s="89">
        <f>SUM(I49:I59)</f>
        <v>105446.09999999998</v>
      </c>
      <c r="J48" s="93"/>
    </row>
    <row r="49" spans="2:10" x14ac:dyDescent="0.25">
      <c r="B49" s="27">
        <v>32102</v>
      </c>
      <c r="C49" s="28" t="s">
        <v>67</v>
      </c>
      <c r="D49" s="106"/>
      <c r="E49" s="29">
        <v>308.73</v>
      </c>
      <c r="F49" s="97"/>
      <c r="G49" s="16"/>
      <c r="H49" s="16"/>
      <c r="I49" s="29">
        <f>SUM(E49)</f>
        <v>308.73</v>
      </c>
      <c r="J49" s="16"/>
    </row>
    <row r="50" spans="2:10" x14ac:dyDescent="0.25">
      <c r="B50" s="30">
        <v>32102</v>
      </c>
      <c r="C50" s="31" t="s">
        <v>68</v>
      </c>
      <c r="D50" s="29"/>
      <c r="E50" s="29">
        <v>3900.93</v>
      </c>
      <c r="F50" s="16"/>
      <c r="G50" s="16"/>
      <c r="H50" s="16"/>
      <c r="I50" s="29">
        <f t="shared" ref="I50:I59" si="11">SUM(E50)</f>
        <v>3900.93</v>
      </c>
      <c r="J50" s="16"/>
    </row>
    <row r="51" spans="2:10" x14ac:dyDescent="0.25">
      <c r="B51" s="30">
        <v>32102</v>
      </c>
      <c r="C51" s="107" t="s">
        <v>107</v>
      </c>
      <c r="D51" s="29"/>
      <c r="E51" s="29">
        <v>4211.6000000000004</v>
      </c>
      <c r="F51" s="16"/>
      <c r="G51" s="16"/>
      <c r="H51" s="16"/>
      <c r="I51" s="29">
        <f t="shared" si="11"/>
        <v>4211.6000000000004</v>
      </c>
      <c r="J51" s="16"/>
    </row>
    <row r="52" spans="2:10" x14ac:dyDescent="0.25">
      <c r="B52" s="30">
        <v>32102</v>
      </c>
      <c r="C52" s="31" t="s">
        <v>70</v>
      </c>
      <c r="D52" s="29"/>
      <c r="E52" s="29">
        <v>72068.62</v>
      </c>
      <c r="F52" s="16"/>
      <c r="G52" s="16"/>
      <c r="H52" s="16"/>
      <c r="I52" s="29">
        <f t="shared" si="11"/>
        <v>72068.62</v>
      </c>
      <c r="J52" s="16"/>
    </row>
    <row r="53" spans="2:10" x14ac:dyDescent="0.25">
      <c r="B53" s="30">
        <v>32102</v>
      </c>
      <c r="C53" s="31" t="s">
        <v>71</v>
      </c>
      <c r="D53" s="29"/>
      <c r="E53" s="29">
        <v>101.89</v>
      </c>
      <c r="F53" s="16"/>
      <c r="G53" s="16"/>
      <c r="H53" s="16"/>
      <c r="I53" s="29">
        <f t="shared" si="11"/>
        <v>101.89</v>
      </c>
      <c r="J53" s="16"/>
    </row>
    <row r="54" spans="2:10" x14ac:dyDescent="0.25">
      <c r="B54" s="30">
        <v>32102</v>
      </c>
      <c r="C54" s="31" t="s">
        <v>72</v>
      </c>
      <c r="D54" s="29"/>
      <c r="E54" s="29">
        <v>24022.87</v>
      </c>
      <c r="F54" s="16"/>
      <c r="G54" s="16"/>
      <c r="H54" s="16"/>
      <c r="I54" s="29">
        <f t="shared" si="11"/>
        <v>24022.87</v>
      </c>
      <c r="J54" s="16"/>
    </row>
    <row r="55" spans="2:10" x14ac:dyDescent="0.25">
      <c r="B55" s="30">
        <v>32102</v>
      </c>
      <c r="C55" s="32" t="s">
        <v>73</v>
      </c>
      <c r="D55" s="72"/>
      <c r="E55" s="29">
        <v>50.01</v>
      </c>
      <c r="F55" s="16"/>
      <c r="G55" s="16"/>
      <c r="H55" s="16"/>
      <c r="I55" s="29">
        <f t="shared" si="11"/>
        <v>50.01</v>
      </c>
      <c r="J55" s="16"/>
    </row>
    <row r="56" spans="2:10" x14ac:dyDescent="0.25">
      <c r="B56" s="30">
        <v>32102</v>
      </c>
      <c r="C56" s="31" t="s">
        <v>74</v>
      </c>
      <c r="D56" s="72"/>
      <c r="E56" s="29">
        <v>275.25</v>
      </c>
      <c r="F56" s="16"/>
      <c r="G56" s="16"/>
      <c r="H56" s="16"/>
      <c r="I56" s="29">
        <f t="shared" si="11"/>
        <v>275.25</v>
      </c>
      <c r="J56" s="16"/>
    </row>
    <row r="57" spans="2:10" x14ac:dyDescent="0.25">
      <c r="B57" s="30">
        <v>32102</v>
      </c>
      <c r="C57" s="34" t="s">
        <v>75</v>
      </c>
      <c r="D57" s="72"/>
      <c r="E57" s="29">
        <v>59.51</v>
      </c>
      <c r="F57" s="16"/>
      <c r="G57" s="16"/>
      <c r="H57" s="16"/>
      <c r="I57" s="29">
        <f t="shared" si="11"/>
        <v>59.51</v>
      </c>
      <c r="J57" s="16"/>
    </row>
    <row r="58" spans="2:10" x14ac:dyDescent="0.25">
      <c r="B58" s="30">
        <v>32102</v>
      </c>
      <c r="C58" s="31" t="s">
        <v>76</v>
      </c>
      <c r="D58" s="72"/>
      <c r="E58" s="29">
        <v>333.07</v>
      </c>
      <c r="F58" s="23"/>
      <c r="G58" s="23"/>
      <c r="H58" s="23"/>
      <c r="I58" s="29">
        <f t="shared" si="11"/>
        <v>333.07</v>
      </c>
      <c r="J58" s="23"/>
    </row>
    <row r="59" spans="2:10" x14ac:dyDescent="0.25">
      <c r="B59" s="30">
        <v>32102</v>
      </c>
      <c r="C59" s="32" t="s">
        <v>77</v>
      </c>
      <c r="D59" s="72"/>
      <c r="E59" s="29">
        <v>113.62</v>
      </c>
      <c r="F59" s="16"/>
      <c r="G59" s="16"/>
      <c r="H59" s="16"/>
      <c r="I59" s="29">
        <f t="shared" si="11"/>
        <v>113.62</v>
      </c>
      <c r="J59" s="54"/>
    </row>
    <row r="60" spans="2:10" s="7" customFormat="1" x14ac:dyDescent="0.25">
      <c r="B60" s="118"/>
      <c r="C60" s="119" t="s">
        <v>136</v>
      </c>
      <c r="D60" s="120">
        <f>SUM(D6,D12,D25,D31)</f>
        <v>1287800</v>
      </c>
      <c r="E60" s="120">
        <f>SUM(E6,E12,E25,E28,E31,E41,E44,E47)</f>
        <v>1939656.9900000002</v>
      </c>
      <c r="F60" s="120">
        <f>SUM(F6,F12,F25,F38)</f>
        <v>806803.40999999992</v>
      </c>
      <c r="G60" s="120">
        <f>SUM(G6,G12,G25,G38)</f>
        <v>322721.36400000006</v>
      </c>
      <c r="H60" s="120">
        <f>SUM(H6,H12,H25,H28,H31)</f>
        <v>250000</v>
      </c>
      <c r="I60" s="121">
        <f>SUM(I6,I12,I28,I31,I41,I44,I47)</f>
        <v>2451388.7460000003</v>
      </c>
      <c r="J60" s="120"/>
    </row>
    <row r="61" spans="2:10" x14ac:dyDescent="0.25">
      <c r="D61" s="75"/>
    </row>
    <row r="62" spans="2:10" x14ac:dyDescent="0.25">
      <c r="C62" s="109"/>
      <c r="D62" s="75"/>
      <c r="I62" s="110"/>
    </row>
    <row r="63" spans="2:10" x14ac:dyDescent="0.25">
      <c r="D63" s="111"/>
      <c r="E63" s="75"/>
      <c r="F63" s="112"/>
      <c r="G63" s="110"/>
      <c r="H63" s="110"/>
    </row>
    <row r="64" spans="2:10" x14ac:dyDescent="0.25">
      <c r="C64" s="113"/>
      <c r="D64" s="111"/>
      <c r="F64" s="111"/>
    </row>
    <row r="65" spans="3:4" x14ac:dyDescent="0.25">
      <c r="C65" s="114"/>
      <c r="D65" s="115"/>
    </row>
  </sheetData>
  <mergeCells count="3">
    <mergeCell ref="B2:J2"/>
    <mergeCell ref="B3:J3"/>
    <mergeCell ref="B4:J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57"/>
  <sheetViews>
    <sheetView topLeftCell="A22" workbookViewId="0">
      <selection activeCell="D40" sqref="D40"/>
    </sheetView>
  </sheetViews>
  <sheetFormatPr baseColWidth="10" defaultColWidth="11" defaultRowHeight="15" x14ac:dyDescent="0.25"/>
  <cols>
    <col min="1" max="1" width="3" customWidth="1"/>
    <col min="2" max="2" width="8.140625" customWidth="1"/>
    <col min="3" max="3" width="55.28515625" customWidth="1"/>
    <col min="4" max="4" width="31.85546875" customWidth="1"/>
    <col min="5" max="5" width="16.42578125" style="1" customWidth="1"/>
    <col min="6" max="6" width="17.7109375" style="1" customWidth="1"/>
  </cols>
  <sheetData>
    <row r="2" spans="1:8" ht="18.75" x14ac:dyDescent="0.3">
      <c r="A2" s="40"/>
      <c r="B2" s="176" t="s">
        <v>137</v>
      </c>
      <c r="C2" s="177"/>
      <c r="D2" s="178"/>
      <c r="H2" s="41"/>
    </row>
    <row r="3" spans="1:8" ht="18.75" x14ac:dyDescent="0.3">
      <c r="A3" s="40"/>
      <c r="B3" s="179" t="s">
        <v>138</v>
      </c>
      <c r="C3" s="179"/>
      <c r="D3" s="179"/>
      <c r="E3" s="180"/>
      <c r="F3" s="180"/>
      <c r="H3" s="41"/>
    </row>
    <row r="4" spans="1:8" x14ac:dyDescent="0.25">
      <c r="A4" s="40"/>
      <c r="B4" s="181" t="s">
        <v>139</v>
      </c>
      <c r="C4" s="181"/>
      <c r="D4" s="181"/>
      <c r="E4" s="182"/>
      <c r="F4" s="182"/>
      <c r="H4" s="41"/>
    </row>
    <row r="5" spans="1:8" ht="9" customHeight="1" x14ac:dyDescent="0.25">
      <c r="A5" s="40"/>
      <c r="B5" s="181"/>
      <c r="C5" s="181"/>
      <c r="D5" s="181"/>
      <c r="E5" s="182"/>
      <c r="F5" s="182"/>
      <c r="H5" s="41"/>
    </row>
    <row r="6" spans="1:8" ht="15.75" x14ac:dyDescent="0.25">
      <c r="A6" s="40"/>
      <c r="B6" s="39" t="s">
        <v>140</v>
      </c>
      <c r="C6" s="39"/>
      <c r="D6" s="39"/>
      <c r="H6" s="41"/>
    </row>
    <row r="7" spans="1:8" ht="15.75" x14ac:dyDescent="0.25">
      <c r="A7" s="40"/>
      <c r="B7" s="183" t="s">
        <v>141</v>
      </c>
      <c r="C7" s="184"/>
      <c r="D7" s="184"/>
      <c r="E7" s="185"/>
      <c r="F7" s="185"/>
      <c r="H7" s="41"/>
    </row>
    <row r="8" spans="1:8" ht="15.75" x14ac:dyDescent="0.25">
      <c r="A8" s="40"/>
      <c r="B8" s="183" t="s">
        <v>142</v>
      </c>
      <c r="C8" s="184"/>
      <c r="D8" s="184"/>
      <c r="E8" s="185"/>
      <c r="F8" s="185"/>
      <c r="H8" s="41"/>
    </row>
    <row r="9" spans="1:8" ht="9" customHeight="1" x14ac:dyDescent="0.25">
      <c r="A9" s="40"/>
      <c r="B9" s="183"/>
      <c r="C9" s="184"/>
      <c r="D9" s="184"/>
      <c r="E9" s="185"/>
      <c r="F9" s="185"/>
      <c r="H9" s="41"/>
    </row>
    <row r="10" spans="1:8" ht="15.75" x14ac:dyDescent="0.25">
      <c r="A10" s="40"/>
      <c r="B10" s="183" t="s">
        <v>143</v>
      </c>
      <c r="C10" s="184"/>
      <c r="D10" s="184"/>
      <c r="E10" s="185"/>
      <c r="F10" s="185"/>
      <c r="H10" s="41"/>
    </row>
    <row r="11" spans="1:8" ht="9" customHeight="1" x14ac:dyDescent="0.25">
      <c r="A11" s="40"/>
      <c r="B11" s="183"/>
      <c r="C11" s="184"/>
      <c r="D11" s="184"/>
      <c r="E11" s="185"/>
      <c r="F11" s="185"/>
      <c r="H11" s="41"/>
    </row>
    <row r="12" spans="1:8" ht="15.75" x14ac:dyDescent="0.25">
      <c r="A12" s="40"/>
      <c r="B12" s="183" t="s">
        <v>144</v>
      </c>
      <c r="C12" s="39"/>
      <c r="D12" s="39"/>
      <c r="H12" s="41"/>
    </row>
    <row r="13" spans="1:8" ht="15.75" x14ac:dyDescent="0.25">
      <c r="A13" s="40"/>
      <c r="B13" s="183" t="s">
        <v>145</v>
      </c>
      <c r="C13" s="39"/>
      <c r="D13" s="39"/>
      <c r="H13" s="41"/>
    </row>
    <row r="14" spans="1:8" ht="15.75" x14ac:dyDescent="0.25">
      <c r="A14" s="40"/>
      <c r="B14" s="39"/>
      <c r="C14" s="39"/>
      <c r="D14" s="39"/>
      <c r="H14" s="41"/>
    </row>
    <row r="15" spans="1:8" ht="15.75" x14ac:dyDescent="0.25">
      <c r="A15" s="40"/>
      <c r="B15" s="183" t="s">
        <v>146</v>
      </c>
      <c r="C15" s="39"/>
      <c r="D15" s="39"/>
      <c r="H15" s="41"/>
    </row>
    <row r="16" spans="1:8" ht="15.75" x14ac:dyDescent="0.25">
      <c r="A16" s="40"/>
      <c r="B16" s="39" t="s">
        <v>147</v>
      </c>
      <c r="C16" s="39"/>
      <c r="D16" s="39"/>
      <c r="H16" s="41"/>
    </row>
    <row r="17" spans="1:8" ht="15.75" x14ac:dyDescent="0.25">
      <c r="A17" s="40"/>
      <c r="B17" s="39" t="s">
        <v>148</v>
      </c>
      <c r="C17" s="39"/>
      <c r="D17" s="39"/>
      <c r="H17" s="41"/>
    </row>
    <row r="18" spans="1:8" ht="15" customHeight="1" x14ac:dyDescent="0.25">
      <c r="A18" s="40"/>
      <c r="B18" s="40"/>
      <c r="D18" s="40"/>
      <c r="H18" s="41"/>
    </row>
    <row r="19" spans="1:8" ht="15" customHeight="1" x14ac:dyDescent="0.25">
      <c r="A19" s="40"/>
      <c r="B19" s="186" t="s">
        <v>149</v>
      </c>
      <c r="C19" s="186"/>
      <c r="D19" s="186"/>
      <c r="H19" s="41"/>
    </row>
    <row r="20" spans="1:8" ht="16.5" thickBot="1" x14ac:dyDescent="0.3">
      <c r="A20" s="40"/>
      <c r="B20" s="187" t="s">
        <v>150</v>
      </c>
      <c r="C20" s="187"/>
      <c r="D20" s="187"/>
      <c r="E20" s="188"/>
      <c r="F20" s="188"/>
      <c r="H20" s="41"/>
    </row>
    <row r="21" spans="1:8" ht="15.75" x14ac:dyDescent="0.25">
      <c r="A21" s="40"/>
      <c r="B21" s="189" t="s">
        <v>16</v>
      </c>
      <c r="C21" s="190"/>
      <c r="D21" s="191"/>
      <c r="E21" s="188"/>
      <c r="F21" s="188"/>
      <c r="H21" s="41"/>
    </row>
    <row r="22" spans="1:8" s="197" customFormat="1" ht="18.95" customHeight="1" x14ac:dyDescent="0.25">
      <c r="A22" s="192"/>
      <c r="B22" s="193" t="s">
        <v>17</v>
      </c>
      <c r="C22" s="194" t="s">
        <v>18</v>
      </c>
      <c r="D22" s="195" t="s">
        <v>151</v>
      </c>
      <c r="E22" s="196"/>
      <c r="F22" s="196"/>
      <c r="H22" s="198"/>
    </row>
    <row r="23" spans="1:8" ht="18.95" customHeight="1" x14ac:dyDescent="0.25">
      <c r="A23" s="40"/>
      <c r="B23" s="199">
        <v>1</v>
      </c>
      <c r="C23" s="200" t="s">
        <v>19</v>
      </c>
      <c r="D23" s="201">
        <v>1102749.23</v>
      </c>
      <c r="E23" s="202"/>
      <c r="F23" s="202"/>
      <c r="H23" s="41"/>
    </row>
    <row r="24" spans="1:8" ht="18.95" customHeight="1" x14ac:dyDescent="0.25">
      <c r="A24" s="40"/>
      <c r="B24" s="199">
        <v>2</v>
      </c>
      <c r="C24" s="200" t="s">
        <v>152</v>
      </c>
      <c r="D24" s="201">
        <v>1243193.4099999999</v>
      </c>
      <c r="E24" s="202"/>
      <c r="F24" s="202"/>
      <c r="H24" s="41"/>
    </row>
    <row r="25" spans="1:8" ht="18.95" customHeight="1" x14ac:dyDescent="0.25">
      <c r="A25" s="40"/>
      <c r="B25" s="199">
        <v>3</v>
      </c>
      <c r="C25" s="203" t="s">
        <v>65</v>
      </c>
      <c r="D25" s="204">
        <v>105446.1</v>
      </c>
      <c r="E25" s="205"/>
      <c r="F25" s="205"/>
      <c r="H25" s="41"/>
    </row>
    <row r="26" spans="1:8" ht="18.95" customHeight="1" thickBot="1" x14ac:dyDescent="0.3">
      <c r="A26" s="40"/>
      <c r="B26" s="206" t="s">
        <v>136</v>
      </c>
      <c r="C26" s="207"/>
      <c r="D26" s="208">
        <f>SUM(D23:D25)</f>
        <v>2451388.7399999998</v>
      </c>
      <c r="E26" s="209"/>
      <c r="F26" s="209"/>
      <c r="H26" s="41"/>
    </row>
    <row r="27" spans="1:8" ht="16.5" thickBot="1" x14ac:dyDescent="0.3">
      <c r="A27" s="40"/>
      <c r="B27" s="187" t="s">
        <v>153</v>
      </c>
      <c r="C27" s="187"/>
      <c r="D27" s="187"/>
      <c r="E27" s="188"/>
      <c r="F27" s="188"/>
      <c r="H27" s="41"/>
    </row>
    <row r="28" spans="1:8" ht="18.95" customHeight="1" x14ac:dyDescent="0.25">
      <c r="A28" s="40"/>
      <c r="B28" s="189" t="s">
        <v>154</v>
      </c>
      <c r="C28" s="190"/>
      <c r="D28" s="191"/>
      <c r="E28" s="188"/>
      <c r="F28" s="188"/>
      <c r="H28" s="41"/>
    </row>
    <row r="29" spans="1:8" s="197" customFormat="1" ht="18.95" customHeight="1" x14ac:dyDescent="0.25">
      <c r="A29" s="192"/>
      <c r="B29" s="193" t="s">
        <v>17</v>
      </c>
      <c r="C29" s="194" t="s">
        <v>18</v>
      </c>
      <c r="D29" s="195" t="s">
        <v>151</v>
      </c>
      <c r="E29" s="196"/>
      <c r="F29" s="196"/>
      <c r="H29" s="198"/>
    </row>
    <row r="30" spans="1:8" ht="18.95" customHeight="1" x14ac:dyDescent="0.25">
      <c r="A30" s="40"/>
      <c r="B30" s="210" t="s">
        <v>155</v>
      </c>
      <c r="C30" s="200" t="s">
        <v>156</v>
      </c>
      <c r="D30" s="211"/>
      <c r="E30" s="202"/>
      <c r="F30" s="202"/>
      <c r="H30" s="41"/>
    </row>
    <row r="31" spans="1:8" ht="18.95" customHeight="1" x14ac:dyDescent="0.25">
      <c r="A31" s="40"/>
      <c r="B31" s="212" t="s">
        <v>157</v>
      </c>
      <c r="C31" s="213" t="s">
        <v>158</v>
      </c>
      <c r="D31" s="214">
        <v>794507.48</v>
      </c>
      <c r="E31" s="205"/>
      <c r="F31" s="205"/>
      <c r="H31" s="41"/>
    </row>
    <row r="32" spans="1:8" ht="18.95" customHeight="1" x14ac:dyDescent="0.25">
      <c r="A32" s="40"/>
      <c r="B32" s="212" t="s">
        <v>159</v>
      </c>
      <c r="C32" s="215" t="s">
        <v>160</v>
      </c>
      <c r="D32" s="216">
        <v>148086</v>
      </c>
      <c r="E32" s="202"/>
      <c r="F32" s="202"/>
      <c r="H32" s="41"/>
    </row>
    <row r="33" spans="1:8" ht="18.95" customHeight="1" x14ac:dyDescent="0.25">
      <c r="A33" s="40"/>
      <c r="B33" s="210" t="s">
        <v>161</v>
      </c>
      <c r="C33" s="200" t="s">
        <v>162</v>
      </c>
      <c r="D33" s="217"/>
      <c r="E33" s="202"/>
      <c r="F33" s="202"/>
      <c r="H33" s="41"/>
    </row>
    <row r="34" spans="1:8" ht="18.95" customHeight="1" x14ac:dyDescent="0.25">
      <c r="A34" s="40"/>
      <c r="B34" s="218" t="s">
        <v>163</v>
      </c>
      <c r="C34" s="215" t="s">
        <v>164</v>
      </c>
      <c r="D34" s="216">
        <v>495662.82</v>
      </c>
      <c r="E34" s="202"/>
      <c r="F34" s="202"/>
      <c r="H34" s="41"/>
    </row>
    <row r="35" spans="1:8" ht="15.75" customHeight="1" x14ac:dyDescent="0.25">
      <c r="A35" s="40"/>
      <c r="B35" s="219"/>
      <c r="C35" s="220" t="s">
        <v>165</v>
      </c>
      <c r="D35" s="221"/>
      <c r="E35" s="202"/>
      <c r="F35" s="202"/>
      <c r="H35" s="41"/>
    </row>
    <row r="36" spans="1:8" ht="18.95" customHeight="1" x14ac:dyDescent="0.25">
      <c r="A36" s="40"/>
      <c r="B36" s="210" t="s">
        <v>166</v>
      </c>
      <c r="C36" s="200" t="s">
        <v>167</v>
      </c>
      <c r="D36" s="217"/>
      <c r="E36" s="202"/>
      <c r="F36" s="202"/>
      <c r="H36" s="41"/>
    </row>
    <row r="37" spans="1:8" ht="18.95" customHeight="1" x14ac:dyDescent="0.25">
      <c r="A37" s="40"/>
      <c r="B37" s="210" t="s">
        <v>168</v>
      </c>
      <c r="C37" s="215" t="s">
        <v>169</v>
      </c>
      <c r="D37" s="216">
        <v>543084.66</v>
      </c>
      <c r="E37" s="202"/>
      <c r="F37" s="202"/>
      <c r="H37" s="41"/>
    </row>
    <row r="38" spans="1:8" ht="18.95" customHeight="1" x14ac:dyDescent="0.25">
      <c r="A38" s="40"/>
      <c r="B38" s="210"/>
      <c r="C38" s="200" t="s">
        <v>170</v>
      </c>
      <c r="D38" s="216"/>
      <c r="E38" s="202"/>
      <c r="F38" s="202"/>
      <c r="H38" s="41"/>
    </row>
    <row r="39" spans="1:8" ht="18.95" customHeight="1" x14ac:dyDescent="0.25">
      <c r="A39" s="40"/>
      <c r="B39" s="212" t="s">
        <v>171</v>
      </c>
      <c r="C39" s="222" t="s">
        <v>172</v>
      </c>
      <c r="D39" s="216">
        <v>392.58</v>
      </c>
      <c r="E39" s="202"/>
      <c r="F39" s="202"/>
      <c r="H39" s="41"/>
    </row>
    <row r="40" spans="1:8" ht="14.25" customHeight="1" x14ac:dyDescent="0.25">
      <c r="A40" s="40"/>
      <c r="B40" s="210" t="s">
        <v>173</v>
      </c>
      <c r="C40" s="200" t="s">
        <v>174</v>
      </c>
      <c r="D40" s="216"/>
      <c r="E40" s="202"/>
      <c r="F40" s="202"/>
      <c r="H40" s="41"/>
    </row>
    <row r="41" spans="1:8" ht="12.75" customHeight="1" x14ac:dyDescent="0.25">
      <c r="A41" s="40"/>
      <c r="B41" s="223" t="s">
        <v>175</v>
      </c>
      <c r="C41" s="224" t="s">
        <v>176</v>
      </c>
      <c r="D41" s="225">
        <v>469655.2</v>
      </c>
      <c r="E41" s="202"/>
      <c r="F41" s="202"/>
      <c r="H41" s="41"/>
    </row>
    <row r="42" spans="1:8" ht="18.95" customHeight="1" thickBot="1" x14ac:dyDescent="0.3">
      <c r="A42" s="40"/>
      <c r="B42" s="206" t="s">
        <v>136</v>
      </c>
      <c r="C42" s="207"/>
      <c r="D42" s="208">
        <f>SUM(D30:D41)</f>
        <v>2451388.7400000002</v>
      </c>
      <c r="E42" s="209"/>
      <c r="F42" s="209"/>
      <c r="H42" s="41"/>
    </row>
    <row r="43" spans="1:8" x14ac:dyDescent="0.25">
      <c r="A43" s="40"/>
      <c r="H43" s="41"/>
    </row>
    <row r="44" spans="1:8" x14ac:dyDescent="0.25">
      <c r="A44" s="40"/>
      <c r="H44" s="41"/>
    </row>
    <row r="45" spans="1:8" x14ac:dyDescent="0.25">
      <c r="A45" s="40"/>
      <c r="H45" s="41"/>
    </row>
    <row r="46" spans="1:8" x14ac:dyDescent="0.25">
      <c r="A46" s="40"/>
      <c r="H46" s="41"/>
    </row>
    <row r="47" spans="1:8" x14ac:dyDescent="0.25">
      <c r="A47" s="40"/>
      <c r="H47" s="41"/>
    </row>
    <row r="48" spans="1:8" x14ac:dyDescent="0.25">
      <c r="A48" s="40"/>
      <c r="H48" s="41"/>
    </row>
    <row r="49" spans="1:8" x14ac:dyDescent="0.25">
      <c r="A49" s="40"/>
      <c r="H49" s="41"/>
    </row>
    <row r="50" spans="1:8" x14ac:dyDescent="0.25">
      <c r="A50" s="40"/>
      <c r="H50" s="41"/>
    </row>
    <row r="51" spans="1:8" x14ac:dyDescent="0.25">
      <c r="A51" s="40"/>
      <c r="H51" s="41"/>
    </row>
    <row r="52" spans="1:8" x14ac:dyDescent="0.25">
      <c r="A52" s="40"/>
      <c r="H52" s="41"/>
    </row>
    <row r="53" spans="1:8" x14ac:dyDescent="0.25">
      <c r="A53" s="40"/>
      <c r="H53" s="41"/>
    </row>
    <row r="54" spans="1:8" x14ac:dyDescent="0.25">
      <c r="A54" s="40"/>
      <c r="H54" s="41"/>
    </row>
    <row r="55" spans="1:8" x14ac:dyDescent="0.25">
      <c r="A55" s="40"/>
      <c r="H55" s="41"/>
    </row>
    <row r="56" spans="1:8" x14ac:dyDescent="0.25">
      <c r="A56" s="40"/>
      <c r="H56" s="41"/>
    </row>
    <row r="57" spans="1:8" x14ac:dyDescent="0.25">
      <c r="A57" s="40"/>
      <c r="H57" s="41"/>
    </row>
  </sheetData>
  <mergeCells count="11">
    <mergeCell ref="B21:D21"/>
    <mergeCell ref="B26:C26"/>
    <mergeCell ref="B27:D27"/>
    <mergeCell ref="B28:D28"/>
    <mergeCell ref="B42:C42"/>
    <mergeCell ref="B2:D2"/>
    <mergeCell ref="B3:D3"/>
    <mergeCell ref="B4:D4"/>
    <mergeCell ref="B5:D5"/>
    <mergeCell ref="B19:D19"/>
    <mergeCell ref="B20:D20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Q93"/>
  <sheetViews>
    <sheetView workbookViewId="0">
      <selection activeCell="D15" sqref="D15"/>
    </sheetView>
  </sheetViews>
  <sheetFormatPr baseColWidth="10" defaultColWidth="11" defaultRowHeight="15" x14ac:dyDescent="0.25"/>
  <cols>
    <col min="1" max="1" width="2.140625" customWidth="1"/>
    <col min="2" max="2" width="9.5703125" customWidth="1"/>
    <col min="3" max="3" width="48.7109375" customWidth="1"/>
    <col min="4" max="4" width="13" customWidth="1"/>
    <col min="5" max="5" width="14.5703125" customWidth="1"/>
    <col min="6" max="6" width="12" customWidth="1"/>
    <col min="7" max="7" width="12.42578125" customWidth="1"/>
    <col min="8" max="8" width="12.5703125" customWidth="1"/>
    <col min="9" max="9" width="12" customWidth="1"/>
    <col min="10" max="10" width="15.28515625" customWidth="1"/>
    <col min="11" max="11" width="15" customWidth="1"/>
    <col min="12" max="12" width="13.42578125" customWidth="1"/>
    <col min="13" max="13" width="12.42578125" customWidth="1"/>
    <col min="14" max="14" width="13.42578125" customWidth="1"/>
    <col min="15" max="15" width="13.7109375" customWidth="1"/>
    <col min="16" max="16" width="15" customWidth="1"/>
    <col min="17" max="17" width="13.5703125" customWidth="1"/>
    <col min="18" max="18" width="12.5703125" customWidth="1"/>
  </cols>
  <sheetData>
    <row r="1" spans="2:16" ht="16.5" thickBot="1" x14ac:dyDescent="0.3">
      <c r="B1" s="226" t="s">
        <v>177</v>
      </c>
      <c r="C1" s="226"/>
      <c r="D1" s="227"/>
      <c r="E1" s="227"/>
      <c r="F1" s="227"/>
      <c r="G1" s="227"/>
      <c r="H1" s="227"/>
      <c r="I1" s="227"/>
      <c r="J1" s="227"/>
      <c r="K1" s="227"/>
      <c r="L1" s="227"/>
      <c r="M1" s="227"/>
      <c r="N1" s="227"/>
      <c r="O1" s="227"/>
      <c r="P1" s="228"/>
    </row>
    <row r="3" spans="2:16" s="232" customFormat="1" ht="16.5" thickBot="1" x14ac:dyDescent="0.3">
      <c r="B3" s="229" t="s">
        <v>17</v>
      </c>
      <c r="C3" s="230" t="s">
        <v>178</v>
      </c>
      <c r="D3" s="231">
        <v>42278</v>
      </c>
      <c r="E3" s="231">
        <v>42309</v>
      </c>
      <c r="F3" s="231">
        <v>42339</v>
      </c>
      <c r="G3" s="231">
        <v>42370</v>
      </c>
      <c r="H3" s="231">
        <v>42401</v>
      </c>
      <c r="I3" s="231">
        <v>42430</v>
      </c>
      <c r="J3" s="231">
        <v>42461</v>
      </c>
      <c r="K3" s="231">
        <v>42491</v>
      </c>
      <c r="L3" s="231">
        <v>42522</v>
      </c>
      <c r="M3" s="231">
        <v>42552</v>
      </c>
      <c r="N3" s="231">
        <v>42583</v>
      </c>
      <c r="O3" s="231">
        <v>42614</v>
      </c>
      <c r="P3" s="231" t="s">
        <v>91</v>
      </c>
    </row>
    <row r="4" spans="2:16" s="238" customFormat="1" ht="12.75" x14ac:dyDescent="0.2">
      <c r="B4" s="233">
        <v>11</v>
      </c>
      <c r="C4" s="234" t="s">
        <v>20</v>
      </c>
      <c r="D4" s="235">
        <f>SUM(D5)</f>
        <v>1618.96</v>
      </c>
      <c r="E4" s="235">
        <f>SUM(E5)</f>
        <v>741.77</v>
      </c>
      <c r="F4" s="235">
        <f>SUM(F5)</f>
        <v>1705.5</v>
      </c>
      <c r="G4" s="235">
        <f t="shared" ref="G4:O4" si="0">SUM(G5)</f>
        <v>2743.4100000000003</v>
      </c>
      <c r="H4" s="235">
        <f t="shared" si="0"/>
        <v>2532.1400000000003</v>
      </c>
      <c r="I4" s="235">
        <f t="shared" si="0"/>
        <v>2601.08</v>
      </c>
      <c r="J4" s="235">
        <f t="shared" si="0"/>
        <v>360.02</v>
      </c>
      <c r="K4" s="235">
        <f t="shared" si="0"/>
        <v>12163.49</v>
      </c>
      <c r="L4" s="235">
        <f t="shared" si="0"/>
        <v>1467.21</v>
      </c>
      <c r="M4" s="235">
        <f t="shared" si="0"/>
        <v>2679.07</v>
      </c>
      <c r="N4" s="235">
        <f t="shared" si="0"/>
        <v>6695.55</v>
      </c>
      <c r="O4" s="236">
        <f t="shared" si="0"/>
        <v>3521.1499999999996</v>
      </c>
      <c r="P4" s="237">
        <f>SUM(D4:O4)</f>
        <v>38829.350000000006</v>
      </c>
    </row>
    <row r="5" spans="2:16" s="244" customFormat="1" ht="12.75" x14ac:dyDescent="0.2">
      <c r="B5" s="239">
        <v>118</v>
      </c>
      <c r="C5" s="240" t="s">
        <v>21</v>
      </c>
      <c r="D5" s="241">
        <f t="shared" ref="D5:O5" si="1">SUM(D6:D10)</f>
        <v>1618.96</v>
      </c>
      <c r="E5" s="241">
        <f t="shared" si="1"/>
        <v>741.77</v>
      </c>
      <c r="F5" s="241">
        <f t="shared" si="1"/>
        <v>1705.5</v>
      </c>
      <c r="G5" s="241">
        <f t="shared" si="1"/>
        <v>2743.4100000000003</v>
      </c>
      <c r="H5" s="241">
        <f t="shared" si="1"/>
        <v>2532.1400000000003</v>
      </c>
      <c r="I5" s="241">
        <f t="shared" si="1"/>
        <v>2601.08</v>
      </c>
      <c r="J5" s="241">
        <f t="shared" si="1"/>
        <v>360.02</v>
      </c>
      <c r="K5" s="241">
        <f t="shared" si="1"/>
        <v>12163.49</v>
      </c>
      <c r="L5" s="241">
        <f t="shared" si="1"/>
        <v>1467.21</v>
      </c>
      <c r="M5" s="241">
        <f t="shared" si="1"/>
        <v>2679.07</v>
      </c>
      <c r="N5" s="241">
        <f t="shared" si="1"/>
        <v>6695.55</v>
      </c>
      <c r="O5" s="242">
        <f t="shared" si="1"/>
        <v>3521.1499999999996</v>
      </c>
      <c r="P5" s="243">
        <f>SUM(D5:O5)</f>
        <v>38829.350000000006</v>
      </c>
    </row>
    <row r="6" spans="2:16" x14ac:dyDescent="0.25">
      <c r="B6" s="245">
        <v>11801</v>
      </c>
      <c r="C6" s="54" t="s">
        <v>179</v>
      </c>
      <c r="D6" s="246">
        <v>181.98</v>
      </c>
      <c r="E6" s="247">
        <v>82.91</v>
      </c>
      <c r="F6" s="247">
        <f>320.45+72.51</f>
        <v>392.96</v>
      </c>
      <c r="G6" s="247">
        <f>156.51+9.12</f>
        <v>165.63</v>
      </c>
      <c r="H6" s="247">
        <f>231.42+28.57</f>
        <v>259.99</v>
      </c>
      <c r="I6" s="247">
        <v>59.99</v>
      </c>
      <c r="J6" s="247">
        <f>45.68+30.78</f>
        <v>76.460000000000008</v>
      </c>
      <c r="K6" s="247">
        <v>6495.81</v>
      </c>
      <c r="L6" s="247">
        <v>243.08</v>
      </c>
      <c r="M6" s="247">
        <v>2013.65</v>
      </c>
      <c r="N6" s="247">
        <v>67.760000000000005</v>
      </c>
      <c r="O6" s="247">
        <f>164.59+34.32</f>
        <v>198.91</v>
      </c>
      <c r="P6" s="248">
        <f>SUM(D6:O6)</f>
        <v>10239.130000000001</v>
      </c>
    </row>
    <row r="7" spans="2:16" x14ac:dyDescent="0.25">
      <c r="B7" s="245">
        <v>11802</v>
      </c>
      <c r="C7" s="54" t="s">
        <v>180</v>
      </c>
      <c r="D7" s="246">
        <v>730.4</v>
      </c>
      <c r="E7" s="247">
        <v>652</v>
      </c>
      <c r="F7" s="247">
        <v>1312.54</v>
      </c>
      <c r="G7" s="247">
        <v>2560.63</v>
      </c>
      <c r="H7" s="247">
        <v>2241.2800000000002</v>
      </c>
      <c r="I7" s="247">
        <v>2139.7800000000002</v>
      </c>
      <c r="J7" s="247">
        <v>190.95</v>
      </c>
      <c r="K7" s="247">
        <v>5564.78</v>
      </c>
      <c r="L7" s="247">
        <v>146.77000000000001</v>
      </c>
      <c r="M7" s="247"/>
      <c r="N7" s="247">
        <v>6590.06</v>
      </c>
      <c r="O7" s="247">
        <v>2145.75</v>
      </c>
      <c r="P7" s="248">
        <f>SUM(D7:O7)</f>
        <v>24274.940000000002</v>
      </c>
    </row>
    <row r="8" spans="2:16" x14ac:dyDescent="0.25">
      <c r="B8" s="245">
        <v>11806</v>
      </c>
      <c r="C8" s="54" t="s">
        <v>181</v>
      </c>
      <c r="D8" s="246"/>
      <c r="E8" s="247"/>
      <c r="F8" s="247"/>
      <c r="G8" s="247"/>
      <c r="H8" s="247"/>
      <c r="I8" s="247"/>
      <c r="J8" s="247"/>
      <c r="K8" s="247"/>
      <c r="L8" s="247"/>
      <c r="M8" s="247"/>
      <c r="N8" s="247"/>
      <c r="O8" s="247"/>
      <c r="P8" s="248">
        <f t="shared" ref="P8:P22" si="2">SUM(D8:O8)</f>
        <v>0</v>
      </c>
    </row>
    <row r="9" spans="2:16" x14ac:dyDescent="0.25">
      <c r="B9" s="245">
        <v>11816</v>
      </c>
      <c r="C9" s="54" t="s">
        <v>24</v>
      </c>
      <c r="D9" s="246"/>
      <c r="E9" s="247"/>
      <c r="F9" s="247"/>
      <c r="G9" s="247"/>
      <c r="H9" s="247"/>
      <c r="I9" s="247"/>
      <c r="J9" s="247"/>
      <c r="K9" s="247"/>
      <c r="L9" s="247"/>
      <c r="M9" s="247"/>
      <c r="N9" s="247"/>
      <c r="O9" s="247"/>
      <c r="P9" s="248">
        <f t="shared" si="2"/>
        <v>0</v>
      </c>
    </row>
    <row r="10" spans="2:16" x14ac:dyDescent="0.25">
      <c r="B10" s="249">
        <v>11818</v>
      </c>
      <c r="C10" s="54" t="s">
        <v>126</v>
      </c>
      <c r="D10" s="246">
        <v>706.58</v>
      </c>
      <c r="E10" s="247">
        <v>6.86</v>
      </c>
      <c r="F10" s="247"/>
      <c r="G10" s="247">
        <v>17.149999999999999</v>
      </c>
      <c r="H10" s="247">
        <v>30.87</v>
      </c>
      <c r="I10" s="247">
        <v>401.31</v>
      </c>
      <c r="J10" s="247">
        <v>92.61</v>
      </c>
      <c r="K10" s="247">
        <v>102.9</v>
      </c>
      <c r="L10" s="247">
        <v>1077.3599999999999</v>
      </c>
      <c r="M10" s="247">
        <v>665.42</v>
      </c>
      <c r="N10" s="247">
        <v>37.729999999999997</v>
      </c>
      <c r="O10" s="247">
        <v>1176.49</v>
      </c>
      <c r="P10" s="248">
        <f t="shared" si="2"/>
        <v>4315.28</v>
      </c>
    </row>
    <row r="11" spans="2:16" s="244" customFormat="1" ht="12.75" x14ac:dyDescent="0.2">
      <c r="B11" s="250">
        <v>12</v>
      </c>
      <c r="C11" s="251" t="s">
        <v>26</v>
      </c>
      <c r="D11" s="252">
        <f t="shared" ref="D11:O11" si="3">SUM(D12,D24)</f>
        <v>9923.8700000000008</v>
      </c>
      <c r="E11" s="252">
        <f t="shared" si="3"/>
        <v>67336.42</v>
      </c>
      <c r="F11" s="252">
        <f t="shared" si="3"/>
        <v>28270.839999999997</v>
      </c>
      <c r="G11" s="252">
        <f t="shared" si="3"/>
        <v>22801.38</v>
      </c>
      <c r="H11" s="252">
        <f t="shared" si="3"/>
        <v>76713.600000000006</v>
      </c>
      <c r="I11" s="252">
        <f t="shared" si="3"/>
        <v>12730.96</v>
      </c>
      <c r="J11" s="252">
        <f t="shared" si="3"/>
        <v>7296.66</v>
      </c>
      <c r="K11" s="252">
        <f t="shared" si="3"/>
        <v>61930.62</v>
      </c>
      <c r="L11" s="252">
        <f t="shared" si="3"/>
        <v>8852.81</v>
      </c>
      <c r="M11" s="252">
        <f t="shared" si="3"/>
        <v>9357.73</v>
      </c>
      <c r="N11" s="252">
        <f t="shared" si="3"/>
        <v>67710.099999999991</v>
      </c>
      <c r="O11" s="252">
        <f t="shared" si="3"/>
        <v>11593.810000000001</v>
      </c>
      <c r="P11" s="237">
        <f t="shared" si="2"/>
        <v>384518.79999999993</v>
      </c>
    </row>
    <row r="12" spans="2:16" s="244" customFormat="1" ht="12.75" x14ac:dyDescent="0.2">
      <c r="B12" s="253">
        <v>121</v>
      </c>
      <c r="C12" s="240" t="s">
        <v>27</v>
      </c>
      <c r="D12" s="241">
        <f>SUM(D13:D23)</f>
        <v>8897.2100000000009</v>
      </c>
      <c r="E12" s="241">
        <f>SUM(E13:E23)</f>
        <v>66923.44</v>
      </c>
      <c r="F12" s="241">
        <f t="shared" ref="F12:O12" si="4">SUM(F13:F23)</f>
        <v>27134.67</v>
      </c>
      <c r="G12" s="241">
        <f t="shared" si="4"/>
        <v>21927.3</v>
      </c>
      <c r="H12" s="241">
        <f t="shared" si="4"/>
        <v>74622.450000000012</v>
      </c>
      <c r="I12" s="241">
        <f t="shared" si="4"/>
        <v>12124.23</v>
      </c>
      <c r="J12" s="241">
        <f t="shared" si="4"/>
        <v>6863.83</v>
      </c>
      <c r="K12" s="241">
        <f t="shared" si="4"/>
        <v>61649.82</v>
      </c>
      <c r="L12" s="241">
        <f t="shared" si="4"/>
        <v>8152.3099999999995</v>
      </c>
      <c r="M12" s="241">
        <f t="shared" si="4"/>
        <v>8825.08</v>
      </c>
      <c r="N12" s="241">
        <f t="shared" si="4"/>
        <v>66582.81</v>
      </c>
      <c r="O12" s="241">
        <f t="shared" si="4"/>
        <v>10910.880000000001</v>
      </c>
      <c r="P12" s="243">
        <f t="shared" si="2"/>
        <v>374614.03</v>
      </c>
    </row>
    <row r="13" spans="2:16" x14ac:dyDescent="0.25">
      <c r="B13" s="245">
        <v>12105</v>
      </c>
      <c r="C13" s="54" t="s">
        <v>182</v>
      </c>
      <c r="D13" s="246">
        <v>793.32</v>
      </c>
      <c r="E13" s="247">
        <v>945</v>
      </c>
      <c r="F13" s="247">
        <v>691.47</v>
      </c>
      <c r="G13" s="247">
        <v>953.23</v>
      </c>
      <c r="H13" s="247">
        <v>799.4</v>
      </c>
      <c r="I13" s="247">
        <v>760.6</v>
      </c>
      <c r="J13" s="247">
        <v>625.01</v>
      </c>
      <c r="K13" s="247">
        <v>760.6</v>
      </c>
      <c r="L13" s="247">
        <v>831.4</v>
      </c>
      <c r="M13" s="247">
        <v>589.5</v>
      </c>
      <c r="N13" s="247">
        <v>677.9</v>
      </c>
      <c r="O13" s="247">
        <v>716.7</v>
      </c>
      <c r="P13" s="248">
        <f t="shared" si="2"/>
        <v>9144.130000000001</v>
      </c>
    </row>
    <row r="14" spans="2:16" x14ac:dyDescent="0.25">
      <c r="B14" s="245">
        <v>12106</v>
      </c>
      <c r="C14" s="54" t="s">
        <v>183</v>
      </c>
      <c r="D14" s="246">
        <v>19.5</v>
      </c>
      <c r="E14" s="247">
        <v>19.5</v>
      </c>
      <c r="F14" s="247">
        <v>10.5</v>
      </c>
      <c r="G14" s="247">
        <v>15</v>
      </c>
      <c r="H14" s="247">
        <v>9</v>
      </c>
      <c r="I14" s="247">
        <v>10.5</v>
      </c>
      <c r="J14" s="247">
        <v>9</v>
      </c>
      <c r="K14" s="247">
        <v>13.5</v>
      </c>
      <c r="L14" s="247">
        <v>22.5</v>
      </c>
      <c r="M14" s="247">
        <v>4.5</v>
      </c>
      <c r="N14" s="247">
        <v>7.5</v>
      </c>
      <c r="O14" s="247">
        <v>7.5</v>
      </c>
      <c r="P14" s="248">
        <f t="shared" si="2"/>
        <v>148.5</v>
      </c>
    </row>
    <row r="15" spans="2:16" x14ac:dyDescent="0.25">
      <c r="B15" s="245">
        <v>12108</v>
      </c>
      <c r="C15" s="54" t="s">
        <v>30</v>
      </c>
      <c r="D15" s="246">
        <f>837.31+0.6</f>
        <v>837.91</v>
      </c>
      <c r="E15" s="247">
        <f>1508.99+794.1</f>
        <v>2303.09</v>
      </c>
      <c r="F15" s="247">
        <f>2331.27+1367.57</f>
        <v>3698.84</v>
      </c>
      <c r="G15" s="247">
        <f>1906.76+1462.82</f>
        <v>3369.58</v>
      </c>
      <c r="H15" s="247">
        <f>1414.86+1858.88</f>
        <v>3273.74</v>
      </c>
      <c r="I15" s="247">
        <f>894.1+670.67</f>
        <v>1564.77</v>
      </c>
      <c r="J15" s="247">
        <f>473.03+280.61</f>
        <v>753.64</v>
      </c>
      <c r="K15" s="247">
        <f>1054.91+349.22</f>
        <v>1404.13</v>
      </c>
      <c r="L15" s="247">
        <f>630.6+235.66</f>
        <v>866.26</v>
      </c>
      <c r="M15" s="247">
        <f>745.51+650.24</f>
        <v>1395.75</v>
      </c>
      <c r="N15" s="247">
        <f>782.31+80.11</f>
        <v>862.42</v>
      </c>
      <c r="O15" s="247">
        <f>928.67+435.27</f>
        <v>1363.94</v>
      </c>
      <c r="P15" s="248">
        <f t="shared" si="2"/>
        <v>21694.069999999996</v>
      </c>
    </row>
    <row r="16" spans="2:16" x14ac:dyDescent="0.25">
      <c r="B16" s="245">
        <v>12109</v>
      </c>
      <c r="C16" s="54" t="s">
        <v>31</v>
      </c>
      <c r="D16" s="246">
        <f>1618.53+276.33</f>
        <v>1894.86</v>
      </c>
      <c r="E16" s="247">
        <f>3098.9+1571.26</f>
        <v>4670.16</v>
      </c>
      <c r="F16" s="247">
        <f>4335.37+3029.14</f>
        <v>7364.51</v>
      </c>
      <c r="G16" s="247">
        <f>4076.11+2780.6</f>
        <v>6856.71</v>
      </c>
      <c r="H16" s="247">
        <f>2743.5+5170.95</f>
        <v>7914.45</v>
      </c>
      <c r="I16" s="247">
        <f>1319.64+1051.07</f>
        <v>2370.71</v>
      </c>
      <c r="J16" s="247">
        <f>752.75+418.25</f>
        <v>1171</v>
      </c>
      <c r="K16" s="247">
        <f>1490.95+918.47</f>
        <v>2409.42</v>
      </c>
      <c r="L16" s="247">
        <f>952.67+648.47</f>
        <v>1601.1399999999999</v>
      </c>
      <c r="M16" s="247">
        <f>1275.72+777.65</f>
        <v>2053.37</v>
      </c>
      <c r="N16" s="247">
        <f>951.47+219.89</f>
        <v>1171.3600000000001</v>
      </c>
      <c r="O16" s="247">
        <f>1271.07+561.74</f>
        <v>1832.81</v>
      </c>
      <c r="P16" s="248">
        <f t="shared" si="2"/>
        <v>41310.5</v>
      </c>
    </row>
    <row r="17" spans="2:16" x14ac:dyDescent="0.25">
      <c r="B17" s="245">
        <v>12111</v>
      </c>
      <c r="C17" s="54" t="s">
        <v>32</v>
      </c>
      <c r="D17" s="246">
        <v>140</v>
      </c>
      <c r="E17" s="247">
        <v>126</v>
      </c>
      <c r="F17" s="247">
        <v>342.3</v>
      </c>
      <c r="G17" s="247">
        <v>296.25</v>
      </c>
      <c r="H17" s="247">
        <v>187.25</v>
      </c>
      <c r="I17" s="247">
        <v>198.5</v>
      </c>
      <c r="J17" s="247">
        <v>20</v>
      </c>
      <c r="K17" s="247">
        <v>205</v>
      </c>
      <c r="L17" s="247">
        <v>170</v>
      </c>
      <c r="M17" s="247">
        <v>331</v>
      </c>
      <c r="N17" s="247">
        <v>638</v>
      </c>
      <c r="O17" s="247">
        <v>444.5</v>
      </c>
      <c r="P17" s="248">
        <f t="shared" si="2"/>
        <v>3098.8</v>
      </c>
    </row>
    <row r="18" spans="2:16" x14ac:dyDescent="0.25">
      <c r="B18" s="245">
        <v>12114</v>
      </c>
      <c r="C18" s="54" t="s">
        <v>92</v>
      </c>
      <c r="D18" s="246">
        <v>376.53</v>
      </c>
      <c r="E18" s="247">
        <v>3184.55</v>
      </c>
      <c r="F18" s="247">
        <v>1305.27</v>
      </c>
      <c r="G18" s="247">
        <v>968.8</v>
      </c>
      <c r="H18" s="247">
        <v>3636.13</v>
      </c>
      <c r="I18" s="247">
        <v>664.35</v>
      </c>
      <c r="J18" s="247">
        <v>322.16000000000003</v>
      </c>
      <c r="K18" s="247">
        <v>3478.4</v>
      </c>
      <c r="L18" s="247">
        <v>400.85</v>
      </c>
      <c r="M18" s="247">
        <v>516.41999999999996</v>
      </c>
      <c r="N18" s="247">
        <v>3492.27</v>
      </c>
      <c r="O18" s="247">
        <v>676.21</v>
      </c>
      <c r="P18" s="248">
        <f t="shared" si="2"/>
        <v>19021.939999999999</v>
      </c>
    </row>
    <row r="19" spans="2:16" x14ac:dyDescent="0.25">
      <c r="B19" s="245">
        <v>12115</v>
      </c>
      <c r="C19" s="54" t="s">
        <v>184</v>
      </c>
      <c r="D19" s="246">
        <v>2961.21</v>
      </c>
      <c r="E19" s="247">
        <v>3018.88</v>
      </c>
      <c r="F19" s="247">
        <v>2922.38</v>
      </c>
      <c r="G19" s="247">
        <v>2919.36</v>
      </c>
      <c r="H19" s="247">
        <v>3288.3</v>
      </c>
      <c r="I19" s="247">
        <v>3005.26</v>
      </c>
      <c r="J19" s="247">
        <v>2686.19</v>
      </c>
      <c r="K19" s="247">
        <v>3515.98</v>
      </c>
      <c r="L19" s="247">
        <v>2993.89</v>
      </c>
      <c r="M19" s="247">
        <v>2899</v>
      </c>
      <c r="N19" s="247">
        <v>3161.44</v>
      </c>
      <c r="O19" s="247">
        <v>2868.74</v>
      </c>
      <c r="P19" s="248">
        <f t="shared" si="2"/>
        <v>36240.629999999997</v>
      </c>
    </row>
    <row r="20" spans="2:16" x14ac:dyDescent="0.25">
      <c r="B20" s="245">
        <v>12117</v>
      </c>
      <c r="C20" s="54" t="s">
        <v>35</v>
      </c>
      <c r="D20" s="246">
        <f>1031.1+214.25</f>
        <v>1245.3499999999999</v>
      </c>
      <c r="E20" s="247">
        <f>1447.07+711.69</f>
        <v>2158.7600000000002</v>
      </c>
      <c r="F20" s="247">
        <f>2323.81+1246.59</f>
        <v>3570.3999999999996</v>
      </c>
      <c r="G20" s="247">
        <f>1770.42+1406.5</f>
        <v>3176.92</v>
      </c>
      <c r="H20" s="247">
        <f>1857.24+1828.59</f>
        <v>3685.83</v>
      </c>
      <c r="I20" s="247">
        <f>1106.68+850.36</f>
        <v>1957.04</v>
      </c>
      <c r="J20" s="247">
        <f>421.18+152.83</f>
        <v>574.01</v>
      </c>
      <c r="K20" s="247">
        <f>1449.5+418.29</f>
        <v>1867.79</v>
      </c>
      <c r="L20" s="247">
        <f>894.65+346.62</f>
        <v>1241.27</v>
      </c>
      <c r="M20" s="247">
        <f>784.08+198.96</f>
        <v>983.04000000000008</v>
      </c>
      <c r="N20" s="247">
        <f>565.78+106.64</f>
        <v>672.42</v>
      </c>
      <c r="O20" s="247">
        <f>1042.03+413.85</f>
        <v>1455.88</v>
      </c>
      <c r="P20" s="248">
        <f t="shared" si="2"/>
        <v>22588.71</v>
      </c>
    </row>
    <row r="21" spans="2:16" x14ac:dyDescent="0.25">
      <c r="B21" s="245">
        <v>12118</v>
      </c>
      <c r="C21" s="54" t="s">
        <v>36</v>
      </c>
      <c r="D21" s="246">
        <v>611.42999999999995</v>
      </c>
      <c r="E21" s="247">
        <v>50475</v>
      </c>
      <c r="F21" s="247">
        <v>7076</v>
      </c>
      <c r="G21" s="247">
        <v>1872</v>
      </c>
      <c r="H21" s="247">
        <v>51083</v>
      </c>
      <c r="I21" s="247">
        <v>1500</v>
      </c>
      <c r="J21" s="247">
        <v>690.32</v>
      </c>
      <c r="K21" s="247">
        <v>47970</v>
      </c>
      <c r="L21" s="247"/>
      <c r="M21" s="247"/>
      <c r="N21" s="247">
        <v>55887</v>
      </c>
      <c r="O21" s="247">
        <v>1500</v>
      </c>
      <c r="P21" s="248">
        <f t="shared" si="2"/>
        <v>218664.75</v>
      </c>
    </row>
    <row r="22" spans="2:16" x14ac:dyDescent="0.25">
      <c r="B22" s="245">
        <v>12119</v>
      </c>
      <c r="C22" s="54" t="s">
        <v>94</v>
      </c>
      <c r="D22" s="246">
        <v>17.100000000000001</v>
      </c>
      <c r="E22" s="247">
        <v>22.5</v>
      </c>
      <c r="F22" s="247">
        <v>20</v>
      </c>
      <c r="G22" s="247">
        <v>40</v>
      </c>
      <c r="H22" s="247">
        <v>51</v>
      </c>
      <c r="I22" s="247">
        <v>42.5</v>
      </c>
      <c r="J22" s="247">
        <v>12.5</v>
      </c>
      <c r="K22" s="247">
        <v>25</v>
      </c>
      <c r="L22" s="247">
        <v>25</v>
      </c>
      <c r="M22" s="247">
        <v>52.5</v>
      </c>
      <c r="N22" s="247">
        <v>12.5</v>
      </c>
      <c r="O22" s="247">
        <v>44.6</v>
      </c>
      <c r="P22" s="248">
        <f t="shared" si="2"/>
        <v>365.20000000000005</v>
      </c>
    </row>
    <row r="23" spans="2:16" x14ac:dyDescent="0.25">
      <c r="B23" s="245">
        <v>12199</v>
      </c>
      <c r="C23" s="54" t="s">
        <v>38</v>
      </c>
      <c r="D23" s="246"/>
      <c r="E23" s="247"/>
      <c r="F23" s="247">
        <v>133</v>
      </c>
      <c r="G23" s="247">
        <v>1459.45</v>
      </c>
      <c r="H23" s="247">
        <v>694.35</v>
      </c>
      <c r="I23" s="247">
        <v>50</v>
      </c>
      <c r="J23" s="247"/>
      <c r="K23" s="247"/>
      <c r="L23" s="247"/>
      <c r="M23" s="247"/>
      <c r="N23" s="247"/>
      <c r="O23" s="247"/>
      <c r="P23" s="248"/>
    </row>
    <row r="24" spans="2:16" s="244" customFormat="1" ht="12.75" x14ac:dyDescent="0.2">
      <c r="B24" s="239">
        <v>122</v>
      </c>
      <c r="C24" s="240" t="s">
        <v>39</v>
      </c>
      <c r="D24" s="241">
        <f t="shared" ref="D24:N24" si="5">SUM(D25,D26)</f>
        <v>1026.6600000000001</v>
      </c>
      <c r="E24" s="241">
        <f t="shared" si="5"/>
        <v>412.98</v>
      </c>
      <c r="F24" s="241">
        <f t="shared" si="5"/>
        <v>1136.1699999999998</v>
      </c>
      <c r="G24" s="241">
        <f t="shared" si="5"/>
        <v>874.08</v>
      </c>
      <c r="H24" s="241">
        <f t="shared" si="5"/>
        <v>2091.15</v>
      </c>
      <c r="I24" s="241">
        <f t="shared" si="5"/>
        <v>606.73</v>
      </c>
      <c r="J24" s="241">
        <f t="shared" si="5"/>
        <v>432.83</v>
      </c>
      <c r="K24" s="241">
        <f t="shared" si="5"/>
        <v>280.8</v>
      </c>
      <c r="L24" s="241">
        <f t="shared" si="5"/>
        <v>700.5</v>
      </c>
      <c r="M24" s="241">
        <f t="shared" si="5"/>
        <v>532.65</v>
      </c>
      <c r="N24" s="241">
        <f t="shared" si="5"/>
        <v>1127.29</v>
      </c>
      <c r="O24" s="241">
        <f>SUM(O25:O26)</f>
        <v>682.93</v>
      </c>
      <c r="P24" s="243">
        <f t="shared" ref="P24:P45" si="6">SUM(D24:O24)</f>
        <v>9904.77</v>
      </c>
    </row>
    <row r="25" spans="2:16" x14ac:dyDescent="0.25">
      <c r="B25" s="254">
        <v>12210</v>
      </c>
      <c r="C25" s="54" t="s">
        <v>40</v>
      </c>
      <c r="D25" s="246">
        <v>1025.1600000000001</v>
      </c>
      <c r="E25" s="247">
        <v>410.73</v>
      </c>
      <c r="F25" s="247">
        <v>1132.3699999999999</v>
      </c>
      <c r="G25" s="247">
        <v>870.33</v>
      </c>
      <c r="H25" s="247">
        <v>2087.9</v>
      </c>
      <c r="I25" s="247">
        <v>602.48</v>
      </c>
      <c r="J25" s="247">
        <v>431.58</v>
      </c>
      <c r="K25" s="247">
        <v>279.05</v>
      </c>
      <c r="L25" s="247">
        <v>698</v>
      </c>
      <c r="M25" s="247">
        <v>527.4</v>
      </c>
      <c r="N25" s="247">
        <v>1126.04</v>
      </c>
      <c r="O25" s="247">
        <v>664.68</v>
      </c>
      <c r="P25" s="248">
        <f t="shared" si="6"/>
        <v>9855.7199999999993</v>
      </c>
    </row>
    <row r="26" spans="2:16" x14ac:dyDescent="0.25">
      <c r="B26" s="245">
        <v>12211</v>
      </c>
      <c r="C26" s="54" t="s">
        <v>41</v>
      </c>
      <c r="D26" s="246">
        <v>1.5</v>
      </c>
      <c r="E26" s="247">
        <v>2.25</v>
      </c>
      <c r="F26" s="247">
        <v>3.8</v>
      </c>
      <c r="G26" s="247">
        <v>3.75</v>
      </c>
      <c r="H26" s="247">
        <v>3.25</v>
      </c>
      <c r="I26" s="247">
        <v>4.25</v>
      </c>
      <c r="J26" s="247">
        <v>1.25</v>
      </c>
      <c r="K26" s="247">
        <v>1.75</v>
      </c>
      <c r="L26" s="247">
        <v>2.5</v>
      </c>
      <c r="M26" s="247">
        <v>5.25</v>
      </c>
      <c r="N26" s="247">
        <v>1.25</v>
      </c>
      <c r="O26" s="247">
        <v>18.25</v>
      </c>
      <c r="P26" s="248">
        <f t="shared" si="6"/>
        <v>49.05</v>
      </c>
    </row>
    <row r="27" spans="2:16" s="244" customFormat="1" ht="12.75" x14ac:dyDescent="0.2">
      <c r="B27" s="250">
        <v>14</v>
      </c>
      <c r="C27" s="251" t="s">
        <v>95</v>
      </c>
      <c r="D27" s="252">
        <f>SUM(D28)</f>
        <v>16</v>
      </c>
      <c r="E27" s="252">
        <f t="shared" ref="E27:O27" si="7">SUM(E28)</f>
        <v>89</v>
      </c>
      <c r="F27" s="252">
        <f t="shared" si="7"/>
        <v>4546.53</v>
      </c>
      <c r="G27" s="252">
        <f t="shared" si="7"/>
        <v>146</v>
      </c>
      <c r="H27" s="252">
        <f t="shared" si="7"/>
        <v>928.21</v>
      </c>
      <c r="I27" s="252">
        <f t="shared" si="7"/>
        <v>2370.12</v>
      </c>
      <c r="J27" s="252">
        <f t="shared" si="7"/>
        <v>4009.7799999999997</v>
      </c>
      <c r="K27" s="252">
        <f t="shared" si="7"/>
        <v>3172.16</v>
      </c>
      <c r="L27" s="252">
        <f t="shared" si="7"/>
        <v>2146.4</v>
      </c>
      <c r="M27" s="252">
        <f t="shared" si="7"/>
        <v>2351.98</v>
      </c>
      <c r="N27" s="252">
        <f t="shared" si="7"/>
        <v>2190</v>
      </c>
      <c r="O27" s="252">
        <f t="shared" si="7"/>
        <v>2209.1999999999998</v>
      </c>
      <c r="P27" s="237">
        <f t="shared" si="6"/>
        <v>24175.38</v>
      </c>
    </row>
    <row r="28" spans="2:16" s="244" customFormat="1" ht="12.75" x14ac:dyDescent="0.2">
      <c r="B28" s="253">
        <v>142</v>
      </c>
      <c r="C28" s="240" t="s">
        <v>185</v>
      </c>
      <c r="D28" s="241">
        <f>SUM(D29:D30)</f>
        <v>16</v>
      </c>
      <c r="E28" s="241">
        <f t="shared" ref="E28:O28" si="8">SUM(E29:E30)</f>
        <v>89</v>
      </c>
      <c r="F28" s="241">
        <f t="shared" si="8"/>
        <v>4546.53</v>
      </c>
      <c r="G28" s="241">
        <f t="shared" si="8"/>
        <v>146</v>
      </c>
      <c r="H28" s="241">
        <f t="shared" si="8"/>
        <v>928.21</v>
      </c>
      <c r="I28" s="241">
        <f t="shared" si="8"/>
        <v>2370.12</v>
      </c>
      <c r="J28" s="241">
        <f t="shared" si="8"/>
        <v>4009.7799999999997</v>
      </c>
      <c r="K28" s="241">
        <f t="shared" si="8"/>
        <v>3172.16</v>
      </c>
      <c r="L28" s="241">
        <f t="shared" si="8"/>
        <v>2146.4</v>
      </c>
      <c r="M28" s="241">
        <f t="shared" si="8"/>
        <v>2351.98</v>
      </c>
      <c r="N28" s="241">
        <f t="shared" si="8"/>
        <v>2190</v>
      </c>
      <c r="O28" s="241">
        <f t="shared" si="8"/>
        <v>2209.1999999999998</v>
      </c>
      <c r="P28" s="243">
        <f t="shared" si="6"/>
        <v>24175.38</v>
      </c>
    </row>
    <row r="29" spans="2:16" s="258" customFormat="1" ht="12.75" x14ac:dyDescent="0.2">
      <c r="B29" s="249">
        <v>14201</v>
      </c>
      <c r="C29" s="255" t="s">
        <v>186</v>
      </c>
      <c r="D29" s="256"/>
      <c r="E29" s="256"/>
      <c r="F29" s="256"/>
      <c r="G29" s="256"/>
      <c r="H29" s="256">
        <v>807</v>
      </c>
      <c r="I29" s="256">
        <v>1684.7</v>
      </c>
      <c r="J29" s="256">
        <v>1807.11</v>
      </c>
      <c r="K29" s="256">
        <v>2589</v>
      </c>
      <c r="L29" s="256">
        <v>2062</v>
      </c>
      <c r="M29" s="256">
        <v>2235.98</v>
      </c>
      <c r="N29" s="256">
        <v>2160</v>
      </c>
      <c r="O29" s="256">
        <v>2067.1999999999998</v>
      </c>
      <c r="P29" s="257"/>
    </row>
    <row r="30" spans="2:16" x14ac:dyDescent="0.25">
      <c r="B30" s="245">
        <v>14299</v>
      </c>
      <c r="C30" s="54" t="s">
        <v>187</v>
      </c>
      <c r="D30" s="246">
        <v>16</v>
      </c>
      <c r="E30" s="247">
        <v>89</v>
      </c>
      <c r="F30" s="247">
        <v>4546.53</v>
      </c>
      <c r="G30" s="247">
        <v>146</v>
      </c>
      <c r="H30" s="247">
        <v>121.21</v>
      </c>
      <c r="I30" s="247">
        <v>685.42</v>
      </c>
      <c r="J30" s="247">
        <v>2202.67</v>
      </c>
      <c r="K30" s="247">
        <v>583.16</v>
      </c>
      <c r="L30" s="247">
        <v>84.4</v>
      </c>
      <c r="M30" s="247">
        <v>116</v>
      </c>
      <c r="N30" s="247">
        <v>30</v>
      </c>
      <c r="O30" s="247">
        <v>142</v>
      </c>
      <c r="P30" s="248">
        <f t="shared" si="6"/>
        <v>8762.39</v>
      </c>
    </row>
    <row r="31" spans="2:16" s="244" customFormat="1" ht="12.75" x14ac:dyDescent="0.2">
      <c r="B31" s="250">
        <v>15</v>
      </c>
      <c r="C31" s="251" t="s">
        <v>45</v>
      </c>
      <c r="D31" s="252">
        <f t="shared" ref="D31:O31" si="9">SUM(D32,D37,D39)</f>
        <v>2481.3200000000002</v>
      </c>
      <c r="E31" s="252">
        <f t="shared" si="9"/>
        <v>2830.4399999999996</v>
      </c>
      <c r="F31" s="252">
        <f t="shared" si="9"/>
        <v>813.59999999999991</v>
      </c>
      <c r="G31" s="252">
        <f t="shared" si="9"/>
        <v>1729.86</v>
      </c>
      <c r="H31" s="252">
        <f t="shared" si="9"/>
        <v>1293.43</v>
      </c>
      <c r="I31" s="252">
        <f t="shared" si="9"/>
        <v>1382.24</v>
      </c>
      <c r="J31" s="252">
        <f t="shared" si="9"/>
        <v>2548.88</v>
      </c>
      <c r="K31" s="252">
        <f t="shared" si="9"/>
        <v>6341.39</v>
      </c>
      <c r="L31" s="252">
        <f t="shared" si="9"/>
        <v>1547.46</v>
      </c>
      <c r="M31" s="252">
        <f t="shared" si="9"/>
        <v>1770.38</v>
      </c>
      <c r="N31" s="252">
        <f t="shared" si="9"/>
        <v>1728.94</v>
      </c>
      <c r="O31" s="252">
        <f t="shared" si="9"/>
        <v>1113.31</v>
      </c>
      <c r="P31" s="237">
        <f t="shared" si="6"/>
        <v>25581.25</v>
      </c>
    </row>
    <row r="32" spans="2:16" s="244" customFormat="1" ht="12.75" x14ac:dyDescent="0.2">
      <c r="B32" s="253">
        <v>153</v>
      </c>
      <c r="C32" s="240" t="s">
        <v>97</v>
      </c>
      <c r="D32" s="241">
        <f>SUM(D33:D36)</f>
        <v>0</v>
      </c>
      <c r="E32" s="241">
        <f t="shared" ref="E32:O32" si="10">SUM(E33:E36)</f>
        <v>1737.07</v>
      </c>
      <c r="F32" s="241">
        <f t="shared" si="10"/>
        <v>148.29</v>
      </c>
      <c r="G32" s="241">
        <f t="shared" si="10"/>
        <v>414.2</v>
      </c>
      <c r="H32" s="241">
        <f t="shared" si="10"/>
        <v>54.64</v>
      </c>
      <c r="I32" s="241">
        <f t="shared" si="10"/>
        <v>511.24</v>
      </c>
      <c r="J32" s="241">
        <f t="shared" si="10"/>
        <v>1314.16</v>
      </c>
      <c r="K32" s="241">
        <f t="shared" si="10"/>
        <v>317.49</v>
      </c>
      <c r="L32" s="241">
        <f t="shared" si="10"/>
        <v>156.13999999999999</v>
      </c>
      <c r="M32" s="241">
        <f t="shared" si="10"/>
        <v>560.62</v>
      </c>
      <c r="N32" s="241">
        <f t="shared" si="10"/>
        <v>810.43000000000006</v>
      </c>
      <c r="O32" s="241">
        <f t="shared" si="10"/>
        <v>311.28999999999996</v>
      </c>
      <c r="P32" s="243">
        <f t="shared" si="6"/>
        <v>6335.57</v>
      </c>
    </row>
    <row r="33" spans="2:17" ht="14.1" customHeight="1" x14ac:dyDescent="0.25">
      <c r="B33" s="249">
        <v>15301</v>
      </c>
      <c r="C33" s="54" t="s">
        <v>47</v>
      </c>
      <c r="D33" s="246"/>
      <c r="E33" s="247"/>
      <c r="F33" s="247">
        <v>34.32</v>
      </c>
      <c r="G33" s="247">
        <v>266.39999999999998</v>
      </c>
      <c r="H33" s="247">
        <v>28.7</v>
      </c>
      <c r="I33" s="247">
        <v>373.2</v>
      </c>
      <c r="J33" s="247">
        <v>123.94</v>
      </c>
      <c r="K33" s="247">
        <v>233.26</v>
      </c>
      <c r="L33" s="247">
        <v>112.59</v>
      </c>
      <c r="M33" s="247">
        <v>418.34</v>
      </c>
      <c r="N33" s="247">
        <v>417.14</v>
      </c>
      <c r="O33" s="247">
        <v>251.6</v>
      </c>
      <c r="P33" s="248">
        <f t="shared" si="6"/>
        <v>2259.4899999999998</v>
      </c>
    </row>
    <row r="34" spans="2:17" ht="14.1" customHeight="1" x14ac:dyDescent="0.25">
      <c r="B34" s="245">
        <v>15302</v>
      </c>
      <c r="C34" s="54" t="s">
        <v>188</v>
      </c>
      <c r="D34" s="246"/>
      <c r="E34" s="247">
        <v>1734.21</v>
      </c>
      <c r="F34" s="247">
        <v>75.41</v>
      </c>
      <c r="G34" s="247">
        <v>133.5</v>
      </c>
      <c r="H34" s="247">
        <v>0.2</v>
      </c>
      <c r="I34" s="247">
        <v>138.04</v>
      </c>
      <c r="J34" s="247">
        <v>10.220000000000001</v>
      </c>
      <c r="K34" s="247">
        <v>84.23</v>
      </c>
      <c r="L34" s="247">
        <v>43.55</v>
      </c>
      <c r="M34" s="247">
        <v>142.28</v>
      </c>
      <c r="N34" s="247">
        <v>393.29</v>
      </c>
      <c r="O34" s="247">
        <v>59.69</v>
      </c>
      <c r="P34" s="248">
        <f t="shared" si="6"/>
        <v>2814.6200000000003</v>
      </c>
    </row>
    <row r="35" spans="2:17" ht="14.1" customHeight="1" x14ac:dyDescent="0.25">
      <c r="B35" s="245">
        <v>15312</v>
      </c>
      <c r="C35" s="54" t="s">
        <v>49</v>
      </c>
      <c r="D35" s="246"/>
      <c r="E35" s="247">
        <v>2.86</v>
      </c>
      <c r="F35" s="247">
        <v>38.56</v>
      </c>
      <c r="G35" s="247">
        <v>14.3</v>
      </c>
      <c r="H35" s="247">
        <v>25.74</v>
      </c>
      <c r="I35" s="247"/>
      <c r="J35" s="247"/>
      <c r="K35" s="247"/>
      <c r="L35" s="247"/>
      <c r="M35" s="247"/>
      <c r="N35" s="247"/>
      <c r="O35" s="247"/>
      <c r="P35" s="248">
        <f t="shared" si="6"/>
        <v>81.459999999999994</v>
      </c>
    </row>
    <row r="36" spans="2:17" ht="14.1" customHeight="1" x14ac:dyDescent="0.25">
      <c r="B36" s="245">
        <v>15314</v>
      </c>
      <c r="C36" s="54" t="s">
        <v>50</v>
      </c>
      <c r="D36" s="246"/>
      <c r="E36" s="247"/>
      <c r="F36" s="247"/>
      <c r="G36" s="247"/>
      <c r="H36" s="247"/>
      <c r="I36" s="247"/>
      <c r="J36" s="247">
        <v>1180</v>
      </c>
      <c r="K36" s="247"/>
      <c r="L36" s="247"/>
      <c r="M36" s="247"/>
      <c r="N36" s="247"/>
      <c r="O36" s="247"/>
      <c r="P36" s="248"/>
    </row>
    <row r="37" spans="2:17" s="244" customFormat="1" ht="13.5" customHeight="1" x14ac:dyDescent="0.2">
      <c r="B37" s="253">
        <v>154</v>
      </c>
      <c r="C37" s="240" t="s">
        <v>189</v>
      </c>
      <c r="D37" s="241">
        <f>SUM(D38)</f>
        <v>2479.8200000000002</v>
      </c>
      <c r="E37" s="241">
        <f>SUM(E38)</f>
        <v>1091.1199999999999</v>
      </c>
      <c r="F37" s="241">
        <f>SUM(F38)</f>
        <v>656.68</v>
      </c>
      <c r="G37" s="241">
        <f t="shared" ref="G37:O37" si="11">SUM(G38)</f>
        <v>1112.6199999999999</v>
      </c>
      <c r="H37" s="241">
        <f t="shared" si="11"/>
        <v>1235.29</v>
      </c>
      <c r="I37" s="241">
        <f t="shared" si="11"/>
        <v>866.75</v>
      </c>
      <c r="J37" s="241">
        <f t="shared" si="11"/>
        <v>1233.47</v>
      </c>
      <c r="K37" s="241">
        <f t="shared" si="11"/>
        <v>1291.4000000000001</v>
      </c>
      <c r="L37" s="241">
        <f t="shared" si="11"/>
        <v>1388.82</v>
      </c>
      <c r="M37" s="241">
        <f t="shared" si="11"/>
        <v>1204.51</v>
      </c>
      <c r="N37" s="241">
        <f t="shared" si="11"/>
        <v>917.26</v>
      </c>
      <c r="O37" s="241">
        <f t="shared" si="11"/>
        <v>797.77</v>
      </c>
      <c r="P37" s="243">
        <f t="shared" si="6"/>
        <v>14275.51</v>
      </c>
    </row>
    <row r="38" spans="2:17" ht="14.1" customHeight="1" x14ac:dyDescent="0.25">
      <c r="B38" s="245">
        <v>15402</v>
      </c>
      <c r="C38" s="54" t="s">
        <v>190</v>
      </c>
      <c r="D38" s="246">
        <v>2479.8200000000002</v>
      </c>
      <c r="E38" s="247">
        <v>1091.1199999999999</v>
      </c>
      <c r="F38" s="247">
        <v>656.68</v>
      </c>
      <c r="G38" s="247">
        <v>1112.6199999999999</v>
      </c>
      <c r="H38" s="247">
        <v>1235.29</v>
      </c>
      <c r="I38" s="247">
        <v>866.75</v>
      </c>
      <c r="J38" s="247">
        <v>1233.47</v>
      </c>
      <c r="K38" s="247">
        <v>1291.4000000000001</v>
      </c>
      <c r="L38" s="247">
        <v>1388.82</v>
      </c>
      <c r="M38" s="247">
        <v>1204.51</v>
      </c>
      <c r="N38" s="247">
        <v>917.26</v>
      </c>
      <c r="O38" s="247">
        <v>797.77</v>
      </c>
      <c r="P38" s="248">
        <f t="shared" si="6"/>
        <v>14275.51</v>
      </c>
    </row>
    <row r="39" spans="2:17" s="244" customFormat="1" ht="13.5" customHeight="1" x14ac:dyDescent="0.2">
      <c r="B39" s="253">
        <v>157</v>
      </c>
      <c r="C39" s="240" t="s">
        <v>191</v>
      </c>
      <c r="D39" s="241">
        <f>SUM(D40)</f>
        <v>1.5</v>
      </c>
      <c r="E39" s="241">
        <f>SUM(E40)</f>
        <v>2.25</v>
      </c>
      <c r="F39" s="241">
        <f>SUM(F40)</f>
        <v>8.6300000000000008</v>
      </c>
      <c r="G39" s="241">
        <f t="shared" ref="G39:O39" si="12">SUM(G40)</f>
        <v>203.04</v>
      </c>
      <c r="H39" s="241">
        <f t="shared" si="12"/>
        <v>3.5</v>
      </c>
      <c r="I39" s="241">
        <f t="shared" si="12"/>
        <v>4.25</v>
      </c>
      <c r="J39" s="241">
        <f t="shared" si="12"/>
        <v>1.25</v>
      </c>
      <c r="K39" s="241">
        <f t="shared" si="12"/>
        <v>4732.5</v>
      </c>
      <c r="L39" s="241">
        <f t="shared" si="12"/>
        <v>2.5</v>
      </c>
      <c r="M39" s="241">
        <f t="shared" si="12"/>
        <v>5.25</v>
      </c>
      <c r="N39" s="241">
        <f t="shared" si="12"/>
        <v>1.25</v>
      </c>
      <c r="O39" s="241">
        <f t="shared" si="12"/>
        <v>4.25</v>
      </c>
      <c r="P39" s="243">
        <f t="shared" si="6"/>
        <v>4970.17</v>
      </c>
    </row>
    <row r="40" spans="2:17" ht="14.1" customHeight="1" x14ac:dyDescent="0.25">
      <c r="B40" s="259">
        <v>15799</v>
      </c>
      <c r="C40" s="260" t="s">
        <v>54</v>
      </c>
      <c r="D40" s="261">
        <v>1.5</v>
      </c>
      <c r="E40" s="262">
        <v>2.25</v>
      </c>
      <c r="F40" s="262">
        <v>8.6300000000000008</v>
      </c>
      <c r="G40" s="262">
        <v>203.04</v>
      </c>
      <c r="H40" s="262">
        <v>3.5</v>
      </c>
      <c r="I40" s="262">
        <v>4.25</v>
      </c>
      <c r="J40" s="262">
        <v>1.25</v>
      </c>
      <c r="K40" s="262">
        <v>4732.5</v>
      </c>
      <c r="L40" s="262">
        <v>2.5</v>
      </c>
      <c r="M40" s="262">
        <v>5.25</v>
      </c>
      <c r="N40" s="262">
        <v>1.25</v>
      </c>
      <c r="O40" s="262">
        <v>4.25</v>
      </c>
      <c r="P40" s="263">
        <f t="shared" si="6"/>
        <v>4970.17</v>
      </c>
    </row>
    <row r="41" spans="2:17" ht="14.1" customHeight="1" x14ac:dyDescent="0.25">
      <c r="B41" s="264">
        <v>162</v>
      </c>
      <c r="C41" s="265" t="s">
        <v>192</v>
      </c>
      <c r="D41" s="266">
        <f>SUM(D42)</f>
        <v>24141.13</v>
      </c>
      <c r="E41" s="266">
        <f t="shared" ref="E41:O41" si="13">SUM(E42)</f>
        <v>24141.13</v>
      </c>
      <c r="F41" s="266">
        <f t="shared" si="13"/>
        <v>24141.13</v>
      </c>
      <c r="G41" s="266">
        <f t="shared" si="13"/>
        <v>24219.99</v>
      </c>
      <c r="H41" s="266">
        <f t="shared" si="13"/>
        <v>24219.99</v>
      </c>
      <c r="I41" s="266">
        <f t="shared" si="13"/>
        <v>24219.99</v>
      </c>
      <c r="J41" s="266">
        <f t="shared" si="13"/>
        <v>24219.99</v>
      </c>
      <c r="K41" s="266">
        <f t="shared" si="13"/>
        <v>24219.99</v>
      </c>
      <c r="L41" s="266">
        <f t="shared" si="13"/>
        <v>24219.99</v>
      </c>
      <c r="M41" s="266">
        <f t="shared" si="13"/>
        <v>24219.99</v>
      </c>
      <c r="N41" s="266">
        <f t="shared" si="13"/>
        <v>24219.99</v>
      </c>
      <c r="O41" s="266">
        <f t="shared" si="13"/>
        <v>24219.99</v>
      </c>
      <c r="P41" s="267">
        <f t="shared" si="6"/>
        <v>290403.3</v>
      </c>
    </row>
    <row r="42" spans="2:17" ht="14.1" customHeight="1" x14ac:dyDescent="0.25">
      <c r="B42" s="249">
        <v>16201</v>
      </c>
      <c r="C42" s="54" t="s">
        <v>192</v>
      </c>
      <c r="D42" s="246">
        <v>24141.13</v>
      </c>
      <c r="E42" s="246">
        <v>24141.13</v>
      </c>
      <c r="F42" s="246">
        <v>24141.13</v>
      </c>
      <c r="G42" s="246">
        <v>24219.99</v>
      </c>
      <c r="H42" s="246">
        <v>24219.99</v>
      </c>
      <c r="I42" s="246">
        <v>24219.99</v>
      </c>
      <c r="J42" s="246">
        <v>24219.99</v>
      </c>
      <c r="K42" s="246">
        <v>24219.99</v>
      </c>
      <c r="L42" s="246">
        <v>24219.99</v>
      </c>
      <c r="M42" s="246">
        <v>24219.99</v>
      </c>
      <c r="N42" s="246">
        <v>24219.99</v>
      </c>
      <c r="O42" s="246">
        <v>24219.99</v>
      </c>
      <c r="P42" s="263">
        <f t="shared" si="6"/>
        <v>290403.3</v>
      </c>
    </row>
    <row r="43" spans="2:17" ht="14.1" customHeight="1" x14ac:dyDescent="0.25">
      <c r="B43" s="264">
        <v>222</v>
      </c>
      <c r="C43" s="265" t="s">
        <v>193</v>
      </c>
      <c r="D43" s="266">
        <f>SUM(D44:D49)</f>
        <v>72423.37</v>
      </c>
      <c r="E43" s="266">
        <f t="shared" ref="E43:O43" si="14">SUM(E44:E49)</f>
        <v>72423.37</v>
      </c>
      <c r="F43" s="266">
        <f t="shared" si="14"/>
        <v>72423.37</v>
      </c>
      <c r="G43" s="266">
        <f t="shared" si="14"/>
        <v>72669.97</v>
      </c>
      <c r="H43" s="266">
        <f t="shared" si="14"/>
        <v>72669.97</v>
      </c>
      <c r="I43" s="266">
        <f t="shared" si="14"/>
        <v>72669.97</v>
      </c>
      <c r="J43" s="266">
        <f t="shared" si="14"/>
        <v>72669.97</v>
      </c>
      <c r="K43" s="266">
        <f t="shared" si="14"/>
        <v>72669.97</v>
      </c>
      <c r="L43" s="266">
        <f t="shared" si="14"/>
        <v>72669.97</v>
      </c>
      <c r="M43" s="266">
        <f t="shared" si="14"/>
        <v>72669.97</v>
      </c>
      <c r="N43" s="266">
        <f t="shared" si="14"/>
        <v>72669.97</v>
      </c>
      <c r="O43" s="266">
        <f t="shared" si="14"/>
        <v>72669.97</v>
      </c>
      <c r="P43" s="267">
        <f t="shared" si="6"/>
        <v>871299.83999999973</v>
      </c>
      <c r="Q43" s="75"/>
    </row>
    <row r="44" spans="2:17" ht="14.1" customHeight="1" x14ac:dyDescent="0.25">
      <c r="B44" s="249">
        <v>22201</v>
      </c>
      <c r="C44" s="54" t="s">
        <v>193</v>
      </c>
      <c r="D44" s="246">
        <v>72423.37</v>
      </c>
      <c r="E44" s="246">
        <v>72423.37</v>
      </c>
      <c r="F44" s="246">
        <v>72423.37</v>
      </c>
      <c r="G44" s="246">
        <v>72669.97</v>
      </c>
      <c r="H44" s="246">
        <v>72669.97</v>
      </c>
      <c r="I44" s="246">
        <v>72669.97</v>
      </c>
      <c r="J44" s="246">
        <v>72669.97</v>
      </c>
      <c r="K44" s="246">
        <v>72669.97</v>
      </c>
      <c r="L44" s="246">
        <v>72669.97</v>
      </c>
      <c r="M44" s="246">
        <v>72669.97</v>
      </c>
      <c r="N44" s="246">
        <v>72669.97</v>
      </c>
      <c r="O44" s="246">
        <v>72669.97</v>
      </c>
      <c r="P44" s="248">
        <f t="shared" si="6"/>
        <v>871299.83999999973</v>
      </c>
    </row>
    <row r="45" spans="2:17" ht="14.1" customHeight="1" x14ac:dyDescent="0.25">
      <c r="B45" s="249">
        <v>22201</v>
      </c>
      <c r="C45" s="54" t="s">
        <v>194</v>
      </c>
      <c r="D45" s="246"/>
      <c r="E45" s="246"/>
      <c r="F45" s="246"/>
      <c r="G45" s="246"/>
      <c r="H45" s="246"/>
      <c r="I45" s="246"/>
      <c r="J45" s="246"/>
      <c r="K45" s="246"/>
      <c r="L45" s="246"/>
      <c r="M45" s="246"/>
      <c r="N45" s="246"/>
      <c r="O45" s="246"/>
      <c r="P45" s="248">
        <f t="shared" si="6"/>
        <v>0</v>
      </c>
    </row>
    <row r="46" spans="2:17" ht="14.1" customHeight="1" x14ac:dyDescent="0.25">
      <c r="B46" s="249" t="s">
        <v>195</v>
      </c>
      <c r="C46" s="54" t="s">
        <v>196</v>
      </c>
      <c r="D46" s="246"/>
      <c r="E46" s="246"/>
      <c r="F46" s="246"/>
      <c r="G46" s="246"/>
      <c r="H46" s="246"/>
      <c r="I46" s="246"/>
      <c r="J46" s="246"/>
      <c r="K46" s="246"/>
      <c r="L46" s="246"/>
      <c r="M46" s="246"/>
      <c r="N46" s="246"/>
      <c r="O46" s="246"/>
      <c r="P46" s="248"/>
    </row>
    <row r="47" spans="2:17" ht="14.1" customHeight="1" x14ac:dyDescent="0.25">
      <c r="B47" s="249" t="s">
        <v>197</v>
      </c>
      <c r="C47" s="54" t="s">
        <v>198</v>
      </c>
      <c r="D47" s="246"/>
      <c r="E47" s="246"/>
      <c r="F47" s="246"/>
      <c r="G47" s="246"/>
      <c r="H47" s="246"/>
      <c r="I47" s="246"/>
      <c r="J47" s="246"/>
      <c r="K47" s="246"/>
      <c r="L47" s="246"/>
      <c r="M47" s="246"/>
      <c r="N47" s="246"/>
      <c r="O47" s="246"/>
      <c r="P47" s="248"/>
    </row>
    <row r="48" spans="2:17" ht="14.1" customHeight="1" x14ac:dyDescent="0.25">
      <c r="B48" s="249">
        <v>22201</v>
      </c>
      <c r="C48" s="54" t="s">
        <v>199</v>
      </c>
      <c r="D48" s="246"/>
      <c r="E48" s="246"/>
      <c r="F48" s="246"/>
      <c r="G48" s="246"/>
      <c r="H48" s="246"/>
      <c r="I48" s="246"/>
      <c r="J48" s="246"/>
      <c r="K48" s="246"/>
      <c r="L48" s="246"/>
      <c r="M48" s="246"/>
      <c r="N48" s="246"/>
      <c r="O48" s="246"/>
      <c r="P48" s="248">
        <f t="shared" ref="P48:P49" si="15">SUM(D48:O48)</f>
        <v>0</v>
      </c>
    </row>
    <row r="49" spans="2:16" x14ac:dyDescent="0.25">
      <c r="B49" s="259">
        <v>22201</v>
      </c>
      <c r="C49" s="260" t="s">
        <v>200</v>
      </c>
      <c r="D49" s="261"/>
      <c r="E49" s="261"/>
      <c r="F49" s="261"/>
      <c r="G49" s="261"/>
      <c r="H49" s="261"/>
      <c r="I49" s="261"/>
      <c r="J49" s="261"/>
      <c r="K49" s="261"/>
      <c r="L49" s="261"/>
      <c r="M49" s="261"/>
      <c r="N49" s="261"/>
      <c r="O49" s="261"/>
      <c r="P49" s="263">
        <f t="shared" si="15"/>
        <v>0</v>
      </c>
    </row>
    <row r="50" spans="2:16" x14ac:dyDescent="0.25">
      <c r="B50" s="249">
        <v>32102</v>
      </c>
      <c r="C50" s="54" t="s">
        <v>201</v>
      </c>
      <c r="D50" s="246"/>
      <c r="E50" s="246"/>
      <c r="F50" s="246"/>
      <c r="G50" s="246"/>
      <c r="H50" s="246"/>
      <c r="I50" s="246"/>
      <c r="J50" s="246"/>
      <c r="K50" s="246"/>
      <c r="L50" s="246"/>
      <c r="M50" s="246"/>
      <c r="N50" s="246"/>
      <c r="O50" s="246"/>
      <c r="P50" s="248"/>
    </row>
    <row r="51" spans="2:16" ht="15.75" thickBot="1" x14ac:dyDescent="0.3">
      <c r="B51" s="259">
        <v>32102</v>
      </c>
      <c r="C51" s="54" t="s">
        <v>201</v>
      </c>
      <c r="D51" s="261"/>
      <c r="E51" s="261"/>
      <c r="F51" s="261"/>
      <c r="G51" s="261"/>
      <c r="H51" s="261"/>
      <c r="I51" s="261"/>
      <c r="J51" s="261"/>
      <c r="K51" s="261"/>
      <c r="L51" s="261"/>
      <c r="M51" s="261"/>
      <c r="N51" s="261"/>
      <c r="O51" s="261"/>
      <c r="P51" s="263"/>
    </row>
    <row r="52" spans="2:16" s="244" customFormat="1" ht="21" thickBot="1" x14ac:dyDescent="0.35">
      <c r="B52" s="268" t="s">
        <v>91</v>
      </c>
      <c r="C52" s="269"/>
      <c r="D52" s="270">
        <f t="shared" ref="D52:O52" si="16">SUM(D4,D11,D27,D31,D41,D43)</f>
        <v>110604.65</v>
      </c>
      <c r="E52" s="270">
        <f t="shared" si="16"/>
        <v>167562.13</v>
      </c>
      <c r="F52" s="270">
        <f t="shared" si="16"/>
        <v>131900.96999999997</v>
      </c>
      <c r="G52" s="270">
        <f t="shared" si="16"/>
        <v>124310.61</v>
      </c>
      <c r="H52" s="270">
        <f t="shared" si="16"/>
        <v>178357.34000000003</v>
      </c>
      <c r="I52" s="270">
        <f t="shared" si="16"/>
        <v>115974.36</v>
      </c>
      <c r="J52" s="270">
        <f t="shared" si="16"/>
        <v>111105.3</v>
      </c>
      <c r="K52" s="270">
        <f t="shared" si="16"/>
        <v>180497.62</v>
      </c>
      <c r="L52" s="270">
        <f t="shared" si="16"/>
        <v>110903.84</v>
      </c>
      <c r="M52" s="270">
        <f t="shared" si="16"/>
        <v>113049.12</v>
      </c>
      <c r="N52" s="270">
        <f t="shared" si="16"/>
        <v>175214.55</v>
      </c>
      <c r="O52" s="270">
        <f t="shared" si="16"/>
        <v>115327.43000000001</v>
      </c>
      <c r="P52" s="270">
        <f>SUM(D52:O52)</f>
        <v>1634807.92</v>
      </c>
    </row>
    <row r="53" spans="2:16" s="244" customFormat="1" ht="20.25" x14ac:dyDescent="0.3">
      <c r="B53" s="271"/>
      <c r="C53" s="271"/>
      <c r="D53" s="272"/>
      <c r="E53" s="272"/>
      <c r="F53" s="272"/>
      <c r="G53" s="272"/>
      <c r="H53" s="272"/>
      <c r="I53" s="272"/>
      <c r="J53" s="272"/>
      <c r="K53" s="272"/>
      <c r="L53" s="272"/>
      <c r="M53" s="272"/>
      <c r="N53" s="272"/>
      <c r="O53" s="272"/>
      <c r="P53" s="272">
        <f>SUM(P4,P11,P27,P31,P41,P43)</f>
        <v>1634807.9199999995</v>
      </c>
    </row>
    <row r="54" spans="2:16" ht="18.75" thickBot="1" x14ac:dyDescent="0.3">
      <c r="B54" s="273"/>
      <c r="D54" s="75"/>
      <c r="E54" s="75"/>
      <c r="F54" s="75"/>
      <c r="G54" s="75"/>
      <c r="H54" s="75"/>
      <c r="I54" s="75"/>
      <c r="J54" s="75"/>
      <c r="K54" s="75"/>
      <c r="L54" s="75"/>
      <c r="M54" s="75"/>
      <c r="N54" s="75"/>
      <c r="O54" s="75"/>
      <c r="P54" s="75"/>
    </row>
    <row r="55" spans="2:16" ht="18.75" thickBot="1" x14ac:dyDescent="0.3">
      <c r="B55" s="273"/>
      <c r="D55" s="274" t="s">
        <v>202</v>
      </c>
      <c r="E55" s="275">
        <f>SUM(P4,P11,P27,P31)</f>
        <v>473104.77999999991</v>
      </c>
      <c r="F55" s="75"/>
      <c r="G55" s="276" t="s">
        <v>203</v>
      </c>
      <c r="H55" s="275">
        <f>SUM(O46,O47)</f>
        <v>0</v>
      </c>
      <c r="I55" s="75"/>
      <c r="J55" s="274" t="s">
        <v>204</v>
      </c>
      <c r="K55" s="277">
        <f>SUM(P41,P43)</f>
        <v>1161703.1399999997</v>
      </c>
      <c r="M55" s="276" t="s">
        <v>205</v>
      </c>
      <c r="N55" s="278">
        <f>SUM(O48,N49,O50:O51)</f>
        <v>0</v>
      </c>
      <c r="O55" s="279" t="s">
        <v>206</v>
      </c>
      <c r="P55" s="275">
        <f>SUM(E55,H55,K55,N55,P66,P70)</f>
        <v>1663677.3199999996</v>
      </c>
    </row>
    <row r="56" spans="2:16" ht="18" x14ac:dyDescent="0.25">
      <c r="B56" s="273"/>
      <c r="D56" s="280"/>
      <c r="E56" s="281"/>
      <c r="F56" s="75"/>
      <c r="G56" s="282"/>
      <c r="H56" s="281"/>
      <c r="I56" s="75"/>
      <c r="J56" s="280"/>
      <c r="K56" s="281"/>
      <c r="M56" s="282"/>
      <c r="N56" s="283"/>
      <c r="O56" s="282"/>
      <c r="P56" s="281"/>
    </row>
    <row r="57" spans="2:16" ht="18" x14ac:dyDescent="0.25">
      <c r="B57" s="273"/>
      <c r="D57" s="280"/>
      <c r="E57" s="281"/>
      <c r="F57" s="75"/>
      <c r="G57" s="282"/>
      <c r="H57" s="281"/>
      <c r="I57" s="75"/>
      <c r="J57" s="280"/>
      <c r="K57" s="281"/>
      <c r="M57" s="282"/>
      <c r="N57" s="283"/>
      <c r="O57" s="282"/>
      <c r="P57" s="281"/>
    </row>
    <row r="58" spans="2:16" ht="18" x14ac:dyDescent="0.25">
      <c r="B58" s="273"/>
      <c r="D58" s="280"/>
      <c r="E58" s="281"/>
      <c r="F58" s="75"/>
      <c r="G58" s="282"/>
      <c r="H58" s="281"/>
      <c r="I58" s="75"/>
      <c r="J58" s="280"/>
      <c r="K58" s="281"/>
      <c r="M58" s="282"/>
      <c r="N58" s="283"/>
      <c r="O58" s="282"/>
      <c r="P58" s="281"/>
    </row>
    <row r="59" spans="2:16" ht="18" x14ac:dyDescent="0.25">
      <c r="B59" s="273"/>
      <c r="D59" s="280"/>
      <c r="E59" s="281"/>
      <c r="F59" s="75"/>
      <c r="G59" s="282"/>
      <c r="H59" s="281"/>
      <c r="I59" s="75"/>
      <c r="J59" s="280"/>
      <c r="K59" s="281"/>
      <c r="M59" s="282"/>
      <c r="N59" s="283"/>
      <c r="O59" s="282"/>
      <c r="P59" s="281"/>
    </row>
    <row r="60" spans="2:16" ht="18" x14ac:dyDescent="0.25">
      <c r="B60" s="273"/>
      <c r="D60" s="280"/>
      <c r="E60" s="281"/>
      <c r="F60" s="75"/>
      <c r="G60" s="282"/>
      <c r="H60" s="281"/>
      <c r="I60" s="75"/>
      <c r="J60" s="280"/>
      <c r="K60" s="281"/>
      <c r="M60" s="282"/>
      <c r="N60" s="283"/>
      <c r="O60" s="282"/>
      <c r="P60" s="281"/>
    </row>
    <row r="61" spans="2:16" ht="18" x14ac:dyDescent="0.25">
      <c r="B61" s="284" t="s">
        <v>207</v>
      </c>
      <c r="C61" s="284"/>
      <c r="D61" s="75"/>
      <c r="E61" s="75"/>
      <c r="F61" s="75"/>
      <c r="G61" s="75"/>
      <c r="H61" s="75"/>
      <c r="I61" s="75"/>
      <c r="J61" s="75"/>
      <c r="K61" s="75"/>
      <c r="L61" s="75"/>
      <c r="M61" s="75"/>
      <c r="N61" s="75"/>
      <c r="O61" s="75"/>
      <c r="P61" s="75"/>
    </row>
    <row r="62" spans="2:16" x14ac:dyDescent="0.25">
      <c r="B62" s="285">
        <v>12108</v>
      </c>
      <c r="C62" s="54" t="s">
        <v>30</v>
      </c>
      <c r="D62" s="246"/>
      <c r="E62" s="246"/>
      <c r="F62" s="246">
        <v>142.76</v>
      </c>
      <c r="G62" s="246">
        <v>513.19000000000005</v>
      </c>
      <c r="H62" s="246">
        <v>552.36</v>
      </c>
      <c r="I62" s="246">
        <v>407.83</v>
      </c>
      <c r="J62" s="246">
        <v>430.4</v>
      </c>
      <c r="K62" s="246">
        <v>589.77</v>
      </c>
      <c r="L62" s="246">
        <v>539.92999999999995</v>
      </c>
      <c r="M62" s="246">
        <v>480.86</v>
      </c>
      <c r="N62" s="246">
        <v>669.2</v>
      </c>
      <c r="O62" s="246">
        <v>563.16</v>
      </c>
      <c r="P62" s="204">
        <f>SUM(D62:O62)</f>
        <v>4889.46</v>
      </c>
    </row>
    <row r="63" spans="2:16" x14ac:dyDescent="0.25">
      <c r="B63" s="285">
        <v>12109</v>
      </c>
      <c r="C63" s="54" t="s">
        <v>31</v>
      </c>
      <c r="D63" s="246"/>
      <c r="E63" s="246"/>
      <c r="F63" s="246">
        <v>447.31</v>
      </c>
      <c r="G63" s="246">
        <v>1381.33</v>
      </c>
      <c r="H63" s="246">
        <v>1592.87</v>
      </c>
      <c r="I63" s="246">
        <v>1161.8</v>
      </c>
      <c r="J63" s="246">
        <v>1302.56</v>
      </c>
      <c r="K63" s="246">
        <v>1642.28</v>
      </c>
      <c r="L63" s="246">
        <v>1582.47</v>
      </c>
      <c r="M63" s="246">
        <v>1362.47</v>
      </c>
      <c r="N63" s="246">
        <v>1962.54</v>
      </c>
      <c r="O63" s="246">
        <v>1704.97</v>
      </c>
      <c r="P63" s="204">
        <f t="shared" ref="P63:P66" si="17">SUM(D63:O63)</f>
        <v>14140.599999999997</v>
      </c>
    </row>
    <row r="64" spans="2:16" x14ac:dyDescent="0.25">
      <c r="B64" s="285">
        <v>12114</v>
      </c>
      <c r="C64" s="54" t="s">
        <v>92</v>
      </c>
      <c r="D64" s="246"/>
      <c r="E64" s="246"/>
      <c r="F64" s="246">
        <v>37.909999999999997</v>
      </c>
      <c r="G64" s="246">
        <v>124.6</v>
      </c>
      <c r="H64" s="246">
        <v>139.29</v>
      </c>
      <c r="I64" s="246">
        <v>102.27</v>
      </c>
      <c r="J64" s="246">
        <v>113.5</v>
      </c>
      <c r="K64" s="246">
        <v>145.86000000000001</v>
      </c>
      <c r="L64" s="246">
        <v>138.13999999999999</v>
      </c>
      <c r="M64" s="246">
        <v>120.23</v>
      </c>
      <c r="N64" s="246">
        <v>169.74</v>
      </c>
      <c r="O64" s="246">
        <v>147.13999999999999</v>
      </c>
      <c r="P64" s="204">
        <f t="shared" si="17"/>
        <v>1238.6799999999998</v>
      </c>
    </row>
    <row r="65" spans="2:16" x14ac:dyDescent="0.25">
      <c r="B65" s="285">
        <v>12117</v>
      </c>
      <c r="C65" s="54" t="s">
        <v>35</v>
      </c>
      <c r="D65" s="246"/>
      <c r="E65" s="246"/>
      <c r="F65" s="246">
        <v>168.16</v>
      </c>
      <c r="G65" s="246">
        <v>597.46</v>
      </c>
      <c r="H65" s="246">
        <v>640.47</v>
      </c>
      <c r="I65" s="246">
        <v>475.73</v>
      </c>
      <c r="J65" s="246">
        <v>537.08000000000004</v>
      </c>
      <c r="K65" s="246">
        <v>685.12</v>
      </c>
      <c r="L65" s="246">
        <v>640.47</v>
      </c>
      <c r="M65" s="246">
        <v>561.25</v>
      </c>
      <c r="N65" s="246">
        <v>763.12</v>
      </c>
      <c r="O65" s="246">
        <v>674.7</v>
      </c>
      <c r="P65" s="204">
        <f t="shared" si="17"/>
        <v>5743.5599999999995</v>
      </c>
    </row>
    <row r="66" spans="2:16" x14ac:dyDescent="0.25">
      <c r="B66" s="286">
        <v>121</v>
      </c>
      <c r="C66" s="240" t="s">
        <v>27</v>
      </c>
      <c r="D66" s="287">
        <f t="shared" ref="D66:O66" si="18">SUM(D62:D65)</f>
        <v>0</v>
      </c>
      <c r="E66" s="287">
        <f t="shared" si="18"/>
        <v>0</v>
      </c>
      <c r="F66" s="287">
        <f t="shared" si="18"/>
        <v>796.13999999999987</v>
      </c>
      <c r="G66" s="287">
        <f t="shared" si="18"/>
        <v>2616.58</v>
      </c>
      <c r="H66" s="287">
        <f t="shared" si="18"/>
        <v>2924.99</v>
      </c>
      <c r="I66" s="287">
        <f t="shared" si="18"/>
        <v>2147.63</v>
      </c>
      <c r="J66" s="287">
        <f t="shared" si="18"/>
        <v>2383.54</v>
      </c>
      <c r="K66" s="287">
        <f t="shared" si="18"/>
        <v>3063.03</v>
      </c>
      <c r="L66" s="287">
        <f t="shared" si="18"/>
        <v>2901.01</v>
      </c>
      <c r="M66" s="287">
        <f t="shared" si="18"/>
        <v>2524.81</v>
      </c>
      <c r="N66" s="287">
        <f t="shared" si="18"/>
        <v>3564.5999999999995</v>
      </c>
      <c r="O66" s="287">
        <f t="shared" si="18"/>
        <v>3089.9700000000003</v>
      </c>
      <c r="P66" s="287">
        <f t="shared" si="17"/>
        <v>26012.300000000003</v>
      </c>
    </row>
    <row r="68" spans="2:16" ht="18" x14ac:dyDescent="0.25">
      <c r="B68" s="288" t="s">
        <v>208</v>
      </c>
      <c r="C68" s="289"/>
      <c r="D68" s="290"/>
      <c r="E68" s="291"/>
      <c r="F68" s="291"/>
      <c r="G68" s="291"/>
      <c r="H68" s="291"/>
      <c r="I68" s="291"/>
      <c r="J68" s="291"/>
      <c r="K68" s="291"/>
      <c r="L68" s="291"/>
      <c r="M68" s="291"/>
      <c r="N68" s="291"/>
      <c r="O68" s="291"/>
      <c r="P68" s="272"/>
    </row>
    <row r="69" spans="2:16" x14ac:dyDescent="0.25">
      <c r="B69" s="285">
        <v>15402</v>
      </c>
      <c r="C69" s="54" t="s">
        <v>190</v>
      </c>
      <c r="D69" s="246">
        <v>285.70999999999998</v>
      </c>
      <c r="E69" s="246">
        <v>285.70999999999998</v>
      </c>
      <c r="F69" s="246">
        <v>285.70999999999998</v>
      </c>
      <c r="G69" s="246">
        <v>285.70999999999998</v>
      </c>
      <c r="H69" s="246">
        <v>285.70999999999998</v>
      </c>
      <c r="I69" s="246">
        <v>285.70999999999998</v>
      </c>
      <c r="J69" s="246">
        <v>285.70999999999998</v>
      </c>
      <c r="K69" s="246">
        <v>285.70999999999998</v>
      </c>
      <c r="L69" s="246">
        <v>285.70999999999998</v>
      </c>
      <c r="M69" s="246">
        <v>285.70999999999998</v>
      </c>
      <c r="N69" s="247"/>
      <c r="O69" s="247"/>
      <c r="P69" s="248">
        <f>SUM(D69:O69)</f>
        <v>2857.1</v>
      </c>
    </row>
    <row r="70" spans="2:16" x14ac:dyDescent="0.25">
      <c r="B70" s="286">
        <v>154</v>
      </c>
      <c r="C70" s="240" t="s">
        <v>189</v>
      </c>
      <c r="D70" s="241">
        <f t="shared" ref="D70:O70" si="19">SUM(D69)</f>
        <v>285.70999999999998</v>
      </c>
      <c r="E70" s="241">
        <f t="shared" si="19"/>
        <v>285.70999999999998</v>
      </c>
      <c r="F70" s="241">
        <f t="shared" si="19"/>
        <v>285.70999999999998</v>
      </c>
      <c r="G70" s="241">
        <f t="shared" si="19"/>
        <v>285.70999999999998</v>
      </c>
      <c r="H70" s="241">
        <f t="shared" si="19"/>
        <v>285.70999999999998</v>
      </c>
      <c r="I70" s="241">
        <f t="shared" si="19"/>
        <v>285.70999999999998</v>
      </c>
      <c r="J70" s="241">
        <f t="shared" si="19"/>
        <v>285.70999999999998</v>
      </c>
      <c r="K70" s="241">
        <f t="shared" si="19"/>
        <v>285.70999999999998</v>
      </c>
      <c r="L70" s="241">
        <f t="shared" si="19"/>
        <v>285.70999999999998</v>
      </c>
      <c r="M70" s="241">
        <f t="shared" si="19"/>
        <v>285.70999999999998</v>
      </c>
      <c r="N70" s="241">
        <f t="shared" si="19"/>
        <v>0</v>
      </c>
      <c r="O70" s="241">
        <f t="shared" si="19"/>
        <v>0</v>
      </c>
      <c r="P70" s="243">
        <f>SUM(D70:O70)</f>
        <v>2857.1</v>
      </c>
    </row>
    <row r="71" spans="2:16" s="1" customFormat="1" x14ac:dyDescent="0.25">
      <c r="B71" s="292"/>
      <c r="C71" s="293"/>
      <c r="D71" s="294"/>
      <c r="E71" s="294"/>
      <c r="F71" s="294"/>
      <c r="G71" s="294"/>
      <c r="H71" s="294"/>
      <c r="I71" s="294"/>
      <c r="J71" s="294"/>
      <c r="K71" s="294"/>
      <c r="L71" s="294"/>
      <c r="M71" s="294"/>
      <c r="N71" s="294"/>
      <c r="O71" s="294"/>
      <c r="P71" s="294"/>
    </row>
    <row r="72" spans="2:16" s="1" customFormat="1" x14ac:dyDescent="0.25">
      <c r="B72" s="292"/>
      <c r="C72" s="293"/>
      <c r="D72" s="294"/>
      <c r="E72" s="294"/>
      <c r="F72" s="294"/>
      <c r="G72" s="294"/>
      <c r="H72" s="294"/>
      <c r="I72" s="294"/>
      <c r="J72" s="294"/>
      <c r="K72" s="294"/>
      <c r="L72" s="294"/>
      <c r="M72" s="294"/>
      <c r="N72" s="294"/>
      <c r="O72" s="294"/>
      <c r="P72" s="294"/>
    </row>
    <row r="73" spans="2:16" ht="18" x14ac:dyDescent="0.25">
      <c r="B73" s="273"/>
      <c r="D73" s="75"/>
      <c r="E73" s="75"/>
      <c r="F73" s="75"/>
      <c r="G73" s="75"/>
      <c r="H73" s="75"/>
      <c r="I73" s="75"/>
      <c r="J73" s="75"/>
      <c r="K73" s="75"/>
      <c r="L73" s="75"/>
      <c r="M73" s="75"/>
      <c r="N73" s="75"/>
      <c r="O73" s="75"/>
      <c r="P73" s="75"/>
    </row>
    <row r="74" spans="2:16" x14ac:dyDescent="0.25">
      <c r="B74" s="295" t="s">
        <v>206</v>
      </c>
      <c r="C74" s="296">
        <f>SUM(D52:O52)</f>
        <v>1634807.92</v>
      </c>
      <c r="D74" s="75"/>
      <c r="E74" s="75"/>
      <c r="F74" s="75"/>
      <c r="G74" s="75"/>
      <c r="H74" s="75"/>
      <c r="I74" s="75"/>
      <c r="J74" s="75"/>
      <c r="K74" s="75"/>
      <c r="L74" s="75"/>
      <c r="M74" s="75"/>
      <c r="N74" s="75"/>
      <c r="O74" s="75"/>
      <c r="P74" s="75"/>
    </row>
    <row r="75" spans="2:16" ht="15.75" x14ac:dyDescent="0.25">
      <c r="B75" s="295"/>
      <c r="C75" s="296"/>
      <c r="D75" s="75"/>
      <c r="E75" s="75"/>
      <c r="F75" s="75"/>
      <c r="G75" s="297">
        <v>2015</v>
      </c>
      <c r="H75" s="297"/>
      <c r="I75" s="297"/>
      <c r="J75" s="297"/>
      <c r="K75" s="75"/>
      <c r="L75" s="75"/>
      <c r="M75" s="298"/>
      <c r="N75" s="75"/>
      <c r="O75" s="75"/>
      <c r="P75" s="75"/>
    </row>
    <row r="76" spans="2:16" x14ac:dyDescent="0.25">
      <c r="E76" s="75"/>
      <c r="F76" s="75"/>
      <c r="G76" s="299" t="s">
        <v>209</v>
      </c>
      <c r="H76" s="247">
        <v>24141.13</v>
      </c>
      <c r="I76" s="300" t="s">
        <v>210</v>
      </c>
      <c r="J76" s="246">
        <f>SUM(H76)*3</f>
        <v>72423.39</v>
      </c>
      <c r="K76" s="75"/>
      <c r="L76" s="75"/>
      <c r="M76" s="298"/>
      <c r="N76" s="75"/>
      <c r="O76" s="75"/>
      <c r="P76" s="75"/>
    </row>
    <row r="77" spans="2:16" ht="15.75" x14ac:dyDescent="0.25">
      <c r="B77" s="301" t="s">
        <v>209</v>
      </c>
      <c r="C77" s="302">
        <f>SUM(J76,J82)</f>
        <v>290403.3</v>
      </c>
      <c r="D77" s="75"/>
      <c r="E77" s="75"/>
      <c r="F77" s="75"/>
      <c r="G77" s="299" t="s">
        <v>211</v>
      </c>
      <c r="H77" s="247">
        <v>72423.37</v>
      </c>
      <c r="I77" s="300" t="s">
        <v>210</v>
      </c>
      <c r="J77" s="246">
        <f>SUM(H77)*3</f>
        <v>217270.11</v>
      </c>
      <c r="K77" s="303"/>
      <c r="L77" s="75"/>
      <c r="M77" s="298"/>
      <c r="N77" s="75"/>
      <c r="O77" s="75"/>
      <c r="P77" s="75"/>
    </row>
    <row r="78" spans="2:16" ht="15.75" x14ac:dyDescent="0.25">
      <c r="D78" s="75"/>
      <c r="E78" s="75"/>
      <c r="F78" s="75"/>
      <c r="G78" s="304" t="s">
        <v>212</v>
      </c>
      <c r="H78" s="304"/>
      <c r="I78" s="304"/>
      <c r="J78" s="204">
        <f>SUM(J76:J77)</f>
        <v>289693.5</v>
      </c>
      <c r="K78" s="75"/>
      <c r="L78" s="75"/>
      <c r="M78" s="75"/>
      <c r="N78" s="75"/>
      <c r="O78" s="75"/>
      <c r="P78" s="75"/>
    </row>
    <row r="79" spans="2:16" ht="15.75" x14ac:dyDescent="0.25">
      <c r="B79" s="301" t="s">
        <v>211</v>
      </c>
      <c r="C79" s="302">
        <f>SUM(J77,J83)</f>
        <v>871299.84</v>
      </c>
      <c r="D79" s="75"/>
      <c r="E79" s="75"/>
      <c r="F79" s="75"/>
      <c r="G79" s="75"/>
      <c r="H79" s="75"/>
      <c r="I79" s="75"/>
      <c r="J79" s="75"/>
      <c r="K79" s="75"/>
      <c r="L79" s="75"/>
      <c r="M79" s="75"/>
      <c r="N79" s="75"/>
      <c r="O79" s="75"/>
      <c r="P79" s="75"/>
    </row>
    <row r="80" spans="2:16" x14ac:dyDescent="0.25">
      <c r="D80" s="75"/>
      <c r="E80" s="75"/>
      <c r="F80" s="75"/>
      <c r="G80" s="75"/>
      <c r="H80" s="75"/>
      <c r="I80" s="75"/>
      <c r="J80" s="75"/>
      <c r="K80" s="75"/>
      <c r="L80" s="75"/>
      <c r="M80" s="75"/>
      <c r="N80" s="75"/>
      <c r="O80" s="75"/>
      <c r="P80" s="75"/>
    </row>
    <row r="81" spans="2:16" ht="15.75" x14ac:dyDescent="0.25">
      <c r="B81" t="s">
        <v>213</v>
      </c>
      <c r="C81" s="305">
        <f>SUM(P66)</f>
        <v>26012.300000000003</v>
      </c>
      <c r="D81" s="75"/>
      <c r="E81" s="75"/>
      <c r="F81" s="75"/>
      <c r="G81" s="297">
        <v>2016</v>
      </c>
      <c r="H81" s="297"/>
      <c r="I81" s="297"/>
      <c r="J81" s="297"/>
      <c r="K81" s="75"/>
      <c r="L81" s="75"/>
      <c r="M81" s="75"/>
      <c r="N81" s="75"/>
      <c r="O81" s="75"/>
      <c r="P81" s="75"/>
    </row>
    <row r="82" spans="2:16" x14ac:dyDescent="0.25">
      <c r="C82" s="306"/>
      <c r="D82" s="75"/>
      <c r="E82" s="75"/>
      <c r="F82" s="75"/>
      <c r="G82" s="299" t="s">
        <v>209</v>
      </c>
      <c r="H82" s="247">
        <v>24219.99</v>
      </c>
      <c r="I82" s="300" t="s">
        <v>214</v>
      </c>
      <c r="J82" s="246">
        <f>SUM(H82)*9</f>
        <v>217979.91</v>
      </c>
      <c r="K82" s="75"/>
      <c r="L82" s="75"/>
      <c r="M82" s="75"/>
      <c r="N82" s="75"/>
      <c r="O82" s="75"/>
      <c r="P82" s="75"/>
    </row>
    <row r="83" spans="2:16" ht="15.75" x14ac:dyDescent="0.25">
      <c r="B83" t="s">
        <v>215</v>
      </c>
      <c r="C83" s="305">
        <f>SUM(P70)</f>
        <v>2857.1</v>
      </c>
      <c r="D83" s="75"/>
      <c r="E83" s="75"/>
      <c r="F83" s="75"/>
      <c r="G83" s="299" t="s">
        <v>211</v>
      </c>
      <c r="H83" s="247">
        <v>72669.97</v>
      </c>
      <c r="I83" s="300" t="s">
        <v>214</v>
      </c>
      <c r="J83" s="246">
        <f>SUM(H83)*9</f>
        <v>654029.73</v>
      </c>
      <c r="K83" s="75"/>
      <c r="L83" s="75"/>
      <c r="M83" s="75"/>
      <c r="N83" s="75"/>
      <c r="O83" s="75"/>
      <c r="P83" s="75"/>
    </row>
    <row r="84" spans="2:16" ht="20.25" x14ac:dyDescent="0.3">
      <c r="C84" s="307"/>
      <c r="D84" s="75"/>
      <c r="E84" s="75"/>
      <c r="F84" s="75"/>
      <c r="G84" s="304" t="s">
        <v>212</v>
      </c>
      <c r="H84" s="304"/>
      <c r="I84" s="304"/>
      <c r="J84" s="204">
        <f>SUM(J82:J83)</f>
        <v>872009.64</v>
      </c>
      <c r="K84" s="75"/>
      <c r="L84" s="75"/>
      <c r="M84" s="75"/>
      <c r="N84" s="75"/>
      <c r="O84" s="75"/>
      <c r="P84" s="75"/>
    </row>
    <row r="85" spans="2:16" x14ac:dyDescent="0.25">
      <c r="D85" s="75"/>
      <c r="E85" s="75"/>
      <c r="F85" s="75"/>
      <c r="G85" s="75"/>
      <c r="H85" s="75"/>
      <c r="I85" s="75"/>
      <c r="J85" s="75"/>
      <c r="K85" s="75"/>
      <c r="L85" s="75"/>
      <c r="M85" s="75"/>
      <c r="N85" s="75"/>
      <c r="O85" s="75"/>
      <c r="P85" s="75"/>
    </row>
    <row r="86" spans="2:16" ht="18.75" x14ac:dyDescent="0.3">
      <c r="D86" s="75"/>
      <c r="E86" s="75"/>
      <c r="F86" s="75"/>
      <c r="G86" s="308" t="s">
        <v>216</v>
      </c>
      <c r="H86" s="308"/>
      <c r="I86" s="308"/>
      <c r="J86" s="309">
        <f>SUM(J78,J84)</f>
        <v>1161703.1400000001</v>
      </c>
      <c r="K86" s="75"/>
      <c r="L86" s="75"/>
      <c r="M86" s="75"/>
      <c r="N86" s="75"/>
      <c r="O86" s="75"/>
      <c r="P86" s="75"/>
    </row>
    <row r="87" spans="2:16" x14ac:dyDescent="0.25">
      <c r="C87" s="310"/>
      <c r="D87" s="75"/>
      <c r="E87" s="75"/>
      <c r="F87" s="75"/>
      <c r="G87" s="75"/>
      <c r="H87" s="75"/>
      <c r="I87" s="75"/>
      <c r="J87" s="75"/>
      <c r="K87" s="75"/>
      <c r="L87" s="75"/>
      <c r="M87" s="75"/>
      <c r="N87" s="75"/>
      <c r="O87" s="75"/>
      <c r="P87" s="75"/>
    </row>
    <row r="88" spans="2:16" x14ac:dyDescent="0.25">
      <c r="C88" s="311"/>
      <c r="D88" s="75"/>
      <c r="E88" s="75"/>
      <c r="F88" s="75"/>
      <c r="G88" s="75"/>
      <c r="H88" s="75"/>
      <c r="I88" s="75"/>
      <c r="J88" s="75"/>
      <c r="K88" s="75"/>
      <c r="L88" s="75"/>
      <c r="M88" s="75"/>
      <c r="N88" s="75"/>
      <c r="O88" s="75"/>
      <c r="P88" s="75"/>
    </row>
    <row r="89" spans="2:16" x14ac:dyDescent="0.25">
      <c r="C89" s="310"/>
      <c r="D89" s="75"/>
      <c r="E89" s="75"/>
      <c r="F89" s="75"/>
      <c r="G89" s="75"/>
      <c r="H89" s="75"/>
      <c r="I89" s="75"/>
      <c r="J89" s="75"/>
      <c r="K89" s="75"/>
      <c r="L89" s="75"/>
      <c r="M89" s="75"/>
      <c r="N89" s="75"/>
      <c r="O89" s="75"/>
      <c r="P89" s="75"/>
    </row>
    <row r="90" spans="2:16" x14ac:dyDescent="0.25">
      <c r="C90" s="311"/>
      <c r="D90" s="75"/>
      <c r="E90" s="75"/>
      <c r="F90" s="75"/>
      <c r="G90" s="75"/>
      <c r="H90" s="75"/>
      <c r="I90" s="75"/>
      <c r="J90" s="75"/>
      <c r="K90" s="75"/>
      <c r="L90" s="75"/>
      <c r="M90" s="75"/>
      <c r="N90" s="75"/>
      <c r="O90" s="75"/>
      <c r="P90" s="75"/>
    </row>
    <row r="91" spans="2:16" x14ac:dyDescent="0.25">
      <c r="D91" s="75"/>
      <c r="E91" s="75"/>
      <c r="F91" s="75"/>
      <c r="G91" s="75"/>
      <c r="H91" s="75"/>
      <c r="I91" s="75"/>
      <c r="J91" s="75"/>
      <c r="K91" s="75"/>
      <c r="L91" s="75"/>
      <c r="M91" s="75"/>
      <c r="N91" s="75"/>
      <c r="O91" s="75"/>
      <c r="P91" s="75"/>
    </row>
    <row r="92" spans="2:16" x14ac:dyDescent="0.25">
      <c r="D92" s="75"/>
      <c r="E92" s="75"/>
      <c r="F92" s="75"/>
      <c r="G92" s="75"/>
      <c r="H92" s="75"/>
      <c r="I92" s="75"/>
      <c r="J92" s="75"/>
      <c r="K92" s="75"/>
      <c r="L92" s="75"/>
      <c r="M92" s="75"/>
      <c r="N92" s="75"/>
      <c r="O92" s="75"/>
      <c r="P92" s="75"/>
    </row>
    <row r="93" spans="2:16" x14ac:dyDescent="0.25">
      <c r="D93" s="75"/>
      <c r="E93" s="75"/>
      <c r="F93" s="75"/>
      <c r="G93" s="75"/>
      <c r="H93" s="75"/>
      <c r="I93" s="75"/>
      <c r="J93" s="75"/>
      <c r="K93" s="75"/>
      <c r="L93" s="75"/>
      <c r="M93" s="75"/>
      <c r="N93" s="75"/>
      <c r="O93" s="75"/>
      <c r="P93" s="75"/>
    </row>
  </sheetData>
  <mergeCells count="9">
    <mergeCell ref="G81:J81"/>
    <mergeCell ref="G84:I84"/>
    <mergeCell ref="G86:I86"/>
    <mergeCell ref="B52:C52"/>
    <mergeCell ref="B61:C61"/>
    <mergeCell ref="B74:B75"/>
    <mergeCell ref="C74:C75"/>
    <mergeCell ref="G75:J75"/>
    <mergeCell ref="G78:I78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Hoja1</vt:lpstr>
      <vt:lpstr>Hoja2</vt:lpstr>
      <vt:lpstr>Esim. ing.</vt:lpstr>
      <vt:lpstr>Sumario</vt:lpstr>
      <vt:lpstr>Ing. 2016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Cuentas Corrientes</dc:creator>
  <cp:lastModifiedBy>Cuentas Corrientes</cp:lastModifiedBy>
  <dcterms:created xsi:type="dcterms:W3CDTF">2019-10-16T22:46:01Z</dcterms:created>
  <dcterms:modified xsi:type="dcterms:W3CDTF">2019-10-30T20:49:51Z</dcterms:modified>
</cp:coreProperties>
</file>