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\Desktop\"/>
    </mc:Choice>
  </mc:AlternateContent>
  <bookViews>
    <workbookView xWindow="-120" yWindow="-120" windowWidth="20730" windowHeight="11160" tabRatio="872" firstSheet="44" activeTab="48"/>
  </bookViews>
  <sheets>
    <sheet name="formato de ingresos" sheetId="1" r:id="rId1"/>
    <sheet name="PRESU INGRESOS" sheetId="2" r:id="rId2"/>
    <sheet name="CONSOLIDADO I Y E" sheetId="3" r:id="rId3"/>
    <sheet name="TOTAL DE I Y G" sheetId="4" r:id="rId4"/>
    <sheet name="GASTO DIF." sheetId="5" r:id="rId5"/>
    <sheet name="REMUNERACIONES" sheetId="6" r:id="rId6"/>
    <sheet name="GASTO" sheetId="7" r:id="rId7"/>
    <sheet name="FODES 25%" sheetId="9" r:id="rId8"/>
    <sheet name="F.PROPIOS" sheetId="8" r:id="rId9"/>
    <sheet name="FODES 75%" sheetId="10" r:id="rId10"/>
    <sheet name="FODES 2% " sheetId="51" r:id="rId11"/>
    <sheet name="CTA FISDL" sheetId="45" r:id="rId12"/>
    <sheet name="DONACIONES" sheetId="46" r:id="rId13"/>
    <sheet name="EMERGENCIA" sheetId="54" r:id="rId14"/>
    <sheet name="PRESTAMO 4" sheetId="58" r:id="rId15"/>
    <sheet name="MJSP5" sheetId="59" r:id="rId16"/>
    <sheet name="CONCEJO Y GESTION Y COOPERACION" sheetId="11" r:id="rId17"/>
    <sheet name="CONCEJO MPAL" sheetId="12" r:id="rId18"/>
    <sheet name="GESTION Y COOPERACION" sheetId="13" r:id="rId19"/>
    <sheet name="DESPACHO" sheetId="14" r:id="rId20"/>
    <sheet name="SINDICATURA" sheetId="15" r:id="rId21"/>
    <sheet name="SECRETARIA" sheetId="16" r:id="rId22"/>
    <sheet name="JURIDICO" sheetId="18" r:id="rId23"/>
    <sheet name="GERENCIA" sheetId="19" r:id="rId24"/>
    <sheet name="AUDITORIA" sheetId="20" r:id="rId25"/>
    <sheet name="RRHH" sheetId="21" r:id="rId26"/>
    <sheet name="UFI" sheetId="22" r:id="rId27"/>
    <sheet name="PRESUPUESTO" sheetId="23" r:id="rId28"/>
    <sheet name="TESORERIA" sheetId="24" r:id="rId29"/>
    <sheet name="CONTABILIDAD" sheetId="25" r:id="rId30"/>
    <sheet name="UATM" sheetId="26" r:id="rId31"/>
    <sheet name="UACI" sheetId="27" r:id="rId32"/>
    <sheet name="MERCADO" sheetId="28" r:id="rId33"/>
    <sheet name="REGISTRO FAM" sheetId="29" r:id="rId34"/>
    <sheet name="CEMENTERIO" sheetId="30" r:id="rId35"/>
    <sheet name="DISTRITO" sheetId="31" r:id="rId36"/>
    <sheet name="PROYECTOS" sheetId="32" r:id="rId37"/>
    <sheet name="ACCESO A LA INF PUBLICA" sheetId="33" r:id="rId38"/>
    <sheet name="DESARROLLO TEC." sheetId="34" r:id="rId39"/>
    <sheet name="COMUNICACIONES" sheetId="35" r:id="rId40"/>
    <sheet name="CAM" sheetId="36" r:id="rId41"/>
    <sheet name="DHI" sheetId="37" r:id="rId42"/>
    <sheet name="SG" sheetId="38" r:id="rId43"/>
    <sheet name="MED. AMBIENTE Y GESTION DE RIES" sheetId="39" r:id="rId44"/>
    <sheet name="MEDIO AMBIENTE" sheetId="40" r:id="rId45"/>
    <sheet name="GESTION DE RIESGO" sheetId="41" r:id="rId46"/>
    <sheet name="UDEL" sheetId="42" r:id="rId47"/>
    <sheet name="PROMOCION SOCIAL" sheetId="43" r:id="rId48"/>
    <sheet name="FODES 75% + 2%" sheetId="52" r:id="rId49"/>
    <sheet name="FODES 75% GASTO" sheetId="44" r:id="rId50"/>
    <sheet name="FODES 2% GASTO" sheetId="50" r:id="rId51"/>
    <sheet name="GASTO DONACION" sheetId="48" r:id="rId52"/>
    <sheet name="GASTO FISDL" sheetId="47" r:id="rId53"/>
    <sheet name="FONDO DE EMERGENCIA" sheetId="53" r:id="rId54"/>
    <sheet name="PRESTAMO" sheetId="55" r:id="rId55"/>
    <sheet name="MJSP" sheetId="57" r:id="rId5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0" l="1"/>
  <c r="D15" i="10"/>
  <c r="E16" i="26" l="1"/>
  <c r="R20" i="1"/>
  <c r="E85" i="2" l="1"/>
  <c r="E69" i="2"/>
  <c r="D9" i="59" l="1"/>
  <c r="D19" i="24"/>
  <c r="D5" i="59"/>
  <c r="D6" i="59" s="1"/>
  <c r="D9" i="58"/>
  <c r="D5" i="58"/>
  <c r="D6" i="58" s="1"/>
  <c r="K16" i="3"/>
  <c r="D22" i="55"/>
  <c r="D21" i="55"/>
  <c r="D19" i="55"/>
  <c r="D12" i="55"/>
  <c r="F56" i="2"/>
  <c r="E68" i="2"/>
  <c r="E24" i="3"/>
  <c r="D23" i="57"/>
  <c r="D22" i="57"/>
  <c r="D21" i="57"/>
  <c r="D19" i="57"/>
  <c r="D15" i="57"/>
  <c r="D16" i="57"/>
  <c r="G30" i="57"/>
  <c r="D13" i="57"/>
  <c r="D12" i="57" s="1"/>
  <c r="C24" i="3"/>
  <c r="D15" i="55"/>
  <c r="F29" i="55"/>
  <c r="I22" i="4" s="1"/>
  <c r="D23" i="55"/>
  <c r="D16" i="55"/>
  <c r="D13" i="55"/>
  <c r="E20" i="3"/>
  <c r="C22" i="3"/>
  <c r="D10" i="59" l="1"/>
  <c r="D10" i="58"/>
  <c r="E22" i="3"/>
  <c r="E65" i="2" l="1"/>
  <c r="E56" i="2" s="1"/>
  <c r="E55" i="2" s="1"/>
  <c r="E16" i="18"/>
  <c r="E17" i="16"/>
  <c r="D19" i="43"/>
  <c r="E19" i="43"/>
  <c r="E17" i="43"/>
  <c r="F38" i="30" l="1"/>
  <c r="F37" i="30"/>
  <c r="F36" i="30"/>
  <c r="D38" i="30"/>
  <c r="D37" i="30"/>
  <c r="D36" i="30"/>
  <c r="D34" i="30"/>
  <c r="D58" i="11"/>
  <c r="D33" i="27"/>
  <c r="D32" i="27"/>
  <c r="D31" i="27"/>
  <c r="E33" i="27"/>
  <c r="E32" i="27"/>
  <c r="E31" i="27"/>
  <c r="F33" i="27"/>
  <c r="F32" i="27"/>
  <c r="F31" i="27"/>
  <c r="E29" i="27"/>
  <c r="D29" i="27"/>
  <c r="D25" i="23"/>
  <c r="F41" i="21"/>
  <c r="F40" i="21"/>
  <c r="F33" i="21"/>
  <c r="E40" i="21"/>
  <c r="D41" i="21"/>
  <c r="D40" i="21"/>
  <c r="E33" i="21"/>
  <c r="D33" i="21"/>
  <c r="F36" i="20"/>
  <c r="F35" i="20"/>
  <c r="F34" i="20"/>
  <c r="D36" i="20"/>
  <c r="D35" i="20"/>
  <c r="D34" i="20"/>
  <c r="D32" i="20"/>
  <c r="D49" i="12"/>
  <c r="D57" i="12"/>
  <c r="D56" i="12"/>
  <c r="D54" i="12"/>
  <c r="C34" i="5"/>
  <c r="D26" i="1" l="1"/>
  <c r="E19" i="42"/>
  <c r="D19" i="42"/>
  <c r="E17" i="42"/>
  <c r="D17" i="42"/>
  <c r="E20" i="41"/>
  <c r="D20" i="41"/>
  <c r="E18" i="41"/>
  <c r="D18" i="41"/>
  <c r="E19" i="37"/>
  <c r="D19" i="37"/>
  <c r="E17" i="37"/>
  <c r="D17" i="37"/>
  <c r="E17" i="35"/>
  <c r="D17" i="35"/>
  <c r="E19" i="34"/>
  <c r="D19" i="34"/>
  <c r="E17" i="34"/>
  <c r="D17" i="34"/>
  <c r="E19" i="33"/>
  <c r="D19" i="33"/>
  <c r="E17" i="33"/>
  <c r="D17" i="33"/>
  <c r="E19" i="32"/>
  <c r="D19" i="32"/>
  <c r="E17" i="32"/>
  <c r="D17" i="32"/>
  <c r="E17" i="31"/>
  <c r="D17" i="31"/>
  <c r="E19" i="30"/>
  <c r="D19" i="30"/>
  <c r="E17" i="30"/>
  <c r="D17" i="30"/>
  <c r="E19" i="29"/>
  <c r="D19" i="29"/>
  <c r="E17" i="29"/>
  <c r="D17" i="29"/>
  <c r="E19" i="28"/>
  <c r="D19" i="28"/>
  <c r="E17" i="28"/>
  <c r="D17" i="28"/>
  <c r="E18" i="27"/>
  <c r="D18" i="27"/>
  <c r="E16" i="27"/>
  <c r="D16" i="27"/>
  <c r="E18" i="25"/>
  <c r="D18" i="25"/>
  <c r="E16" i="25"/>
  <c r="D16" i="25"/>
  <c r="E18" i="23"/>
  <c r="D18" i="23"/>
  <c r="D16" i="23"/>
  <c r="E16" i="23"/>
  <c r="E18" i="20"/>
  <c r="D18" i="20"/>
  <c r="E16" i="20"/>
  <c r="D16" i="20"/>
  <c r="E18" i="19"/>
  <c r="D18" i="19"/>
  <c r="E16" i="19"/>
  <c r="D16" i="19"/>
  <c r="E18" i="18"/>
  <c r="D18" i="18"/>
  <c r="D16" i="18"/>
  <c r="E18" i="15"/>
  <c r="D18" i="15"/>
  <c r="E16" i="15"/>
  <c r="D16" i="15"/>
  <c r="E18" i="14"/>
  <c r="D18" i="14"/>
  <c r="D18" i="13"/>
  <c r="D20" i="13"/>
  <c r="D17" i="12"/>
  <c r="E17" i="12"/>
  <c r="E15" i="12"/>
  <c r="D15" i="12"/>
  <c r="D16" i="14"/>
  <c r="E16" i="14"/>
  <c r="E20" i="38" l="1"/>
  <c r="D20" i="38"/>
  <c r="D18" i="38"/>
  <c r="E18" i="38"/>
  <c r="E54" i="2"/>
  <c r="C16" i="3" s="1"/>
  <c r="E53" i="2"/>
  <c r="C14" i="3" s="1"/>
  <c r="K21" i="3" s="1"/>
  <c r="E50" i="2"/>
  <c r="K22" i="3" l="1"/>
  <c r="K24" i="3" s="1"/>
  <c r="K55" i="7"/>
  <c r="E39" i="24"/>
  <c r="D18" i="26"/>
  <c r="D17" i="26" s="1"/>
  <c r="E18" i="26"/>
  <c r="D17" i="43"/>
  <c r="D19" i="35"/>
  <c r="E19" i="35"/>
  <c r="D18" i="36"/>
  <c r="D20" i="36"/>
  <c r="E20" i="36"/>
  <c r="E18" i="36"/>
  <c r="D19" i="40"/>
  <c r="D17" i="40"/>
  <c r="E19" i="40"/>
  <c r="E17" i="40"/>
  <c r="D17" i="16"/>
  <c r="D15" i="16"/>
  <c r="E15" i="16"/>
  <c r="E20" i="21"/>
  <c r="E18" i="21"/>
  <c r="D20" i="21"/>
  <c r="D18" i="21"/>
  <c r="E19" i="31"/>
  <c r="D19" i="31"/>
  <c r="D39" i="24" l="1"/>
  <c r="K17" i="7"/>
  <c r="D5" i="54" l="1"/>
  <c r="D6" i="54" s="1"/>
  <c r="D5" i="51"/>
  <c r="D29" i="53"/>
  <c r="D22" i="53"/>
  <c r="D21" i="53" s="1"/>
  <c r="D19" i="53"/>
  <c r="D16" i="53"/>
  <c r="D13" i="53"/>
  <c r="C20" i="3"/>
  <c r="C18" i="3"/>
  <c r="D28" i="53" l="1"/>
  <c r="D12" i="53"/>
  <c r="D27" i="53" s="1"/>
  <c r="G20" i="3" s="1"/>
  <c r="D25" i="53" l="1"/>
  <c r="D9" i="54" s="1"/>
  <c r="D10" i="54" s="1"/>
  <c r="D21" i="43" l="1"/>
  <c r="D21" i="42"/>
  <c r="D22" i="41"/>
  <c r="F23" i="40"/>
  <c r="F22" i="40"/>
  <c r="D21" i="40"/>
  <c r="E21" i="40"/>
  <c r="D43" i="40"/>
  <c r="F31" i="40"/>
  <c r="E30" i="40"/>
  <c r="D30" i="40"/>
  <c r="E41" i="38"/>
  <c r="D41" i="38"/>
  <c r="E36" i="38"/>
  <c r="D36" i="38"/>
  <c r="E22" i="38"/>
  <c r="D22" i="38"/>
  <c r="D29" i="37"/>
  <c r="D21" i="37"/>
  <c r="D22" i="36"/>
  <c r="D21" i="35"/>
  <c r="D31" i="35"/>
  <c r="D26" i="35"/>
  <c r="D21" i="34"/>
  <c r="D21" i="33"/>
  <c r="D36" i="32"/>
  <c r="D31" i="32"/>
  <c r="E31" i="32"/>
  <c r="E21" i="32"/>
  <c r="D21" i="32"/>
  <c r="D21" i="31"/>
  <c r="E21" i="31"/>
  <c r="E30" i="31"/>
  <c r="E34" i="31"/>
  <c r="D34" i="31"/>
  <c r="D30" i="31"/>
  <c r="D21" i="29"/>
  <c r="D21" i="28"/>
  <c r="F26" i="27"/>
  <c r="F22" i="27"/>
  <c r="D25" i="27"/>
  <c r="D20" i="27"/>
  <c r="D20" i="26"/>
  <c r="D20" i="25"/>
  <c r="D20" i="24"/>
  <c r="D22" i="21"/>
  <c r="D20" i="20"/>
  <c r="E20" i="19"/>
  <c r="D20" i="19"/>
  <c r="D20" i="18"/>
  <c r="D24" i="16"/>
  <c r="D19" i="16"/>
  <c r="D20" i="15"/>
  <c r="E50" i="14"/>
  <c r="E43" i="14"/>
  <c r="D43" i="14"/>
  <c r="E34" i="14"/>
  <c r="D34" i="14"/>
  <c r="E22" i="14"/>
  <c r="D22" i="14"/>
  <c r="D12" i="14"/>
  <c r="D22" i="13"/>
  <c r="D14" i="13"/>
  <c r="E57" i="12"/>
  <c r="E54" i="12"/>
  <c r="E50" i="12"/>
  <c r="E46" i="12"/>
  <c r="E42" i="12"/>
  <c r="E38" i="12"/>
  <c r="E31" i="12"/>
  <c r="E21" i="12"/>
  <c r="D21" i="12"/>
  <c r="D31" i="12"/>
  <c r="D38" i="12"/>
  <c r="D42" i="12"/>
  <c r="D46" i="12"/>
  <c r="F26" i="12"/>
  <c r="E34" i="25" l="1"/>
  <c r="D41" i="43" l="1"/>
  <c r="D33" i="43"/>
  <c r="E33" i="43"/>
  <c r="F35" i="43"/>
  <c r="E43" i="40" l="1"/>
  <c r="D39" i="35" l="1"/>
  <c r="E21" i="35"/>
  <c r="F22" i="35"/>
  <c r="E38" i="34"/>
  <c r="D43" i="32"/>
  <c r="F34" i="32"/>
  <c r="D21" i="30" l="1"/>
  <c r="F22" i="30"/>
  <c r="E21" i="30"/>
  <c r="E37" i="29" l="1"/>
  <c r="D37" i="29"/>
  <c r="E39" i="28" l="1"/>
  <c r="D39" i="28"/>
  <c r="E34" i="21" l="1"/>
  <c r="D34" i="21"/>
  <c r="F35" i="21"/>
  <c r="F34" i="21" s="1"/>
  <c r="E37" i="16" l="1"/>
  <c r="D37" i="16"/>
  <c r="E29" i="16"/>
  <c r="D29" i="16"/>
  <c r="P27" i="1" l="1"/>
  <c r="F26" i="2" s="1"/>
  <c r="O26" i="1" l="1"/>
  <c r="O56" i="1" s="1"/>
  <c r="N26" i="1"/>
  <c r="N56" i="1" s="1"/>
  <c r="M26" i="1"/>
  <c r="M56" i="1" s="1"/>
  <c r="L26" i="1"/>
  <c r="L56" i="1" s="1"/>
  <c r="K26" i="1"/>
  <c r="K56" i="1" s="1"/>
  <c r="J26" i="1"/>
  <c r="J56" i="1" s="1"/>
  <c r="I26" i="1"/>
  <c r="I56" i="1" s="1"/>
  <c r="H26" i="1"/>
  <c r="H56" i="1" s="1"/>
  <c r="G26" i="1"/>
  <c r="G56" i="1" s="1"/>
  <c r="F26" i="1"/>
  <c r="F56" i="1" s="1"/>
  <c r="E26" i="1"/>
  <c r="E56" i="1" s="1"/>
  <c r="D15" i="1" l="1"/>
  <c r="D56" i="1"/>
  <c r="P56" i="1" s="1"/>
  <c r="P26" i="1"/>
  <c r="F19" i="32" l="1"/>
  <c r="F14" i="14" l="1"/>
  <c r="D41" i="52" l="1"/>
  <c r="D40" i="52"/>
  <c r="D37" i="52"/>
  <c r="D36" i="52" s="1"/>
  <c r="D35" i="52" s="1"/>
  <c r="D34" i="52"/>
  <c r="D33" i="52" s="1"/>
  <c r="D32" i="52"/>
  <c r="D31" i="52"/>
  <c r="D30" i="52"/>
  <c r="D29" i="52"/>
  <c r="D28" i="52"/>
  <c r="D26" i="52"/>
  <c r="D25" i="52"/>
  <c r="D24" i="52"/>
  <c r="D23" i="52"/>
  <c r="D22" i="52"/>
  <c r="D21" i="52"/>
  <c r="D20" i="52"/>
  <c r="D19" i="52"/>
  <c r="D18" i="52"/>
  <c r="D17" i="52"/>
  <c r="D14" i="52"/>
  <c r="D13" i="52" s="1"/>
  <c r="D12" i="52" s="1"/>
  <c r="D39" i="52" l="1"/>
  <c r="D38" i="52" s="1"/>
  <c r="D27" i="52"/>
  <c r="D16" i="52"/>
  <c r="D47" i="52"/>
  <c r="D15" i="52" l="1"/>
  <c r="D45" i="52" s="1"/>
  <c r="D46" i="52"/>
  <c r="D43" i="52" l="1"/>
  <c r="D4" i="51" l="1"/>
  <c r="D7" i="51" s="1"/>
  <c r="D38" i="50"/>
  <c r="D30" i="50"/>
  <c r="D29" i="50" s="1"/>
  <c r="D27" i="50"/>
  <c r="D26" i="50" s="1"/>
  <c r="D24" i="50"/>
  <c r="D19" i="50"/>
  <c r="D13" i="50"/>
  <c r="D47" i="44"/>
  <c r="D27" i="44"/>
  <c r="D33" i="44"/>
  <c r="E52" i="2"/>
  <c r="D4" i="10"/>
  <c r="D37" i="50" l="1"/>
  <c r="D12" i="50"/>
  <c r="D36" i="50" l="1"/>
  <c r="D34" i="50"/>
  <c r="D10" i="51" s="1"/>
  <c r="D11" i="51" s="1"/>
  <c r="D31" i="30"/>
  <c r="F27" i="30"/>
  <c r="E16" i="3" l="1"/>
  <c r="F13" i="51"/>
  <c r="E42" i="37"/>
  <c r="D42" i="37"/>
  <c r="E41" i="36"/>
  <c r="D41" i="36"/>
  <c r="E39" i="35"/>
  <c r="E41" i="26"/>
  <c r="D41" i="26"/>
  <c r="E33" i="23"/>
  <c r="D33" i="23"/>
  <c r="D37" i="22"/>
  <c r="D36" i="22"/>
  <c r="F36" i="22" s="1"/>
  <c r="D12" i="21"/>
  <c r="E40" i="19"/>
  <c r="D40" i="19"/>
  <c r="D28" i="16"/>
  <c r="E41" i="11"/>
  <c r="D41" i="11"/>
  <c r="E32" i="13"/>
  <c r="D32" i="13"/>
  <c r="E64" i="12"/>
  <c r="D64" i="12"/>
  <c r="E43" i="32"/>
  <c r="D13" i="38"/>
  <c r="F18" i="38"/>
  <c r="G16" i="3" l="1"/>
  <c r="D35" i="22"/>
  <c r="D21" i="38"/>
  <c r="D37" i="18" l="1"/>
  <c r="D12" i="18"/>
  <c r="E33" i="42" l="1"/>
  <c r="D33" i="42"/>
  <c r="E27" i="43" l="1"/>
  <c r="F28" i="35" l="1"/>
  <c r="E47" i="31" l="1"/>
  <c r="D47" i="31"/>
  <c r="E21" i="29" l="1"/>
  <c r="F33" i="28" l="1"/>
  <c r="E30" i="28"/>
  <c r="F32" i="28"/>
  <c r="D34" i="25" l="1"/>
  <c r="E26" i="24"/>
  <c r="D26" i="24"/>
  <c r="F27" i="24"/>
  <c r="F27" i="23" l="1"/>
  <c r="E33" i="15" l="1"/>
  <c r="D33" i="15"/>
  <c r="E58" i="14" l="1"/>
  <c r="D26" i="15" l="1"/>
  <c r="E26" i="15"/>
  <c r="D58" i="14" l="1"/>
  <c r="E14" i="13" l="1"/>
  <c r="F14" i="23" l="1"/>
  <c r="F14" i="41"/>
  <c r="F15" i="41"/>
  <c r="F16" i="41"/>
  <c r="E34" i="26" l="1"/>
  <c r="E25" i="26"/>
  <c r="E20" i="26"/>
  <c r="E12" i="26"/>
  <c r="C10" i="3" l="1"/>
  <c r="F48" i="2"/>
  <c r="D33" i="47"/>
  <c r="D4" i="8"/>
  <c r="D20" i="32" l="1"/>
  <c r="D21" i="7" s="1"/>
  <c r="E46" i="14" l="1"/>
  <c r="E13" i="43"/>
  <c r="E34" i="41"/>
  <c r="E22" i="41"/>
  <c r="D45" i="12"/>
  <c r="D50" i="12"/>
  <c r="D29" i="48"/>
  <c r="E13" i="32"/>
  <c r="D13" i="32"/>
  <c r="C23" i="6" s="1"/>
  <c r="F14" i="24"/>
  <c r="J23" i="6" l="1"/>
  <c r="E21" i="38"/>
  <c r="E21" i="14"/>
  <c r="K5" i="7" s="1"/>
  <c r="E41" i="43"/>
  <c r="E20" i="39"/>
  <c r="E18" i="39"/>
  <c r="D20" i="39"/>
  <c r="D18" i="39"/>
  <c r="E16" i="39"/>
  <c r="E15" i="39"/>
  <c r="E14" i="39"/>
  <c r="D16" i="39"/>
  <c r="D15" i="39"/>
  <c r="D14" i="39"/>
  <c r="D13" i="39" s="1"/>
  <c r="E31" i="39"/>
  <c r="D31" i="39"/>
  <c r="E49" i="14" l="1"/>
  <c r="E43" i="41"/>
  <c r="D43" i="41"/>
  <c r="D54" i="38" l="1"/>
  <c r="F14" i="43"/>
  <c r="F17" i="42"/>
  <c r="E31" i="26" l="1"/>
  <c r="E30" i="26" s="1"/>
  <c r="K40" i="7" s="1"/>
  <c r="D31" i="26"/>
  <c r="D30" i="26" s="1"/>
  <c r="D40" i="7" s="1"/>
  <c r="F32" i="26"/>
  <c r="F31" i="26" s="1"/>
  <c r="F30" i="26" s="1"/>
  <c r="D13" i="37"/>
  <c r="E21" i="11" l="1"/>
  <c r="D21" i="11"/>
  <c r="E18" i="22" l="1"/>
  <c r="D18" i="22"/>
  <c r="E16" i="22"/>
  <c r="D16" i="22"/>
  <c r="D15" i="22" s="1"/>
  <c r="E13" i="22"/>
  <c r="D13" i="22"/>
  <c r="D14" i="22"/>
  <c r="E41" i="21"/>
  <c r="F51" i="14"/>
  <c r="D50" i="14"/>
  <c r="F41" i="14"/>
  <c r="E12" i="22" l="1"/>
  <c r="D12" i="22"/>
  <c r="E31" i="35"/>
  <c r="D27" i="33"/>
  <c r="D37" i="33"/>
  <c r="D30" i="21"/>
  <c r="D20" i="33" l="1"/>
  <c r="D22" i="48" l="1"/>
  <c r="D21" i="48" s="1"/>
  <c r="D19" i="48"/>
  <c r="D16" i="48"/>
  <c r="D13" i="48"/>
  <c r="D26" i="47"/>
  <c r="D25" i="47" s="1"/>
  <c r="D23" i="47"/>
  <c r="D20" i="47"/>
  <c r="D13" i="47"/>
  <c r="D5" i="46"/>
  <c r="D6" i="46" s="1"/>
  <c r="G11" i="46" s="1"/>
  <c r="D4" i="45"/>
  <c r="D5" i="10"/>
  <c r="D4" i="9"/>
  <c r="K68" i="7"/>
  <c r="K67" i="7"/>
  <c r="J6" i="6"/>
  <c r="C7" i="6"/>
  <c r="D32" i="47" l="1"/>
  <c r="D28" i="48"/>
  <c r="D12" i="48"/>
  <c r="D12" i="47"/>
  <c r="D5" i="45"/>
  <c r="D31" i="47" l="1"/>
  <c r="D8" i="45" s="1"/>
  <c r="G9" i="45" s="1"/>
  <c r="D29" i="47"/>
  <c r="E18" i="3" s="1"/>
  <c r="D27" i="48"/>
  <c r="D25" i="48"/>
  <c r="F32" i="35"/>
  <c r="F33" i="35"/>
  <c r="E10" i="3" l="1"/>
  <c r="G10" i="3" s="1"/>
  <c r="D9" i="46"/>
  <c r="G18" i="3"/>
  <c r="D20" i="35"/>
  <c r="D24" i="7" s="1"/>
  <c r="E22" i="36"/>
  <c r="F32" i="36"/>
  <c r="E34" i="36"/>
  <c r="D34" i="36"/>
  <c r="D31" i="36"/>
  <c r="F31" i="36" l="1"/>
  <c r="E21" i="33"/>
  <c r="F28" i="33" l="1"/>
  <c r="F27" i="33" s="1"/>
  <c r="E27" i="33"/>
  <c r="E36" i="32" l="1"/>
  <c r="F37" i="32"/>
  <c r="E40" i="31" l="1"/>
  <c r="E39" i="31" s="1"/>
  <c r="K65" i="7" s="1"/>
  <c r="D40" i="31"/>
  <c r="D39" i="31" s="1"/>
  <c r="D65" i="7" s="1"/>
  <c r="F41" i="31"/>
  <c r="F40" i="31" s="1"/>
  <c r="F39" i="31" l="1"/>
  <c r="E38" i="30" l="1"/>
  <c r="F24" i="26" l="1"/>
  <c r="D25" i="26"/>
  <c r="D28" i="26"/>
  <c r="D34" i="26"/>
  <c r="F28" i="25" l="1"/>
  <c r="F27" i="25" s="1"/>
  <c r="F26" i="25" s="1"/>
  <c r="E27" i="25"/>
  <c r="D27" i="25"/>
  <c r="D26" i="25" s="1"/>
  <c r="D62" i="7" s="1"/>
  <c r="E26" i="25"/>
  <c r="K62" i="7" s="1"/>
  <c r="F31" i="21" l="1"/>
  <c r="F32" i="21"/>
  <c r="E30" i="21"/>
  <c r="F24" i="21"/>
  <c r="F30" i="21" l="1"/>
  <c r="E25" i="20"/>
  <c r="D25" i="20"/>
  <c r="F30" i="18" l="1"/>
  <c r="E29" i="18"/>
  <c r="D29" i="18"/>
  <c r="D28" i="18" s="1"/>
  <c r="F31" i="18"/>
  <c r="E20" i="18"/>
  <c r="F29" i="18" l="1"/>
  <c r="F28" i="18" s="1"/>
  <c r="F31" i="16"/>
  <c r="E37" i="22" l="1"/>
  <c r="E35" i="22" s="1"/>
  <c r="E34" i="22" s="1"/>
  <c r="E33" i="22"/>
  <c r="D33" i="22"/>
  <c r="D32" i="22" s="1"/>
  <c r="D31" i="22" s="1"/>
  <c r="E30" i="22"/>
  <c r="D30" i="22"/>
  <c r="E28" i="22"/>
  <c r="E27" i="22"/>
  <c r="E26" i="22" s="1"/>
  <c r="D28" i="22"/>
  <c r="D27" i="22"/>
  <c r="D26" i="22" s="1"/>
  <c r="E25" i="22"/>
  <c r="E24" i="22"/>
  <c r="E23" i="22"/>
  <c r="E22" i="22"/>
  <c r="E21" i="22"/>
  <c r="D25" i="22"/>
  <c r="D24" i="22"/>
  <c r="D23" i="22"/>
  <c r="D22" i="22"/>
  <c r="D21" i="22"/>
  <c r="F26" i="23"/>
  <c r="E25" i="23"/>
  <c r="E24" i="23" s="1"/>
  <c r="K61" i="7" s="1"/>
  <c r="D24" i="23"/>
  <c r="D61" i="7" s="1"/>
  <c r="E46" i="39"/>
  <c r="D46" i="39"/>
  <c r="E43" i="39"/>
  <c r="D43" i="39"/>
  <c r="E41" i="39"/>
  <c r="D41" i="39"/>
  <c r="E39" i="39"/>
  <c r="E38" i="39"/>
  <c r="E37" i="39"/>
  <c r="D39" i="39"/>
  <c r="D38" i="39"/>
  <c r="D37" i="39"/>
  <c r="D36" i="39" s="1"/>
  <c r="E35" i="39"/>
  <c r="E34" i="39"/>
  <c r="E33" i="39"/>
  <c r="E32" i="39"/>
  <c r="E30" i="39"/>
  <c r="E29" i="39"/>
  <c r="E28" i="39"/>
  <c r="E27" i="39"/>
  <c r="E26" i="39"/>
  <c r="E25" i="39"/>
  <c r="E24" i="39"/>
  <c r="E23" i="39"/>
  <c r="D35" i="39"/>
  <c r="D34" i="39"/>
  <c r="D33" i="39"/>
  <c r="D32" i="39"/>
  <c r="D30" i="39"/>
  <c r="D29" i="39"/>
  <c r="D28" i="39"/>
  <c r="D27" i="39"/>
  <c r="D26" i="39"/>
  <c r="D25" i="39"/>
  <c r="D24" i="39"/>
  <c r="D23" i="39"/>
  <c r="D22" i="39" s="1"/>
  <c r="E60" i="11"/>
  <c r="E59" i="11" s="1"/>
  <c r="E57" i="11"/>
  <c r="E56" i="11" s="1"/>
  <c r="E55" i="11"/>
  <c r="E54" i="11"/>
  <c r="E53" i="11"/>
  <c r="E50" i="11"/>
  <c r="E49" i="11"/>
  <c r="D60" i="11"/>
  <c r="D57" i="11"/>
  <c r="D55" i="11"/>
  <c r="D54" i="11"/>
  <c r="D53" i="11"/>
  <c r="D50" i="11"/>
  <c r="D49" i="11"/>
  <c r="E46" i="11"/>
  <c r="E45" i="11"/>
  <c r="D46" i="11"/>
  <c r="D45" i="11"/>
  <c r="E43" i="11"/>
  <c r="E42" i="11"/>
  <c r="D43" i="11"/>
  <c r="D42" i="11"/>
  <c r="E39" i="11"/>
  <c r="E38" i="11"/>
  <c r="E37" i="11"/>
  <c r="E36" i="11"/>
  <c r="E35" i="11"/>
  <c r="E34" i="11"/>
  <c r="D39" i="11"/>
  <c r="D38" i="11"/>
  <c r="D37" i="11"/>
  <c r="D36" i="11"/>
  <c r="D35" i="11"/>
  <c r="D34" i="11"/>
  <c r="E32" i="11"/>
  <c r="E31" i="11"/>
  <c r="E30" i="11"/>
  <c r="E29" i="11"/>
  <c r="E28" i="11"/>
  <c r="E27" i="11"/>
  <c r="E26" i="11"/>
  <c r="E25" i="11"/>
  <c r="E24" i="11"/>
  <c r="D32" i="11"/>
  <c r="D31" i="11"/>
  <c r="D30" i="11"/>
  <c r="D29" i="11"/>
  <c r="D28" i="11"/>
  <c r="D27" i="11"/>
  <c r="D26" i="11"/>
  <c r="D25" i="11"/>
  <c r="D24" i="11"/>
  <c r="E19" i="11"/>
  <c r="D19" i="11"/>
  <c r="E17" i="11"/>
  <c r="D17" i="11"/>
  <c r="E15" i="11"/>
  <c r="E14" i="11"/>
  <c r="E13" i="11"/>
  <c r="D15" i="11"/>
  <c r="D14" i="11"/>
  <c r="D13" i="11"/>
  <c r="E36" i="39" l="1"/>
  <c r="E22" i="39"/>
  <c r="D20" i="22"/>
  <c r="E20" i="22"/>
  <c r="E43" i="22"/>
  <c r="D66" i="11"/>
  <c r="D43" i="22"/>
  <c r="E66" i="11"/>
  <c r="F25" i="23"/>
  <c r="F24" i="23" s="1"/>
  <c r="D34" i="22"/>
  <c r="E52" i="39"/>
  <c r="D52" i="39"/>
  <c r="D44" i="11"/>
  <c r="D40" i="11"/>
  <c r="D52" i="11"/>
  <c r="E52" i="11"/>
  <c r="E51" i="11" s="1"/>
  <c r="F37" i="22"/>
  <c r="D23" i="11"/>
  <c r="F58" i="12"/>
  <c r="F57" i="12" s="1"/>
  <c r="F56" i="12" s="1"/>
  <c r="E56" i="12"/>
  <c r="K54" i="7" s="1"/>
  <c r="F55" i="12"/>
  <c r="F54" i="12" s="1"/>
  <c r="F53" i="12"/>
  <c r="F52" i="12"/>
  <c r="F51" i="12"/>
  <c r="D46" i="7"/>
  <c r="F48" i="12"/>
  <c r="F47" i="12"/>
  <c r="E45" i="12"/>
  <c r="K38" i="7" s="1"/>
  <c r="D38" i="7"/>
  <c r="F44" i="12"/>
  <c r="F43" i="12"/>
  <c r="F41" i="12"/>
  <c r="F40" i="12"/>
  <c r="F39" i="12"/>
  <c r="F37" i="12"/>
  <c r="F36" i="12"/>
  <c r="F35" i="12"/>
  <c r="F34" i="12"/>
  <c r="F33" i="12"/>
  <c r="F32" i="12"/>
  <c r="F30" i="12"/>
  <c r="F29" i="12"/>
  <c r="F28" i="12"/>
  <c r="F27" i="12"/>
  <c r="F25" i="12"/>
  <c r="F24" i="12"/>
  <c r="F23" i="12"/>
  <c r="F22" i="12"/>
  <c r="F19" i="12"/>
  <c r="F18" i="12" s="1"/>
  <c r="E18" i="12"/>
  <c r="D18" i="12"/>
  <c r="F17" i="12"/>
  <c r="F16" i="12" s="1"/>
  <c r="E16" i="12"/>
  <c r="D16" i="12"/>
  <c r="F15" i="12"/>
  <c r="F14" i="12" s="1"/>
  <c r="E14" i="12"/>
  <c r="D14" i="12"/>
  <c r="F13" i="12"/>
  <c r="E12" i="12"/>
  <c r="J5" i="6" s="1"/>
  <c r="D12" i="12"/>
  <c r="F35" i="22" l="1"/>
  <c r="F34" i="22" s="1"/>
  <c r="F64" i="12"/>
  <c r="F50" i="12"/>
  <c r="F49" i="12" s="1"/>
  <c r="D11" i="12"/>
  <c r="D60" i="12" s="1"/>
  <c r="E63" i="12"/>
  <c r="E20" i="12"/>
  <c r="K4" i="7" s="1"/>
  <c r="D54" i="7"/>
  <c r="F42" i="12"/>
  <c r="D20" i="12"/>
  <c r="F21" i="12"/>
  <c r="E49" i="12"/>
  <c r="F46" i="12"/>
  <c r="F45" i="12" s="1"/>
  <c r="F31" i="12"/>
  <c r="F38" i="12"/>
  <c r="K5" i="6"/>
  <c r="D5" i="6"/>
  <c r="C5" i="6"/>
  <c r="E11" i="12"/>
  <c r="F12" i="12"/>
  <c r="F11" i="12" s="1"/>
  <c r="D63" i="12"/>
  <c r="D4" i="7" l="1"/>
  <c r="K46" i="7"/>
  <c r="E60" i="12"/>
  <c r="E62" i="12"/>
  <c r="L5" i="6"/>
  <c r="F20" i="12"/>
  <c r="D62" i="12"/>
  <c r="C4" i="5" s="1"/>
  <c r="E5" i="6"/>
  <c r="F63" i="12"/>
  <c r="D4" i="5" l="1"/>
  <c r="F60" i="12"/>
  <c r="F62" i="12"/>
  <c r="D39" i="44"/>
  <c r="D38" i="44" s="1"/>
  <c r="D36" i="44"/>
  <c r="D35" i="44" s="1"/>
  <c r="D16" i="44"/>
  <c r="D13" i="44"/>
  <c r="D12" i="44" s="1"/>
  <c r="F34" i="43"/>
  <c r="D32" i="43"/>
  <c r="D73" i="7" s="1"/>
  <c r="F31" i="43"/>
  <c r="F30" i="43" s="1"/>
  <c r="E30" i="43"/>
  <c r="D30" i="43"/>
  <c r="F29" i="43"/>
  <c r="F28" i="43"/>
  <c r="D27" i="43"/>
  <c r="F26" i="43"/>
  <c r="F25" i="43"/>
  <c r="F24" i="43"/>
  <c r="F23" i="43"/>
  <c r="E21" i="43"/>
  <c r="F19" i="43"/>
  <c r="E18" i="43"/>
  <c r="D18" i="43"/>
  <c r="F17" i="43"/>
  <c r="E16" i="43"/>
  <c r="D16" i="43"/>
  <c r="F15" i="43"/>
  <c r="D13" i="43"/>
  <c r="F27" i="42"/>
  <c r="F26" i="42" s="1"/>
  <c r="E26" i="42"/>
  <c r="D26" i="42"/>
  <c r="F25" i="42"/>
  <c r="F24" i="42"/>
  <c r="F23" i="42"/>
  <c r="F22" i="42"/>
  <c r="E21" i="42"/>
  <c r="F19" i="42"/>
  <c r="F18" i="42" s="1"/>
  <c r="E18" i="42"/>
  <c r="D18" i="42"/>
  <c r="F16" i="42"/>
  <c r="E16" i="42"/>
  <c r="D16" i="42"/>
  <c r="F15" i="42"/>
  <c r="F14" i="42"/>
  <c r="E13" i="42"/>
  <c r="D13" i="42"/>
  <c r="C32" i="6" s="1"/>
  <c r="F37" i="41"/>
  <c r="F36" i="41" s="1"/>
  <c r="E36" i="41"/>
  <c r="E21" i="41" s="1"/>
  <c r="D36" i="41"/>
  <c r="F35" i="41"/>
  <c r="F34" i="41" s="1"/>
  <c r="D34" i="41"/>
  <c r="F33" i="41"/>
  <c r="F32" i="41"/>
  <c r="F31" i="41"/>
  <c r="F30" i="41"/>
  <c r="F29" i="41"/>
  <c r="F28" i="41"/>
  <c r="F27" i="41"/>
  <c r="F26" i="41"/>
  <c r="F25" i="41"/>
  <c r="F24" i="41"/>
  <c r="F23" i="41"/>
  <c r="F20" i="41"/>
  <c r="F19" i="41" s="1"/>
  <c r="E19" i="41"/>
  <c r="D19" i="41"/>
  <c r="F18" i="41"/>
  <c r="F17" i="41" s="1"/>
  <c r="E17" i="41"/>
  <c r="D17" i="41"/>
  <c r="E13" i="41"/>
  <c r="J31" i="6" s="1"/>
  <c r="D13" i="41"/>
  <c r="C31" i="6" s="1"/>
  <c r="F37" i="40"/>
  <c r="F36" i="40" s="1"/>
  <c r="F35" i="40" s="1"/>
  <c r="E36" i="40"/>
  <c r="E35" i="40" s="1"/>
  <c r="K72" i="7" s="1"/>
  <c r="D36" i="40"/>
  <c r="D35" i="40" s="1"/>
  <c r="D72" i="7" s="1"/>
  <c r="F34" i="40"/>
  <c r="F33" i="40" s="1"/>
  <c r="E33" i="40"/>
  <c r="E20" i="40" s="1"/>
  <c r="D33" i="40"/>
  <c r="F32" i="40"/>
  <c r="F30" i="40" s="1"/>
  <c r="F29" i="40"/>
  <c r="F28" i="40"/>
  <c r="F27" i="40"/>
  <c r="F26" i="40"/>
  <c r="F25" i="40"/>
  <c r="F24" i="40"/>
  <c r="F19" i="40"/>
  <c r="F18" i="40" s="1"/>
  <c r="E18" i="40"/>
  <c r="D18" i="40"/>
  <c r="F17" i="40"/>
  <c r="F16" i="40" s="1"/>
  <c r="E16" i="40"/>
  <c r="D16" i="40"/>
  <c r="F15" i="40"/>
  <c r="F14" i="40"/>
  <c r="E13" i="40"/>
  <c r="D13" i="40"/>
  <c r="C30" i="6" s="1"/>
  <c r="E45" i="39"/>
  <c r="E44" i="39" s="1"/>
  <c r="D45" i="39"/>
  <c r="D44" i="39" s="1"/>
  <c r="E42" i="39"/>
  <c r="D42" i="39"/>
  <c r="E40" i="39"/>
  <c r="D40" i="39"/>
  <c r="F39" i="39"/>
  <c r="F35" i="39"/>
  <c r="F32" i="39"/>
  <c r="F31" i="39"/>
  <c r="F28" i="39"/>
  <c r="F24" i="39"/>
  <c r="F23" i="39"/>
  <c r="F20" i="39"/>
  <c r="F19" i="39" s="1"/>
  <c r="E19" i="39"/>
  <c r="D19" i="39"/>
  <c r="E17" i="39"/>
  <c r="D17" i="39"/>
  <c r="F16" i="39"/>
  <c r="F15" i="39"/>
  <c r="E13" i="39"/>
  <c r="E54" i="38"/>
  <c r="F48" i="38"/>
  <c r="F47" i="38"/>
  <c r="F46" i="38"/>
  <c r="F45" i="38"/>
  <c r="F44" i="38"/>
  <c r="F43" i="38"/>
  <c r="F42" i="38"/>
  <c r="F40" i="38"/>
  <c r="F39" i="38"/>
  <c r="F38" i="38"/>
  <c r="F37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0" i="38"/>
  <c r="F19" i="38" s="1"/>
  <c r="E19" i="38"/>
  <c r="D19" i="38"/>
  <c r="F17" i="38"/>
  <c r="E17" i="38"/>
  <c r="D17" i="38"/>
  <c r="F16" i="38"/>
  <c r="F15" i="38"/>
  <c r="F14" i="38"/>
  <c r="E13" i="38"/>
  <c r="F36" i="37"/>
  <c r="E35" i="37"/>
  <c r="E34" i="37" s="1"/>
  <c r="K71" i="7" s="1"/>
  <c r="D35" i="37"/>
  <c r="D34" i="37" s="1"/>
  <c r="D71" i="7" s="1"/>
  <c r="F33" i="37"/>
  <c r="F32" i="37" s="1"/>
  <c r="E32" i="37"/>
  <c r="D32" i="37"/>
  <c r="F31" i="37"/>
  <c r="F30" i="37"/>
  <c r="E29" i="37"/>
  <c r="F28" i="37"/>
  <c r="F27" i="37"/>
  <c r="F26" i="37"/>
  <c r="F25" i="37"/>
  <c r="F24" i="37"/>
  <c r="F23" i="37"/>
  <c r="F22" i="37"/>
  <c r="E21" i="37"/>
  <c r="F19" i="37"/>
  <c r="F18" i="37" s="1"/>
  <c r="E18" i="37"/>
  <c r="D18" i="37"/>
  <c r="F17" i="37"/>
  <c r="F16" i="37" s="1"/>
  <c r="E16" i="37"/>
  <c r="D16" i="37"/>
  <c r="F15" i="37"/>
  <c r="F14" i="37"/>
  <c r="E13" i="37"/>
  <c r="C28" i="6"/>
  <c r="D13" i="36"/>
  <c r="E13" i="36"/>
  <c r="F14" i="36"/>
  <c r="F15" i="36"/>
  <c r="F16" i="36"/>
  <c r="D17" i="36"/>
  <c r="E17" i="36"/>
  <c r="F18" i="36"/>
  <c r="D19" i="36"/>
  <c r="E19" i="36"/>
  <c r="F20" i="36"/>
  <c r="F23" i="36"/>
  <c r="F24" i="36"/>
  <c r="F25" i="36"/>
  <c r="F26" i="36"/>
  <c r="F27" i="36"/>
  <c r="F28" i="36"/>
  <c r="D29" i="36"/>
  <c r="E29" i="36"/>
  <c r="F30" i="36"/>
  <c r="F29" i="36" s="1"/>
  <c r="E31" i="36"/>
  <c r="D33" i="36"/>
  <c r="D70" i="7" s="1"/>
  <c r="E33" i="36"/>
  <c r="K70" i="7" s="1"/>
  <c r="F35" i="36"/>
  <c r="F34" i="36" s="1"/>
  <c r="E30" i="35"/>
  <c r="K69" i="7" s="1"/>
  <c r="D30" i="35"/>
  <c r="D69" i="7" s="1"/>
  <c r="F29" i="35"/>
  <c r="F27" i="35"/>
  <c r="E26" i="35"/>
  <c r="E20" i="35" s="1"/>
  <c r="K24" i="7" s="1"/>
  <c r="F25" i="35"/>
  <c r="F24" i="35"/>
  <c r="F23" i="35"/>
  <c r="F19" i="35"/>
  <c r="F18" i="35" s="1"/>
  <c r="E18" i="35"/>
  <c r="D18" i="35"/>
  <c r="F17" i="35"/>
  <c r="F16" i="35" s="1"/>
  <c r="E16" i="35"/>
  <c r="D16" i="35"/>
  <c r="F15" i="35"/>
  <c r="F14" i="35"/>
  <c r="E13" i="35"/>
  <c r="D13" i="35"/>
  <c r="D38" i="34"/>
  <c r="F32" i="34"/>
  <c r="D31" i="34"/>
  <c r="D30" i="34" s="1"/>
  <c r="D68" i="7" s="1"/>
  <c r="F29" i="34"/>
  <c r="F28" i="34" s="1"/>
  <c r="E28" i="34"/>
  <c r="D28" i="34"/>
  <c r="D20" i="34" s="1"/>
  <c r="D23" i="7" s="1"/>
  <c r="F27" i="34"/>
  <c r="F26" i="34"/>
  <c r="F25" i="34"/>
  <c r="F24" i="34"/>
  <c r="F23" i="34"/>
  <c r="F22" i="34"/>
  <c r="E21" i="34"/>
  <c r="E20" i="34" s="1"/>
  <c r="K23" i="7" s="1"/>
  <c r="F19" i="34"/>
  <c r="F18" i="34" s="1"/>
  <c r="E18" i="34"/>
  <c r="D18" i="34"/>
  <c r="F17" i="34"/>
  <c r="F16" i="34" s="1"/>
  <c r="E16" i="34"/>
  <c r="D16" i="34"/>
  <c r="F15" i="34"/>
  <c r="F14" i="34"/>
  <c r="E13" i="34"/>
  <c r="D13" i="34"/>
  <c r="E37" i="33"/>
  <c r="F31" i="33"/>
  <c r="F30" i="33" s="1"/>
  <c r="F29" i="33" s="1"/>
  <c r="D30" i="33"/>
  <c r="D29" i="33" s="1"/>
  <c r="D67" i="7" s="1"/>
  <c r="F25" i="33"/>
  <c r="F24" i="33"/>
  <c r="F23" i="33"/>
  <c r="F22" i="33"/>
  <c r="E20" i="33"/>
  <c r="K22" i="7" s="1"/>
  <c r="F19" i="33"/>
  <c r="F18" i="33" s="1"/>
  <c r="E18" i="33"/>
  <c r="D18" i="33"/>
  <c r="F17" i="33"/>
  <c r="F16" i="33" s="1"/>
  <c r="E16" i="33"/>
  <c r="D16" i="33"/>
  <c r="F15" i="33"/>
  <c r="F14" i="33"/>
  <c r="E13" i="33"/>
  <c r="D13" i="33"/>
  <c r="E35" i="32"/>
  <c r="K66" i="7" s="1"/>
  <c r="D35" i="32"/>
  <c r="F33" i="32"/>
  <c r="F32" i="32"/>
  <c r="F31" i="32" s="1"/>
  <c r="F30" i="32"/>
  <c r="F29" i="32"/>
  <c r="F28" i="32"/>
  <c r="F27" i="32"/>
  <c r="F26" i="32"/>
  <c r="F25" i="32"/>
  <c r="F24" i="32"/>
  <c r="F23" i="32"/>
  <c r="F22" i="32"/>
  <c r="F18" i="32"/>
  <c r="E18" i="32"/>
  <c r="D18" i="32"/>
  <c r="F17" i="32"/>
  <c r="F16" i="32" s="1"/>
  <c r="E16" i="32"/>
  <c r="D16" i="32"/>
  <c r="F15" i="32"/>
  <c r="F14" i="32"/>
  <c r="F38" i="31"/>
  <c r="F37" i="31"/>
  <c r="F36" i="31"/>
  <c r="F35" i="31"/>
  <c r="F33" i="31"/>
  <c r="F32" i="31"/>
  <c r="F31" i="31"/>
  <c r="F30" i="31" s="1"/>
  <c r="F29" i="31"/>
  <c r="F28" i="31"/>
  <c r="F27" i="31"/>
  <c r="F26" i="31"/>
  <c r="F25" i="31"/>
  <c r="F24" i="31"/>
  <c r="F23" i="31"/>
  <c r="F22" i="31"/>
  <c r="F21" i="31" s="1"/>
  <c r="F19" i="31"/>
  <c r="F18" i="31" s="1"/>
  <c r="E18" i="31"/>
  <c r="D18" i="31"/>
  <c r="F17" i="31"/>
  <c r="F16" i="31" s="1"/>
  <c r="E16" i="31"/>
  <c r="D16" i="31"/>
  <c r="F15" i="31"/>
  <c r="F14" i="31"/>
  <c r="E13" i="31"/>
  <c r="D13" i="31"/>
  <c r="F32" i="30"/>
  <c r="F31" i="30" s="1"/>
  <c r="E31" i="30"/>
  <c r="F30" i="30"/>
  <c r="F29" i="30"/>
  <c r="F28" i="30"/>
  <c r="F26" i="30"/>
  <c r="F25" i="30"/>
  <c r="F24" i="30"/>
  <c r="F23" i="30"/>
  <c r="F19" i="30"/>
  <c r="F18" i="30" s="1"/>
  <c r="E18" i="30"/>
  <c r="D18" i="30"/>
  <c r="F17" i="30"/>
  <c r="F16" i="30" s="1"/>
  <c r="E16" i="30"/>
  <c r="D16" i="30"/>
  <c r="F15" i="30"/>
  <c r="E13" i="30"/>
  <c r="D13" i="30"/>
  <c r="F31" i="29"/>
  <c r="F30" i="29" s="1"/>
  <c r="F29" i="29" s="1"/>
  <c r="E30" i="29"/>
  <c r="E29" i="29" s="1"/>
  <c r="K64" i="7" s="1"/>
  <c r="D30" i="29"/>
  <c r="D29" i="29" s="1"/>
  <c r="D64" i="7" s="1"/>
  <c r="F28" i="29"/>
  <c r="F27" i="29"/>
  <c r="E26" i="29"/>
  <c r="D26" i="29"/>
  <c r="D20" i="29" s="1"/>
  <c r="F25" i="29"/>
  <c r="F24" i="29"/>
  <c r="F23" i="29"/>
  <c r="F22" i="29"/>
  <c r="F19" i="29"/>
  <c r="F18" i="29" s="1"/>
  <c r="E18" i="29"/>
  <c r="D18" i="29"/>
  <c r="F17" i="29"/>
  <c r="F16" i="29" s="1"/>
  <c r="E16" i="29"/>
  <c r="D16" i="29"/>
  <c r="F15" i="29"/>
  <c r="F14" i="29"/>
  <c r="E13" i="29"/>
  <c r="D13" i="29"/>
  <c r="F31" i="28"/>
  <c r="F30" i="28" s="1"/>
  <c r="D30" i="28"/>
  <c r="F29" i="28"/>
  <c r="F28" i="28"/>
  <c r="F27" i="28"/>
  <c r="F26" i="28"/>
  <c r="F25" i="28"/>
  <c r="F24" i="28"/>
  <c r="F23" i="28"/>
  <c r="F22" i="28"/>
  <c r="E21" i="28"/>
  <c r="F19" i="28"/>
  <c r="F18" i="28" s="1"/>
  <c r="E18" i="28"/>
  <c r="D18" i="28"/>
  <c r="F17" i="28"/>
  <c r="F16" i="28" s="1"/>
  <c r="E16" i="28"/>
  <c r="D16" i="28"/>
  <c r="F15" i="28"/>
  <c r="F14" i="28"/>
  <c r="F13" i="28"/>
  <c r="E12" i="28"/>
  <c r="D12" i="28"/>
  <c r="F27" i="27"/>
  <c r="F25" i="27" s="1"/>
  <c r="E25" i="27"/>
  <c r="F24" i="27"/>
  <c r="F23" i="27"/>
  <c r="F21" i="27"/>
  <c r="E20" i="27"/>
  <c r="F18" i="27"/>
  <c r="F17" i="27" s="1"/>
  <c r="E17" i="27"/>
  <c r="D17" i="27"/>
  <c r="F16" i="27"/>
  <c r="F15" i="27" s="1"/>
  <c r="E15" i="27"/>
  <c r="D15" i="27"/>
  <c r="F14" i="27"/>
  <c r="F13" i="27"/>
  <c r="E12" i="27"/>
  <c r="D12" i="27"/>
  <c r="F35" i="26"/>
  <c r="E33" i="26"/>
  <c r="D33" i="26"/>
  <c r="D63" i="7" s="1"/>
  <c r="F29" i="26"/>
  <c r="F28" i="26" s="1"/>
  <c r="E28" i="26"/>
  <c r="F27" i="26"/>
  <c r="F26" i="26"/>
  <c r="F23" i="26"/>
  <c r="F22" i="26"/>
  <c r="F21" i="26"/>
  <c r="F18" i="26"/>
  <c r="F17" i="26" s="1"/>
  <c r="E17" i="26"/>
  <c r="F16" i="26"/>
  <c r="F15" i="26" s="1"/>
  <c r="E15" i="26"/>
  <c r="D15" i="26"/>
  <c r="F14" i="26"/>
  <c r="F13" i="26"/>
  <c r="J17" i="6"/>
  <c r="D12" i="26"/>
  <c r="F25" i="25"/>
  <c r="F24" i="25" s="1"/>
  <c r="E24" i="25"/>
  <c r="D24" i="25"/>
  <c r="D19" i="25" s="1"/>
  <c r="F23" i="25"/>
  <c r="F22" i="25"/>
  <c r="F21" i="25"/>
  <c r="E20" i="25"/>
  <c r="E19" i="25" s="1"/>
  <c r="F18" i="25"/>
  <c r="F17" i="25" s="1"/>
  <c r="E17" i="25"/>
  <c r="D17" i="25"/>
  <c r="F16" i="25"/>
  <c r="F15" i="25" s="1"/>
  <c r="E15" i="25"/>
  <c r="D15" i="25"/>
  <c r="F14" i="25"/>
  <c r="F13" i="25"/>
  <c r="E12" i="25"/>
  <c r="D12" i="25"/>
  <c r="F33" i="24"/>
  <c r="F32" i="24" s="1"/>
  <c r="F31" i="24" s="1"/>
  <c r="E32" i="24"/>
  <c r="E31" i="24" s="1"/>
  <c r="K39" i="7" s="1"/>
  <c r="D32" i="24"/>
  <c r="D31" i="24" s="1"/>
  <c r="D39" i="7" s="1"/>
  <c r="D41" i="7" s="1"/>
  <c r="F30" i="24"/>
  <c r="F29" i="24" s="1"/>
  <c r="E29" i="24"/>
  <c r="D29" i="24"/>
  <c r="F28" i="24"/>
  <c r="F26" i="24" s="1"/>
  <c r="F25" i="24"/>
  <c r="F24" i="24"/>
  <c r="F23" i="24"/>
  <c r="F22" i="24"/>
  <c r="F21" i="24"/>
  <c r="E20" i="24"/>
  <c r="F18" i="24"/>
  <c r="F17" i="24" s="1"/>
  <c r="E17" i="24"/>
  <c r="D17" i="24"/>
  <c r="F16" i="24"/>
  <c r="F15" i="24" s="1"/>
  <c r="E15" i="24"/>
  <c r="D15" i="24"/>
  <c r="F13" i="24"/>
  <c r="E12" i="24"/>
  <c r="D12" i="24"/>
  <c r="C16" i="6" s="1"/>
  <c r="F23" i="23"/>
  <c r="F22" i="23"/>
  <c r="F21" i="23"/>
  <c r="E20" i="23"/>
  <c r="E19" i="23" s="1"/>
  <c r="K13" i="7" s="1"/>
  <c r="D20" i="23"/>
  <c r="F18" i="23"/>
  <c r="F17" i="23" s="1"/>
  <c r="E17" i="23"/>
  <c r="D17" i="23"/>
  <c r="F16" i="23"/>
  <c r="F15" i="23" s="1"/>
  <c r="E15" i="23"/>
  <c r="D15" i="23"/>
  <c r="F13" i="23"/>
  <c r="E12" i="23"/>
  <c r="D12" i="23"/>
  <c r="C15" i="6" s="1"/>
  <c r="E32" i="22"/>
  <c r="E31" i="22" s="1"/>
  <c r="D29" i="22"/>
  <c r="D19" i="22" s="1"/>
  <c r="E29" i="22"/>
  <c r="E19" i="22" s="1"/>
  <c r="F28" i="22"/>
  <c r="F27" i="22"/>
  <c r="F26" i="22" s="1"/>
  <c r="F25" i="22"/>
  <c r="F24" i="22"/>
  <c r="F23" i="22"/>
  <c r="F22" i="22"/>
  <c r="F21" i="22"/>
  <c r="F18" i="22"/>
  <c r="F17" i="22" s="1"/>
  <c r="E17" i="22"/>
  <c r="E15" i="22"/>
  <c r="F14" i="22"/>
  <c r="F13" i="22"/>
  <c r="K60" i="7"/>
  <c r="F29" i="21"/>
  <c r="F28" i="21"/>
  <c r="F27" i="21"/>
  <c r="F26" i="21"/>
  <c r="F25" i="21"/>
  <c r="F23" i="21"/>
  <c r="E22" i="21"/>
  <c r="E21" i="21" s="1"/>
  <c r="F20" i="21"/>
  <c r="F19" i="21" s="1"/>
  <c r="E19" i="21"/>
  <c r="D19" i="21"/>
  <c r="F18" i="21"/>
  <c r="F17" i="21" s="1"/>
  <c r="E17" i="21"/>
  <c r="D17" i="21"/>
  <c r="F16" i="21"/>
  <c r="E15" i="21"/>
  <c r="D15" i="21"/>
  <c r="F14" i="21"/>
  <c r="F13" i="21"/>
  <c r="E12" i="21"/>
  <c r="E36" i="20"/>
  <c r="F30" i="20"/>
  <c r="D29" i="20"/>
  <c r="F29" i="20" s="1"/>
  <c r="F28" i="20"/>
  <c r="F27" i="20"/>
  <c r="F26" i="20"/>
  <c r="F24" i="20"/>
  <c r="F23" i="20"/>
  <c r="F22" i="20"/>
  <c r="F21" i="20"/>
  <c r="E20" i="20"/>
  <c r="E19" i="20" s="1"/>
  <c r="K10" i="7" s="1"/>
  <c r="F18" i="20"/>
  <c r="F17" i="20" s="1"/>
  <c r="E17" i="20"/>
  <c r="D17" i="20"/>
  <c r="F16" i="20"/>
  <c r="F15" i="20" s="1"/>
  <c r="E15" i="20"/>
  <c r="D15" i="20"/>
  <c r="F14" i="20"/>
  <c r="F13" i="20"/>
  <c r="E12" i="20"/>
  <c r="D12" i="20"/>
  <c r="F34" i="19"/>
  <c r="F33" i="19" s="1"/>
  <c r="F32" i="19" s="1"/>
  <c r="E33" i="19"/>
  <c r="E32" i="19" s="1"/>
  <c r="K59" i="7" s="1"/>
  <c r="D33" i="19"/>
  <c r="D32" i="19" s="1"/>
  <c r="D59" i="7" s="1"/>
  <c r="F31" i="19"/>
  <c r="F30" i="19" s="1"/>
  <c r="E30" i="19"/>
  <c r="D30" i="19"/>
  <c r="F29" i="19"/>
  <c r="E28" i="19"/>
  <c r="E19" i="19" s="1"/>
  <c r="D28" i="19"/>
  <c r="F27" i="19"/>
  <c r="F26" i="19"/>
  <c r="F25" i="19"/>
  <c r="F24" i="19"/>
  <c r="F23" i="19"/>
  <c r="F22" i="19"/>
  <c r="F21" i="19"/>
  <c r="F18" i="19"/>
  <c r="F17" i="19" s="1"/>
  <c r="E17" i="19"/>
  <c r="D17" i="19"/>
  <c r="F16" i="19"/>
  <c r="F15" i="19" s="1"/>
  <c r="E15" i="19"/>
  <c r="D15" i="19"/>
  <c r="F14" i="19"/>
  <c r="F13" i="19"/>
  <c r="E12" i="19"/>
  <c r="D12" i="19"/>
  <c r="E37" i="18"/>
  <c r="E28" i="18"/>
  <c r="K58" i="7" s="1"/>
  <c r="D58" i="7"/>
  <c r="F27" i="18"/>
  <c r="F26" i="18" s="1"/>
  <c r="E26" i="18"/>
  <c r="D26" i="18"/>
  <c r="F25" i="18"/>
  <c r="F24" i="18" s="1"/>
  <c r="E24" i="18"/>
  <c r="D24" i="18"/>
  <c r="F23" i="18"/>
  <c r="F22" i="18"/>
  <c r="F21" i="18"/>
  <c r="E19" i="18"/>
  <c r="K8" i="7" s="1"/>
  <c r="F18" i="18"/>
  <c r="F17" i="18" s="1"/>
  <c r="E17" i="18"/>
  <c r="D17" i="18"/>
  <c r="F16" i="18"/>
  <c r="F15" i="18" s="1"/>
  <c r="E15" i="18"/>
  <c r="D15" i="18"/>
  <c r="F14" i="18"/>
  <c r="F13" i="18"/>
  <c r="E12" i="18"/>
  <c r="J10" i="6" s="1"/>
  <c r="F30" i="16"/>
  <c r="F29" i="16" s="1"/>
  <c r="F28" i="16" s="1"/>
  <c r="E28" i="16"/>
  <c r="K57" i="7" s="1"/>
  <c r="D57" i="7"/>
  <c r="F27" i="16"/>
  <c r="F26" i="16" s="1"/>
  <c r="E26" i="16"/>
  <c r="D26" i="16"/>
  <c r="F25" i="16"/>
  <c r="F24" i="16" s="1"/>
  <c r="E24" i="16"/>
  <c r="F22" i="16"/>
  <c r="F21" i="16"/>
  <c r="F20" i="16"/>
  <c r="E19" i="16"/>
  <c r="F17" i="16"/>
  <c r="F16" i="16" s="1"/>
  <c r="E16" i="16"/>
  <c r="D16" i="16"/>
  <c r="F15" i="16"/>
  <c r="F14" i="16" s="1"/>
  <c r="E14" i="16"/>
  <c r="D14" i="16"/>
  <c r="F13" i="16"/>
  <c r="F12" i="16"/>
  <c r="E11" i="16"/>
  <c r="J9" i="6" s="1"/>
  <c r="D11" i="16"/>
  <c r="F27" i="15"/>
  <c r="F26" i="15" s="1"/>
  <c r="F25" i="15" s="1"/>
  <c r="E25" i="15"/>
  <c r="K56" i="7" s="1"/>
  <c r="D25" i="15"/>
  <c r="D56" i="7" s="1"/>
  <c r="F24" i="15"/>
  <c r="F23" i="15"/>
  <c r="F22" i="15"/>
  <c r="F21" i="15"/>
  <c r="E20" i="15"/>
  <c r="E19" i="15" s="1"/>
  <c r="D19" i="15"/>
  <c r="F18" i="15"/>
  <c r="F17" i="15" s="1"/>
  <c r="E17" i="15"/>
  <c r="D17" i="15"/>
  <c r="F16" i="15"/>
  <c r="F15" i="15" s="1"/>
  <c r="E15" i="15"/>
  <c r="D15" i="15"/>
  <c r="F14" i="15"/>
  <c r="F13" i="15"/>
  <c r="E12" i="15"/>
  <c r="D12" i="15"/>
  <c r="F52" i="14"/>
  <c r="D49" i="14"/>
  <c r="D55" i="7" s="1"/>
  <c r="F48" i="14"/>
  <c r="F47" i="14"/>
  <c r="D46" i="14"/>
  <c r="F45" i="14"/>
  <c r="F44" i="14"/>
  <c r="F42" i="14"/>
  <c r="F40" i="14"/>
  <c r="F39" i="14"/>
  <c r="F38" i="14"/>
  <c r="F37" i="14"/>
  <c r="F36" i="14"/>
  <c r="F35" i="14"/>
  <c r="F33" i="14"/>
  <c r="F32" i="14"/>
  <c r="F31" i="14"/>
  <c r="F30" i="14"/>
  <c r="F29" i="14"/>
  <c r="F28" i="14"/>
  <c r="F27" i="14"/>
  <c r="F26" i="14"/>
  <c r="F25" i="14"/>
  <c r="F24" i="14"/>
  <c r="F23" i="14"/>
  <c r="F20" i="14"/>
  <c r="F19" i="14" s="1"/>
  <c r="E19" i="14"/>
  <c r="D19" i="14"/>
  <c r="F18" i="14"/>
  <c r="F17" i="14" s="1"/>
  <c r="E17" i="14"/>
  <c r="D17" i="14"/>
  <c r="F16" i="14"/>
  <c r="F15" i="14" s="1"/>
  <c r="E15" i="14"/>
  <c r="D15" i="14"/>
  <c r="F13" i="14"/>
  <c r="E12" i="14"/>
  <c r="F26" i="13"/>
  <c r="F25" i="13"/>
  <c r="F24" i="13"/>
  <c r="F23" i="13"/>
  <c r="E22" i="13"/>
  <c r="E21" i="13" s="1"/>
  <c r="D21" i="13"/>
  <c r="F20" i="13"/>
  <c r="F19" i="13" s="1"/>
  <c r="E19" i="13"/>
  <c r="D19" i="13"/>
  <c r="F18" i="13"/>
  <c r="F17" i="13" s="1"/>
  <c r="E17" i="13"/>
  <c r="D17" i="13"/>
  <c r="F16" i="13"/>
  <c r="F15" i="13"/>
  <c r="C6" i="6"/>
  <c r="F60" i="11"/>
  <c r="F59" i="11" s="1"/>
  <c r="F58" i="11" s="1"/>
  <c r="D59" i="11"/>
  <c r="E58" i="11"/>
  <c r="D56" i="11"/>
  <c r="D51" i="11" s="1"/>
  <c r="F55" i="11"/>
  <c r="F53" i="11"/>
  <c r="F50" i="11"/>
  <c r="E48" i="11"/>
  <c r="E47" i="11" s="1"/>
  <c r="D48" i="11"/>
  <c r="D47" i="11" s="1"/>
  <c r="E44" i="11"/>
  <c r="F45" i="11"/>
  <c r="F43" i="11"/>
  <c r="F42" i="11"/>
  <c r="E40" i="11"/>
  <c r="F39" i="11"/>
  <c r="F38" i="11"/>
  <c r="F37" i="11"/>
  <c r="F36" i="11"/>
  <c r="F35" i="11"/>
  <c r="F34" i="11"/>
  <c r="D33" i="11"/>
  <c r="F32" i="11"/>
  <c r="F31" i="11"/>
  <c r="F30" i="11"/>
  <c r="F29" i="11"/>
  <c r="F28" i="11"/>
  <c r="F27" i="11"/>
  <c r="F25" i="11"/>
  <c r="E23" i="11"/>
  <c r="F21" i="11"/>
  <c r="F20" i="11" s="1"/>
  <c r="E20" i="11"/>
  <c r="D20" i="11"/>
  <c r="D18" i="11"/>
  <c r="E18" i="11"/>
  <c r="F17" i="11"/>
  <c r="E16" i="11"/>
  <c r="D16" i="11"/>
  <c r="F15" i="11"/>
  <c r="D12" i="11"/>
  <c r="F13" i="11"/>
  <c r="B10" i="9"/>
  <c r="B10" i="8"/>
  <c r="K48" i="7"/>
  <c r="D12" i="9" s="1"/>
  <c r="D48" i="7"/>
  <c r="K74" i="7" l="1"/>
  <c r="F21" i="40"/>
  <c r="F22" i="21"/>
  <c r="F22" i="38"/>
  <c r="F43" i="40"/>
  <c r="D31" i="13"/>
  <c r="F20" i="25"/>
  <c r="F39" i="28"/>
  <c r="F34" i="31"/>
  <c r="F43" i="32"/>
  <c r="F21" i="32"/>
  <c r="F21" i="35"/>
  <c r="J30" i="6"/>
  <c r="E12" i="40"/>
  <c r="F33" i="43"/>
  <c r="F32" i="43" s="1"/>
  <c r="F20" i="22"/>
  <c r="F21" i="30"/>
  <c r="F36" i="38"/>
  <c r="F41" i="38"/>
  <c r="F19" i="16"/>
  <c r="D60" i="7"/>
  <c r="F39" i="35"/>
  <c r="C21" i="6"/>
  <c r="E20" i="31"/>
  <c r="F37" i="29"/>
  <c r="E11" i="22"/>
  <c r="E39" i="22" s="1"/>
  <c r="D46" i="44"/>
  <c r="D12" i="38"/>
  <c r="F33" i="23"/>
  <c r="D11" i="6"/>
  <c r="F34" i="25"/>
  <c r="D20" i="31"/>
  <c r="D20" i="7" s="1"/>
  <c r="F32" i="13"/>
  <c r="F37" i="16"/>
  <c r="K11" i="6"/>
  <c r="F41" i="26"/>
  <c r="F21" i="29"/>
  <c r="E31" i="13"/>
  <c r="F43" i="14"/>
  <c r="C11" i="6"/>
  <c r="D39" i="19"/>
  <c r="D13" i="6"/>
  <c r="J11" i="6"/>
  <c r="L11" i="6" s="1"/>
  <c r="E39" i="19"/>
  <c r="F40" i="19"/>
  <c r="D19" i="19"/>
  <c r="D9" i="7" s="1"/>
  <c r="F41" i="36"/>
  <c r="F35" i="37"/>
  <c r="F34" i="37" s="1"/>
  <c r="F42" i="37"/>
  <c r="E12" i="32"/>
  <c r="E42" i="32"/>
  <c r="D12" i="32"/>
  <c r="D42" i="32"/>
  <c r="E40" i="26"/>
  <c r="F58" i="14"/>
  <c r="F37" i="18"/>
  <c r="E20" i="42"/>
  <c r="K30" i="7" s="1"/>
  <c r="E32" i="42"/>
  <c r="F33" i="42"/>
  <c r="E46" i="31"/>
  <c r="F47" i="31"/>
  <c r="C22" i="6"/>
  <c r="D46" i="31"/>
  <c r="E36" i="29"/>
  <c r="C20" i="6"/>
  <c r="D36" i="29"/>
  <c r="D33" i="25"/>
  <c r="E33" i="25"/>
  <c r="E11" i="24"/>
  <c r="D12" i="6"/>
  <c r="D10" i="6"/>
  <c r="J8" i="6"/>
  <c r="E32" i="15"/>
  <c r="F33" i="15"/>
  <c r="C8" i="6"/>
  <c r="D32" i="15"/>
  <c r="F16" i="11"/>
  <c r="D32" i="42"/>
  <c r="D20" i="42"/>
  <c r="D30" i="7" s="1"/>
  <c r="E32" i="43"/>
  <c r="K73" i="7" s="1"/>
  <c r="F21" i="33"/>
  <c r="F20" i="33" s="1"/>
  <c r="F26" i="29"/>
  <c r="D14" i="6"/>
  <c r="E13" i="13"/>
  <c r="J7" i="6"/>
  <c r="E11" i="14"/>
  <c r="E54" i="14" s="1"/>
  <c r="D6" i="5" s="1"/>
  <c r="F11" i="16"/>
  <c r="F10" i="16" s="1"/>
  <c r="J12" i="6"/>
  <c r="E11" i="20"/>
  <c r="E34" i="20" s="1"/>
  <c r="E32" i="23"/>
  <c r="E11" i="23"/>
  <c r="E11" i="27"/>
  <c r="J22" i="6"/>
  <c r="E12" i="31"/>
  <c r="F13" i="34"/>
  <c r="F12" i="34" s="1"/>
  <c r="E21" i="36"/>
  <c r="K25" i="7" s="1"/>
  <c r="E20" i="43"/>
  <c r="E12" i="43"/>
  <c r="E12" i="42"/>
  <c r="D21" i="41"/>
  <c r="D29" i="7" s="1"/>
  <c r="J28" i="6"/>
  <c r="E12" i="37"/>
  <c r="E12" i="36"/>
  <c r="J27" i="6"/>
  <c r="C27" i="6"/>
  <c r="D40" i="36"/>
  <c r="D12" i="36"/>
  <c r="E12" i="35"/>
  <c r="E35" i="35" s="1"/>
  <c r="E12" i="34"/>
  <c r="E34" i="34" s="1"/>
  <c r="D24" i="5" s="1"/>
  <c r="E12" i="33"/>
  <c r="E33" i="33" s="1"/>
  <c r="D23" i="5" s="1"/>
  <c r="D23" i="6"/>
  <c r="E23" i="6" s="1"/>
  <c r="K23" i="6"/>
  <c r="L23" i="6" s="1"/>
  <c r="J21" i="6"/>
  <c r="E12" i="30"/>
  <c r="J20" i="6"/>
  <c r="E12" i="29"/>
  <c r="D20" i="6"/>
  <c r="E11" i="28"/>
  <c r="D18" i="6"/>
  <c r="C14" i="6"/>
  <c r="D11" i="25"/>
  <c r="J14" i="6"/>
  <c r="E11" i="25"/>
  <c r="E30" i="25" s="1"/>
  <c r="E11" i="21"/>
  <c r="E37" i="21" s="1"/>
  <c r="D12" i="5" s="1"/>
  <c r="K32" i="7"/>
  <c r="J29" i="6"/>
  <c r="E12" i="38"/>
  <c r="E50" i="38" s="1"/>
  <c r="E53" i="38"/>
  <c r="F31" i="34"/>
  <c r="F30" i="34" s="1"/>
  <c r="F43" i="41"/>
  <c r="C29" i="6"/>
  <c r="D53" i="38"/>
  <c r="E12" i="39"/>
  <c r="F31" i="35"/>
  <c r="F30" i="35" s="1"/>
  <c r="C33" i="6"/>
  <c r="D12" i="43"/>
  <c r="D40" i="43"/>
  <c r="J33" i="6"/>
  <c r="E40" i="43"/>
  <c r="K32" i="6"/>
  <c r="F54" i="38"/>
  <c r="K22" i="6"/>
  <c r="J19" i="6"/>
  <c r="E38" i="28"/>
  <c r="C19" i="6"/>
  <c r="D38" i="28"/>
  <c r="F20" i="15"/>
  <c r="F19" i="15" s="1"/>
  <c r="F18" i="43"/>
  <c r="F16" i="43"/>
  <c r="D29" i="6"/>
  <c r="K29" i="6"/>
  <c r="D20" i="28"/>
  <c r="D17" i="7" s="1"/>
  <c r="F26" i="35"/>
  <c r="F46" i="14"/>
  <c r="F34" i="14"/>
  <c r="K10" i="6"/>
  <c r="L10" i="6" s="1"/>
  <c r="K13" i="6"/>
  <c r="C17" i="6"/>
  <c r="D40" i="26"/>
  <c r="F20" i="26"/>
  <c r="F21" i="34"/>
  <c r="F20" i="34" s="1"/>
  <c r="K28" i="6"/>
  <c r="F22" i="36"/>
  <c r="K27" i="6"/>
  <c r="D28" i="6"/>
  <c r="E28" i="6" s="1"/>
  <c r="D12" i="37"/>
  <c r="D8" i="6"/>
  <c r="F20" i="23"/>
  <c r="F19" i="23" s="1"/>
  <c r="D24" i="6"/>
  <c r="F13" i="40"/>
  <c r="F12" i="40" s="1"/>
  <c r="K28" i="7"/>
  <c r="F22" i="41"/>
  <c r="F21" i="41" s="1"/>
  <c r="D6" i="6"/>
  <c r="E6" i="6" s="1"/>
  <c r="K8" i="6"/>
  <c r="E18" i="16"/>
  <c r="K7" i="7" s="1"/>
  <c r="D21" i="21"/>
  <c r="D11" i="7" s="1"/>
  <c r="J16" i="6"/>
  <c r="K41" i="7"/>
  <c r="D11" i="9" s="1"/>
  <c r="F25" i="26"/>
  <c r="D21" i="6"/>
  <c r="E21" i="6" s="1"/>
  <c r="K6" i="6"/>
  <c r="L6" i="6" s="1"/>
  <c r="K7" i="6"/>
  <c r="F50" i="14"/>
  <c r="F49" i="14" s="1"/>
  <c r="F18" i="16"/>
  <c r="F34" i="26"/>
  <c r="F33" i="26" s="1"/>
  <c r="E20" i="29"/>
  <c r="K18" i="7" s="1"/>
  <c r="E20" i="37"/>
  <c r="K26" i="7" s="1"/>
  <c r="F29" i="37"/>
  <c r="K30" i="6"/>
  <c r="L30" i="6" s="1"/>
  <c r="F21" i="42"/>
  <c r="K63" i="7"/>
  <c r="D11" i="8"/>
  <c r="G9" i="4"/>
  <c r="D12" i="8"/>
  <c r="D26" i="6"/>
  <c r="F20" i="18"/>
  <c r="F19" i="18" s="1"/>
  <c r="F22" i="14"/>
  <c r="K33" i="6"/>
  <c r="D33" i="6"/>
  <c r="D27" i="6"/>
  <c r="D32" i="6"/>
  <c r="E32" i="6" s="1"/>
  <c r="J32" i="6"/>
  <c r="K31" i="6"/>
  <c r="L31" i="6" s="1"/>
  <c r="D31" i="6"/>
  <c r="E31" i="6" s="1"/>
  <c r="D42" i="41"/>
  <c r="E42" i="41"/>
  <c r="D30" i="6"/>
  <c r="E30" i="6" s="1"/>
  <c r="K26" i="6"/>
  <c r="J26" i="6"/>
  <c r="E38" i="35"/>
  <c r="D38" i="35"/>
  <c r="C26" i="6"/>
  <c r="K25" i="6"/>
  <c r="D25" i="6"/>
  <c r="E37" i="34"/>
  <c r="J25" i="6"/>
  <c r="D12" i="34"/>
  <c r="D36" i="34" s="1"/>
  <c r="C24" i="5" s="1"/>
  <c r="C25" i="6"/>
  <c r="K24" i="6"/>
  <c r="F37" i="33"/>
  <c r="J24" i="6"/>
  <c r="D12" i="33"/>
  <c r="D33" i="33" s="1"/>
  <c r="D36" i="33"/>
  <c r="C24" i="6"/>
  <c r="F13" i="33"/>
  <c r="D22" i="6"/>
  <c r="K21" i="6"/>
  <c r="K20" i="6"/>
  <c r="D19" i="6"/>
  <c r="K19" i="6"/>
  <c r="K18" i="6"/>
  <c r="J18" i="6"/>
  <c r="C18" i="6"/>
  <c r="K17" i="6"/>
  <c r="L17" i="6" s="1"/>
  <c r="D17" i="6"/>
  <c r="F28" i="19"/>
  <c r="K9" i="7"/>
  <c r="F39" i="24"/>
  <c r="D38" i="24"/>
  <c r="D11" i="24"/>
  <c r="D16" i="6"/>
  <c r="E16" i="6" s="1"/>
  <c r="K16" i="6"/>
  <c r="K14" i="6"/>
  <c r="K15" i="6"/>
  <c r="D15" i="6"/>
  <c r="E15" i="6" s="1"/>
  <c r="D11" i="23"/>
  <c r="J15" i="6"/>
  <c r="D32" i="23"/>
  <c r="J13" i="6"/>
  <c r="F15" i="21"/>
  <c r="F21" i="21"/>
  <c r="C13" i="6"/>
  <c r="F12" i="21"/>
  <c r="K11" i="7"/>
  <c r="K12" i="6"/>
  <c r="C12" i="6"/>
  <c r="F12" i="19"/>
  <c r="C10" i="6"/>
  <c r="D36" i="18"/>
  <c r="D21" i="14"/>
  <c r="D7" i="6"/>
  <c r="E57" i="14"/>
  <c r="D20" i="37"/>
  <c r="D26" i="7" s="1"/>
  <c r="D10" i="16"/>
  <c r="C9" i="6"/>
  <c r="D9" i="6"/>
  <c r="D18" i="16"/>
  <c r="K9" i="6"/>
  <c r="L9" i="6" s="1"/>
  <c r="D22" i="7"/>
  <c r="D66" i="7"/>
  <c r="D20" i="40"/>
  <c r="F33" i="36"/>
  <c r="F19" i="36"/>
  <c r="F17" i="36"/>
  <c r="F13" i="36"/>
  <c r="E40" i="36"/>
  <c r="D21" i="36"/>
  <c r="D25" i="7" s="1"/>
  <c r="K6" i="7"/>
  <c r="D6" i="7"/>
  <c r="F36" i="32"/>
  <c r="E20" i="32"/>
  <c r="K21" i="7" s="1"/>
  <c r="F13" i="31"/>
  <c r="D12" i="30"/>
  <c r="E20" i="30"/>
  <c r="K19" i="7" s="1"/>
  <c r="D20" i="30"/>
  <c r="D19" i="7" s="1"/>
  <c r="E19" i="27"/>
  <c r="K16" i="7" s="1"/>
  <c r="F20" i="27"/>
  <c r="F19" i="27" s="1"/>
  <c r="D11" i="26"/>
  <c r="E11" i="26"/>
  <c r="E37" i="26" s="1"/>
  <c r="D19" i="26"/>
  <c r="D15" i="7" s="1"/>
  <c r="F19" i="25"/>
  <c r="D19" i="23"/>
  <c r="D13" i="7" s="1"/>
  <c r="D19" i="20"/>
  <c r="D10" i="7" s="1"/>
  <c r="F25" i="20"/>
  <c r="F20" i="20"/>
  <c r="D32" i="7"/>
  <c r="D22" i="11"/>
  <c r="F37" i="39"/>
  <c r="F38" i="39"/>
  <c r="F29" i="39"/>
  <c r="F30" i="39"/>
  <c r="F33" i="39"/>
  <c r="F25" i="39"/>
  <c r="F26" i="39"/>
  <c r="F27" i="39"/>
  <c r="F34" i="39"/>
  <c r="D15" i="44"/>
  <c r="D45" i="44" s="1"/>
  <c r="D20" i="43"/>
  <c r="D31" i="7" s="1"/>
  <c r="F27" i="43"/>
  <c r="F13" i="43"/>
  <c r="F22" i="43"/>
  <c r="F21" i="43" s="1"/>
  <c r="D12" i="42"/>
  <c r="F13" i="42"/>
  <c r="E12" i="41"/>
  <c r="D12" i="41"/>
  <c r="F13" i="41"/>
  <c r="F12" i="41" s="1"/>
  <c r="D12" i="40"/>
  <c r="D42" i="40"/>
  <c r="E42" i="40"/>
  <c r="D12" i="39"/>
  <c r="F43" i="39"/>
  <c r="F42" i="39" s="1"/>
  <c r="D21" i="39"/>
  <c r="F46" i="39"/>
  <c r="F45" i="39" s="1"/>
  <c r="F44" i="39" s="1"/>
  <c r="F41" i="39"/>
  <c r="F40" i="39" s="1"/>
  <c r="F18" i="39"/>
  <c r="F17" i="39" s="1"/>
  <c r="F14" i="39"/>
  <c r="F13" i="38"/>
  <c r="F21" i="37"/>
  <c r="F13" i="37"/>
  <c r="F12" i="37" s="1"/>
  <c r="E41" i="37"/>
  <c r="D41" i="37"/>
  <c r="D12" i="35"/>
  <c r="D37" i="35" s="1"/>
  <c r="C25" i="5" s="1"/>
  <c r="F13" i="35"/>
  <c r="F38" i="34"/>
  <c r="E36" i="34"/>
  <c r="D37" i="34"/>
  <c r="E36" i="33"/>
  <c r="F13" i="32"/>
  <c r="F12" i="32" s="1"/>
  <c r="D12" i="31"/>
  <c r="F20" i="30"/>
  <c r="E37" i="30"/>
  <c r="F14" i="30"/>
  <c r="D18" i="7"/>
  <c r="F13" i="29"/>
  <c r="D12" i="29"/>
  <c r="E20" i="28"/>
  <c r="F21" i="28"/>
  <c r="D11" i="28"/>
  <c r="F12" i="28"/>
  <c r="D19" i="27"/>
  <c r="D16" i="7" s="1"/>
  <c r="F12" i="27"/>
  <c r="D11" i="27"/>
  <c r="E19" i="26"/>
  <c r="K15" i="7" s="1"/>
  <c r="F12" i="26"/>
  <c r="K12" i="7"/>
  <c r="D12" i="7"/>
  <c r="F12" i="25"/>
  <c r="F33" i="25" s="1"/>
  <c r="D14" i="7"/>
  <c r="E19" i="24"/>
  <c r="K14" i="7" s="1"/>
  <c r="F20" i="24"/>
  <c r="F19" i="24" s="1"/>
  <c r="E38" i="24"/>
  <c r="F12" i="24"/>
  <c r="F11" i="24" s="1"/>
  <c r="F12" i="23"/>
  <c r="E42" i="22"/>
  <c r="F12" i="22"/>
  <c r="D17" i="22"/>
  <c r="F30" i="22"/>
  <c r="F29" i="22" s="1"/>
  <c r="F33" i="22"/>
  <c r="F32" i="22" s="1"/>
  <c r="F31" i="22" s="1"/>
  <c r="F16" i="22"/>
  <c r="F15" i="22" s="1"/>
  <c r="D11" i="21"/>
  <c r="E35" i="20"/>
  <c r="F12" i="20"/>
  <c r="D11" i="20"/>
  <c r="F20" i="19"/>
  <c r="F19" i="19" s="1"/>
  <c r="D11" i="19"/>
  <c r="E11" i="19"/>
  <c r="D19" i="18"/>
  <c r="D8" i="7" s="1"/>
  <c r="E11" i="18"/>
  <c r="F12" i="18"/>
  <c r="D11" i="18"/>
  <c r="E36" i="18"/>
  <c r="E36" i="16"/>
  <c r="E10" i="16"/>
  <c r="D36" i="16"/>
  <c r="D11" i="15"/>
  <c r="E11" i="15"/>
  <c r="E29" i="15" s="1"/>
  <c r="D7" i="5" s="1"/>
  <c r="F12" i="15"/>
  <c r="D57" i="14"/>
  <c r="D11" i="14"/>
  <c r="F12" i="14"/>
  <c r="F22" i="13"/>
  <c r="F21" i="13" s="1"/>
  <c r="D13" i="13"/>
  <c r="E28" i="13"/>
  <c r="E30" i="13"/>
  <c r="D5" i="5" s="1"/>
  <c r="F14" i="13"/>
  <c r="D11" i="11"/>
  <c r="D65" i="11"/>
  <c r="F33" i="11"/>
  <c r="F24" i="11"/>
  <c r="E33" i="11"/>
  <c r="E22" i="11" s="1"/>
  <c r="F46" i="11"/>
  <c r="F44" i="11" s="1"/>
  <c r="F54" i="11"/>
  <c r="F52" i="11" s="1"/>
  <c r="F14" i="11"/>
  <c r="F26" i="11"/>
  <c r="F41" i="11"/>
  <c r="F40" i="11" s="1"/>
  <c r="F49" i="11"/>
  <c r="F48" i="11" s="1"/>
  <c r="F47" i="11" s="1"/>
  <c r="F57" i="11"/>
  <c r="F56" i="11" s="1"/>
  <c r="E12" i="11"/>
  <c r="F12" i="11" s="1"/>
  <c r="F19" i="11"/>
  <c r="F18" i="11" s="1"/>
  <c r="G8" i="4" l="1"/>
  <c r="E10" i="6"/>
  <c r="D39" i="40"/>
  <c r="E11" i="6"/>
  <c r="F41" i="43"/>
  <c r="D74" i="7"/>
  <c r="F36" i="29"/>
  <c r="F41" i="41"/>
  <c r="F42" i="40"/>
  <c r="D28" i="7"/>
  <c r="D41" i="40"/>
  <c r="C29" i="5" s="1"/>
  <c r="D7" i="7"/>
  <c r="D33" i="16"/>
  <c r="C20" i="5"/>
  <c r="F20" i="31"/>
  <c r="E12" i="6"/>
  <c r="E22" i="6"/>
  <c r="L12" i="6"/>
  <c r="E8" i="6"/>
  <c r="L13" i="6"/>
  <c r="L24" i="6"/>
  <c r="E20" i="6"/>
  <c r="E13" i="6"/>
  <c r="F31" i="13"/>
  <c r="L8" i="6"/>
  <c r="F43" i="22"/>
  <c r="D13" i="9"/>
  <c r="F42" i="22"/>
  <c r="L19" i="6"/>
  <c r="L20" i="6"/>
  <c r="L22" i="6"/>
  <c r="L7" i="6"/>
  <c r="F11" i="19"/>
  <c r="F38" i="19" s="1"/>
  <c r="F39" i="19"/>
  <c r="L32" i="6"/>
  <c r="L14" i="6"/>
  <c r="F66" i="11"/>
  <c r="L18" i="6"/>
  <c r="L25" i="6"/>
  <c r="L16" i="6"/>
  <c r="F20" i="29"/>
  <c r="L21" i="6"/>
  <c r="L26" i="6"/>
  <c r="F32" i="23"/>
  <c r="L15" i="6"/>
  <c r="F35" i="32"/>
  <c r="F42" i="32"/>
  <c r="L28" i="6"/>
  <c r="L27" i="6"/>
  <c r="L33" i="6"/>
  <c r="L29" i="6"/>
  <c r="K34" i="6"/>
  <c r="J34" i="6"/>
  <c r="E37" i="43"/>
  <c r="D32" i="5" s="1"/>
  <c r="F12" i="31"/>
  <c r="F46" i="31"/>
  <c r="F11" i="15"/>
  <c r="F31" i="15" s="1"/>
  <c r="F32" i="15"/>
  <c r="F20" i="42"/>
  <c r="F32" i="42"/>
  <c r="F20" i="40"/>
  <c r="E33" i="29"/>
  <c r="D19" i="5" s="1"/>
  <c r="E14" i="6"/>
  <c r="D13" i="5"/>
  <c r="F36" i="16"/>
  <c r="E35" i="18"/>
  <c r="E33" i="18"/>
  <c r="D9" i="5" s="1"/>
  <c r="E31" i="23"/>
  <c r="E29" i="23"/>
  <c r="D14" i="5" s="1"/>
  <c r="D11" i="22"/>
  <c r="D39" i="22" s="1"/>
  <c r="D42" i="22"/>
  <c r="E43" i="31"/>
  <c r="D21" i="5" s="1"/>
  <c r="E37" i="35"/>
  <c r="E37" i="36"/>
  <c r="D26" i="5" s="1"/>
  <c r="E29" i="42"/>
  <c r="D31" i="5" s="1"/>
  <c r="E38" i="37"/>
  <c r="D27" i="5" s="1"/>
  <c r="F12" i="36"/>
  <c r="F40" i="36"/>
  <c r="D34" i="34"/>
  <c r="F34" i="34" s="1"/>
  <c r="F36" i="34"/>
  <c r="F37" i="34"/>
  <c r="E18" i="6"/>
  <c r="D32" i="25"/>
  <c r="C13" i="5" s="1"/>
  <c r="D30" i="25"/>
  <c r="F19" i="22"/>
  <c r="E33" i="16"/>
  <c r="D8" i="5" s="1"/>
  <c r="D16" i="5"/>
  <c r="D39" i="32"/>
  <c r="C22" i="5" s="1"/>
  <c r="K29" i="7"/>
  <c r="E39" i="41"/>
  <c r="D30" i="5" s="1"/>
  <c r="F21" i="14"/>
  <c r="D34" i="6"/>
  <c r="E7" i="6"/>
  <c r="E29" i="6"/>
  <c r="E25" i="6"/>
  <c r="F52" i="39"/>
  <c r="D50" i="39"/>
  <c r="F20" i="35"/>
  <c r="E56" i="14"/>
  <c r="D5" i="7"/>
  <c r="D54" i="14"/>
  <c r="F12" i="43"/>
  <c r="F40" i="43"/>
  <c r="D39" i="21"/>
  <c r="C12" i="5" s="1"/>
  <c r="D41" i="41"/>
  <c r="C30" i="5" s="1"/>
  <c r="E39" i="40"/>
  <c r="D27" i="7"/>
  <c r="D52" i="38"/>
  <c r="C28" i="5" s="1"/>
  <c r="D50" i="38"/>
  <c r="F53" i="38"/>
  <c r="F38" i="35"/>
  <c r="E19" i="6"/>
  <c r="D37" i="28"/>
  <c r="C18" i="5" s="1"/>
  <c r="D35" i="28"/>
  <c r="E35" i="28"/>
  <c r="D18" i="5" s="1"/>
  <c r="E37" i="28"/>
  <c r="E33" i="6"/>
  <c r="D28" i="5"/>
  <c r="E52" i="38"/>
  <c r="E17" i="6"/>
  <c r="F20" i="37"/>
  <c r="F40" i="37" s="1"/>
  <c r="D30" i="13"/>
  <c r="D37" i="26"/>
  <c r="D39" i="26"/>
  <c r="C16" i="5" s="1"/>
  <c r="F40" i="26"/>
  <c r="E26" i="6"/>
  <c r="F19" i="26"/>
  <c r="D31" i="15"/>
  <c r="C7" i="5" s="1"/>
  <c r="E41" i="22"/>
  <c r="E24" i="6"/>
  <c r="K27" i="7"/>
  <c r="E45" i="31"/>
  <c r="K20" i="7"/>
  <c r="F51" i="11"/>
  <c r="E39" i="43"/>
  <c r="K31" i="7"/>
  <c r="E27" i="6"/>
  <c r="E39" i="36"/>
  <c r="D37" i="36"/>
  <c r="C26" i="5" s="1"/>
  <c r="E41" i="41"/>
  <c r="D35" i="35"/>
  <c r="F33" i="33"/>
  <c r="E35" i="33"/>
  <c r="D35" i="33"/>
  <c r="C23" i="5" s="1"/>
  <c r="F12" i="33"/>
  <c r="F35" i="33" s="1"/>
  <c r="F36" i="33"/>
  <c r="D17" i="5"/>
  <c r="C17" i="5"/>
  <c r="E36" i="19"/>
  <c r="D10" i="5" s="1"/>
  <c r="F11" i="22"/>
  <c r="F38" i="24"/>
  <c r="E39" i="21"/>
  <c r="F11" i="21"/>
  <c r="F39" i="21" s="1"/>
  <c r="F11" i="20"/>
  <c r="C11" i="5"/>
  <c r="D38" i="19"/>
  <c r="C10" i="5" s="1"/>
  <c r="F11" i="18"/>
  <c r="F35" i="18" s="1"/>
  <c r="F36" i="18"/>
  <c r="D35" i="18"/>
  <c r="C9" i="5" s="1"/>
  <c r="D40" i="37"/>
  <c r="C27" i="5" s="1"/>
  <c r="D35" i="16"/>
  <c r="C8" i="5" s="1"/>
  <c r="E9" i="6"/>
  <c r="E21" i="39"/>
  <c r="E50" i="39" s="1"/>
  <c r="F21" i="38"/>
  <c r="D25" i="5"/>
  <c r="D39" i="36"/>
  <c r="F21" i="36"/>
  <c r="F20" i="43"/>
  <c r="D37" i="43"/>
  <c r="C32" i="5" s="1"/>
  <c r="E39" i="32"/>
  <c r="D22" i="5" s="1"/>
  <c r="F20" i="32"/>
  <c r="D45" i="31"/>
  <c r="C21" i="5" s="1"/>
  <c r="D43" i="31"/>
  <c r="E39" i="26"/>
  <c r="D31" i="23"/>
  <c r="C14" i="5" s="1"/>
  <c r="D29" i="23"/>
  <c r="E32" i="20"/>
  <c r="D11" i="5" s="1"/>
  <c r="F19" i="20"/>
  <c r="E51" i="39"/>
  <c r="F36" i="39"/>
  <c r="F22" i="39"/>
  <c r="D48" i="39"/>
  <c r="D43" i="44"/>
  <c r="E31" i="42"/>
  <c r="D39" i="43"/>
  <c r="F12" i="42"/>
  <c r="D31" i="42"/>
  <c r="C31" i="5" s="1"/>
  <c r="D29" i="42"/>
  <c r="D39" i="41"/>
  <c r="F39" i="41" s="1"/>
  <c r="F42" i="41"/>
  <c r="E41" i="40"/>
  <c r="D51" i="39"/>
  <c r="F13" i="39"/>
  <c r="F12" i="38"/>
  <c r="F41" i="37"/>
  <c r="E40" i="37"/>
  <c r="D38" i="37"/>
  <c r="F12" i="35"/>
  <c r="E41" i="32"/>
  <c r="D41" i="32"/>
  <c r="E34" i="30"/>
  <c r="D20" i="5" s="1"/>
  <c r="E36" i="30"/>
  <c r="F13" i="30"/>
  <c r="E35" i="29"/>
  <c r="F12" i="29"/>
  <c r="D35" i="29"/>
  <c r="C19" i="5" s="1"/>
  <c r="D33" i="29"/>
  <c r="F11" i="28"/>
  <c r="F11" i="27"/>
  <c r="F11" i="26"/>
  <c r="E32" i="25"/>
  <c r="F11" i="25"/>
  <c r="F32" i="25" s="1"/>
  <c r="E37" i="24"/>
  <c r="D37" i="24"/>
  <c r="C15" i="5" s="1"/>
  <c r="E35" i="24"/>
  <c r="D15" i="5" s="1"/>
  <c r="D35" i="24"/>
  <c r="F37" i="24"/>
  <c r="F11" i="23"/>
  <c r="F31" i="23" s="1"/>
  <c r="D37" i="21"/>
  <c r="F37" i="21" s="1"/>
  <c r="D36" i="19"/>
  <c r="E38" i="19"/>
  <c r="D33" i="18"/>
  <c r="E35" i="16"/>
  <c r="F35" i="16"/>
  <c r="D29" i="15"/>
  <c r="F29" i="15" s="1"/>
  <c r="E31" i="15"/>
  <c r="F57" i="14"/>
  <c r="F11" i="14"/>
  <c r="D56" i="14"/>
  <c r="C6" i="5" s="1"/>
  <c r="D28" i="13"/>
  <c r="F13" i="13"/>
  <c r="F30" i="13" s="1"/>
  <c r="F11" i="11"/>
  <c r="E65" i="11"/>
  <c r="E11" i="11"/>
  <c r="F23" i="11"/>
  <c r="F22" i="11" s="1"/>
  <c r="D64" i="11"/>
  <c r="D62" i="11"/>
  <c r="D13" i="8" l="1"/>
  <c r="G10" i="4"/>
  <c r="F35" i="29"/>
  <c r="F41" i="40"/>
  <c r="D29" i="5"/>
  <c r="D33" i="5" s="1"/>
  <c r="F39" i="40"/>
  <c r="F34" i="30"/>
  <c r="F45" i="31"/>
  <c r="F30" i="25"/>
  <c r="D10" i="10"/>
  <c r="L34" i="6"/>
  <c r="F31" i="42"/>
  <c r="F33" i="29"/>
  <c r="F37" i="35"/>
  <c r="F33" i="16"/>
  <c r="D41" i="22"/>
  <c r="F39" i="22"/>
  <c r="F38" i="37"/>
  <c r="F29" i="42"/>
  <c r="F41" i="22"/>
  <c r="F28" i="13"/>
  <c r="C5" i="5"/>
  <c r="C33" i="5" s="1"/>
  <c r="F52" i="38"/>
  <c r="F56" i="14"/>
  <c r="F35" i="28"/>
  <c r="E34" i="6"/>
  <c r="F54" i="14"/>
  <c r="D33" i="7"/>
  <c r="F39" i="26"/>
  <c r="F37" i="26"/>
  <c r="F37" i="43"/>
  <c r="K33" i="7"/>
  <c r="F39" i="36"/>
  <c r="F37" i="36"/>
  <c r="F29" i="27"/>
  <c r="F36" i="19"/>
  <c r="F29" i="23"/>
  <c r="F32" i="20"/>
  <c r="F33" i="18"/>
  <c r="E62" i="11"/>
  <c r="F62" i="11" s="1"/>
  <c r="E64" i="11"/>
  <c r="E48" i="39"/>
  <c r="F48" i="39" s="1"/>
  <c r="F50" i="38"/>
  <c r="F35" i="35"/>
  <c r="F39" i="43"/>
  <c r="F39" i="32"/>
  <c r="F41" i="32"/>
  <c r="F43" i="31"/>
  <c r="F21" i="39"/>
  <c r="F12" i="39"/>
  <c r="F51" i="39"/>
  <c r="F12" i="30"/>
  <c r="F35" i="24"/>
  <c r="F64" i="11"/>
  <c r="F65" i="11"/>
  <c r="G11" i="4" l="1"/>
  <c r="G7" i="4"/>
  <c r="G6" i="4"/>
  <c r="D10" i="9"/>
  <c r="D9" i="9"/>
  <c r="E14" i="3"/>
  <c r="D10" i="8"/>
  <c r="F50" i="39"/>
  <c r="E51" i="2"/>
  <c r="E48" i="2"/>
  <c r="F52" i="2"/>
  <c r="F51" i="2" s="1"/>
  <c r="D35" i="5" l="1"/>
  <c r="C12" i="3"/>
  <c r="N37" i="6" s="1"/>
  <c r="N40" i="6" s="1"/>
  <c r="G14" i="4"/>
  <c r="D14" i="9"/>
  <c r="E12" i="3" s="1"/>
  <c r="G14" i="3"/>
  <c r="E49" i="2"/>
  <c r="D3" i="9"/>
  <c r="D6" i="9" s="1"/>
  <c r="D10" i="4"/>
  <c r="G51" i="2"/>
  <c r="D7" i="10"/>
  <c r="F17" i="10" s="1"/>
  <c r="D11" i="4"/>
  <c r="G48" i="2"/>
  <c r="E71" i="2" l="1"/>
  <c r="G12" i="3"/>
  <c r="E72" i="2"/>
  <c r="D49" i="1" l="1"/>
  <c r="D48" i="1" s="1"/>
  <c r="E49" i="1"/>
  <c r="E48" i="1" s="1"/>
  <c r="F49" i="1"/>
  <c r="F48" i="1" s="1"/>
  <c r="G49" i="1"/>
  <c r="G48" i="1" s="1"/>
  <c r="H49" i="1"/>
  <c r="H48" i="1" s="1"/>
  <c r="I49" i="1"/>
  <c r="I48" i="1" s="1"/>
  <c r="J49" i="1"/>
  <c r="J48" i="1" s="1"/>
  <c r="K49" i="1"/>
  <c r="K48" i="1" s="1"/>
  <c r="L49" i="1"/>
  <c r="L48" i="1" s="1"/>
  <c r="M49" i="1"/>
  <c r="M48" i="1" s="1"/>
  <c r="N49" i="1"/>
  <c r="N48" i="1" s="1"/>
  <c r="O49" i="1"/>
  <c r="O48" i="1" s="1"/>
  <c r="K46" i="1"/>
  <c r="E46" i="1"/>
  <c r="F46" i="1"/>
  <c r="G46" i="1"/>
  <c r="H46" i="1"/>
  <c r="I46" i="1"/>
  <c r="J46" i="1"/>
  <c r="L46" i="1"/>
  <c r="M46" i="1"/>
  <c r="N46" i="1"/>
  <c r="O46" i="1"/>
  <c r="D46" i="1"/>
  <c r="E44" i="1"/>
  <c r="F44" i="1"/>
  <c r="G44" i="1"/>
  <c r="H44" i="1"/>
  <c r="I44" i="1"/>
  <c r="J44" i="1"/>
  <c r="K44" i="1"/>
  <c r="L44" i="1"/>
  <c r="M44" i="1"/>
  <c r="N44" i="1"/>
  <c r="O44" i="1"/>
  <c r="D44" i="1"/>
  <c r="G37" i="1"/>
  <c r="F37" i="1"/>
  <c r="E37" i="1"/>
  <c r="H37" i="1"/>
  <c r="I37" i="1"/>
  <c r="J37" i="1"/>
  <c r="K37" i="1"/>
  <c r="L37" i="1"/>
  <c r="M37" i="1"/>
  <c r="N37" i="1"/>
  <c r="O37" i="1"/>
  <c r="D37" i="1"/>
  <c r="E34" i="1"/>
  <c r="E33" i="1" s="1"/>
  <c r="F34" i="1"/>
  <c r="F33" i="1" s="1"/>
  <c r="G34" i="1"/>
  <c r="G33" i="1" s="1"/>
  <c r="H34" i="1"/>
  <c r="H33" i="1" s="1"/>
  <c r="I34" i="1"/>
  <c r="I33" i="1" s="1"/>
  <c r="J34" i="1"/>
  <c r="J33" i="1" s="1"/>
  <c r="K34" i="1"/>
  <c r="K33" i="1" s="1"/>
  <c r="L34" i="1"/>
  <c r="L33" i="1" s="1"/>
  <c r="M34" i="1"/>
  <c r="M33" i="1" s="1"/>
  <c r="N34" i="1"/>
  <c r="N33" i="1" s="1"/>
  <c r="O34" i="1"/>
  <c r="O33" i="1" s="1"/>
  <c r="D34" i="1"/>
  <c r="D33" i="1" s="1"/>
  <c r="H31" i="1"/>
  <c r="E31" i="1"/>
  <c r="F31" i="1"/>
  <c r="G31" i="1"/>
  <c r="I31" i="1"/>
  <c r="J31" i="1"/>
  <c r="K31" i="1"/>
  <c r="L31" i="1"/>
  <c r="M31" i="1"/>
  <c r="N31" i="1"/>
  <c r="O31" i="1"/>
  <c r="D31" i="1"/>
  <c r="O15" i="1"/>
  <c r="N15" i="1"/>
  <c r="M15" i="1"/>
  <c r="L15" i="1"/>
  <c r="K15" i="1"/>
  <c r="J15" i="1"/>
  <c r="I15" i="1"/>
  <c r="H15" i="1"/>
  <c r="G15" i="1"/>
  <c r="F15" i="1"/>
  <c r="E15" i="1"/>
  <c r="N9" i="1"/>
  <c r="N8" i="1" s="1"/>
  <c r="O9" i="1"/>
  <c r="O8" i="1" s="1"/>
  <c r="M9" i="1"/>
  <c r="L9" i="1"/>
  <c r="K9" i="1"/>
  <c r="K8" i="1" s="1"/>
  <c r="J9" i="1"/>
  <c r="I9" i="1"/>
  <c r="I8" i="1" s="1"/>
  <c r="H9" i="1"/>
  <c r="G9" i="1"/>
  <c r="G8" i="1" s="1"/>
  <c r="F9" i="1"/>
  <c r="F8" i="1" s="1"/>
  <c r="E9" i="1"/>
  <c r="D9" i="1"/>
  <c r="P35" i="1"/>
  <c r="F34" i="2" s="1"/>
  <c r="F33" i="2" s="1"/>
  <c r="F32" i="2" s="1"/>
  <c r="D8" i="4" s="1"/>
  <c r="P19" i="1"/>
  <c r="F18" i="2" s="1"/>
  <c r="P22" i="1"/>
  <c r="F21" i="2" s="1"/>
  <c r="P21" i="1"/>
  <c r="F20" i="2" s="1"/>
  <c r="D14" i="1" l="1"/>
  <c r="D36" i="1"/>
  <c r="L36" i="1"/>
  <c r="D55" i="1"/>
  <c r="L55" i="1"/>
  <c r="H14" i="1"/>
  <c r="G14" i="1"/>
  <c r="E55" i="1"/>
  <c r="F14" i="1"/>
  <c r="O36" i="1"/>
  <c r="E14" i="1"/>
  <c r="N36" i="1"/>
  <c r="G55" i="1"/>
  <c r="M36" i="1"/>
  <c r="M55" i="1"/>
  <c r="F36" i="1"/>
  <c r="N14" i="1"/>
  <c r="M14" i="1"/>
  <c r="E36" i="1"/>
  <c r="E8" i="1"/>
  <c r="I55" i="1"/>
  <c r="K36" i="1"/>
  <c r="J36" i="1"/>
  <c r="L8" i="1"/>
  <c r="P34" i="1"/>
  <c r="P33" i="1" s="1"/>
  <c r="J55" i="1"/>
  <c r="J14" i="1"/>
  <c r="N55" i="1"/>
  <c r="H55" i="1"/>
  <c r="L14" i="1"/>
  <c r="M8" i="1"/>
  <c r="K55" i="1"/>
  <c r="O55" i="1"/>
  <c r="I14" i="1"/>
  <c r="J8" i="1"/>
  <c r="F55" i="1"/>
  <c r="G36" i="1"/>
  <c r="D8" i="1"/>
  <c r="H8" i="1"/>
  <c r="O14" i="1"/>
  <c r="H36" i="1"/>
  <c r="K14" i="1"/>
  <c r="I36" i="1"/>
  <c r="P55" i="1" l="1"/>
  <c r="N52" i="1"/>
  <c r="G52" i="1"/>
  <c r="F52" i="1"/>
  <c r="N54" i="1"/>
  <c r="I54" i="1"/>
  <c r="G54" i="1"/>
  <c r="K54" i="1"/>
  <c r="F54" i="1"/>
  <c r="E52" i="1"/>
  <c r="E54" i="1"/>
  <c r="D52" i="1"/>
  <c r="D54" i="1"/>
  <c r="I52" i="1"/>
  <c r="K52" i="1"/>
  <c r="H52" i="1"/>
  <c r="H54" i="1"/>
  <c r="M54" i="1"/>
  <c r="M52" i="1"/>
  <c r="L52" i="1"/>
  <c r="L54" i="1"/>
  <c r="J54" i="1"/>
  <c r="J52" i="1"/>
  <c r="O54" i="1"/>
  <c r="O52" i="1"/>
  <c r="P10" i="1"/>
  <c r="F9" i="2" s="1"/>
  <c r="P11" i="1"/>
  <c r="F10" i="2" s="1"/>
  <c r="P12" i="1"/>
  <c r="F11" i="2" s="1"/>
  <c r="P13" i="1"/>
  <c r="F12" i="2" s="1"/>
  <c r="P16" i="1"/>
  <c r="P17" i="1"/>
  <c r="F16" i="2" s="1"/>
  <c r="P18" i="1"/>
  <c r="F17" i="2" s="1"/>
  <c r="P20" i="1"/>
  <c r="P23" i="1"/>
  <c r="F22" i="2" s="1"/>
  <c r="P24" i="1"/>
  <c r="F23" i="2" s="1"/>
  <c r="P25" i="1"/>
  <c r="F24" i="2" s="1"/>
  <c r="F25" i="2"/>
  <c r="P28" i="1"/>
  <c r="F27" i="2" s="1"/>
  <c r="P29" i="1"/>
  <c r="F28" i="2" s="1"/>
  <c r="P30" i="1"/>
  <c r="F29" i="2" s="1"/>
  <c r="P32" i="1"/>
  <c r="P38" i="1"/>
  <c r="F37" i="2" s="1"/>
  <c r="P39" i="1"/>
  <c r="F38" i="2" s="1"/>
  <c r="P40" i="1"/>
  <c r="F39" i="2" s="1"/>
  <c r="P41" i="1"/>
  <c r="F40" i="2" s="1"/>
  <c r="P42" i="1"/>
  <c r="F41" i="2" s="1"/>
  <c r="P43" i="1"/>
  <c r="F42" i="2" s="1"/>
  <c r="P45" i="1"/>
  <c r="P47" i="1"/>
  <c r="P50" i="1"/>
  <c r="F69" i="2" s="1"/>
  <c r="F68" i="2" l="1"/>
  <c r="F55" i="2" s="1"/>
  <c r="G55" i="2" s="1"/>
  <c r="F15" i="2"/>
  <c r="P15" i="1"/>
  <c r="P54" i="1"/>
  <c r="F19" i="2"/>
  <c r="P46" i="1"/>
  <c r="F46" i="2"/>
  <c r="F45" i="2" s="1"/>
  <c r="P31" i="1"/>
  <c r="F31" i="2"/>
  <c r="F30" i="2" s="1"/>
  <c r="P44" i="1"/>
  <c r="F44" i="2"/>
  <c r="F43" i="2" s="1"/>
  <c r="F36" i="2"/>
  <c r="F8" i="2"/>
  <c r="P49" i="1"/>
  <c r="P48" i="1" s="1"/>
  <c r="P9" i="1"/>
  <c r="P8" i="1" s="1"/>
  <c r="P37" i="1"/>
  <c r="F73" i="2" l="1"/>
  <c r="D5" i="8"/>
  <c r="F14" i="2"/>
  <c r="F13" i="2" s="1"/>
  <c r="D7" i="4" s="1"/>
  <c r="D12" i="4"/>
  <c r="P14" i="1"/>
  <c r="P36" i="1"/>
  <c r="F7" i="2"/>
  <c r="F35" i="2"/>
  <c r="D9" i="4" s="1"/>
  <c r="P52" i="1" l="1"/>
  <c r="F71" i="2"/>
  <c r="C35" i="5" s="1"/>
  <c r="F72" i="2"/>
  <c r="C8" i="3" s="1"/>
  <c r="C26" i="3" s="1"/>
  <c r="F47" i="2"/>
  <c r="K56" i="2" s="1"/>
  <c r="D6" i="4"/>
  <c r="D14" i="4" s="1"/>
  <c r="I17" i="4" s="1"/>
  <c r="D3" i="8" l="1"/>
  <c r="D6" i="8" s="1"/>
  <c r="G47" i="2"/>
  <c r="G72" i="2" l="1"/>
  <c r="G73" i="2" s="1"/>
  <c r="G71" i="2"/>
  <c r="C34" i="6" l="1"/>
  <c r="F17" i="9" l="1"/>
  <c r="D9" i="8"/>
  <c r="D14" i="8" s="1"/>
  <c r="E8" i="3" l="1"/>
  <c r="E26" i="3" s="1"/>
  <c r="F16" i="8"/>
  <c r="F30" i="3" l="1"/>
  <c r="G8" i="3"/>
  <c r="G26" i="3"/>
  <c r="F38" i="28"/>
  <c r="F20" i="28"/>
  <c r="F37" i="28" s="1"/>
</calcChain>
</file>

<file path=xl/comments1.xml><?xml version="1.0" encoding="utf-8"?>
<comments xmlns="http://schemas.openxmlformats.org/spreadsheetml/2006/main">
  <authors>
    <author>geo</author>
  </authors>
  <commentList>
    <comment ref="E69" authorId="0" shapeId="0">
      <text>
        <r>
          <rPr>
            <sz val="9"/>
            <color indexed="81"/>
            <rFont val="Tahoma"/>
            <charset val="1"/>
          </rPr>
          <t xml:space="preserve">PRESUPUESTO: ESTE SALDO CORRESPONDE A LOS FODES PENDIENTES DE JUNIO A DICIEMBRE DEL 2020, MENOS LAS DOS CUOTAS DEL PAGO DEL PRESTAMO DEL 75%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L3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50% DEL FODES 25% SEGÚN REQUERIDO POR EL SAFIM Y LA LEY DEL FODES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dato tomado del Presupuesto de Ingresos con Fondos Propios año 2016 (UATM)</t>
        </r>
      </text>
    </comment>
  </commentList>
</comments>
</file>

<file path=xl/comments4.xml><?xml version="1.0" encoding="utf-8"?>
<comments xmlns="http://schemas.openxmlformats.org/spreadsheetml/2006/main">
  <authors>
    <author>Usuario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dato tomado del Presupuesto de Ingresos con Fondos Propios año 2016 (UATM)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 descuento por préstamo</t>
        </r>
      </text>
    </comment>
  </commentList>
</comments>
</file>

<file path=xl/comments6.xml><?xml version="1.0" encoding="utf-8"?>
<comments xmlns="http://schemas.openxmlformats.org/spreadsheetml/2006/main">
  <authors>
    <author>Usuario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 descuento por préstamo</t>
        </r>
      </text>
    </comment>
  </commentList>
</comments>
</file>

<file path=xl/comments7.xml><?xml version="1.0" encoding="utf-8"?>
<comments xmlns="http://schemas.openxmlformats.org/spreadsheetml/2006/main">
  <authors>
    <author>Usuario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presupuestado por $200.00 poe cada sesion</t>
        </r>
      </text>
    </comment>
  </commentList>
</comments>
</file>

<file path=xl/comments8.xml><?xml version="1.0" encoding="utf-8"?>
<comments xmlns="http://schemas.openxmlformats.org/spreadsheetml/2006/main">
  <authors>
    <author>geo</author>
  </authors>
  <commentList>
    <comment ref="F9" authorId="0" shapeId="0">
      <text>
        <r>
          <rPr>
            <b/>
            <sz val="9"/>
            <color indexed="81"/>
            <rFont val="Tahoma"/>
            <charset val="1"/>
          </rPr>
          <t>geo:</t>
        </r>
        <r>
          <rPr>
            <sz val="9"/>
            <color indexed="81"/>
            <rFont val="Tahoma"/>
            <charset val="1"/>
          </rPr>
          <t xml:space="preserve">
no entrego presupuesto</t>
        </r>
      </text>
    </comment>
  </commentList>
</comments>
</file>

<file path=xl/sharedStrings.xml><?xml version="1.0" encoding="utf-8"?>
<sst xmlns="http://schemas.openxmlformats.org/spreadsheetml/2006/main" count="2147" uniqueCount="467">
  <si>
    <t>Total</t>
  </si>
  <si>
    <t>Cuentas por cobrar de años anteriores</t>
  </si>
  <si>
    <t>CUENTAS POR COBRAR DE AÑOS ANTERIORES</t>
  </si>
  <si>
    <t>SALDO DE AÑOS ANTERIORES</t>
  </si>
  <si>
    <t>Ingresos Diversos</t>
  </si>
  <si>
    <t>Otros Ingresos no Clasificados</t>
  </si>
  <si>
    <t>Arrendamiento de Bienes Inmuebles</t>
  </si>
  <si>
    <t>Arrendamiento de Bienes</t>
  </si>
  <si>
    <t>Otras Multas Municipales</t>
  </si>
  <si>
    <t>Multas al comercio</t>
  </si>
  <si>
    <t>Multa por Registro Civil</t>
  </si>
  <si>
    <t>Multa por Declaracion Extemporanea</t>
  </si>
  <si>
    <t>Intereses por Mora Impuestos</t>
  </si>
  <si>
    <t>Multa por Mora de Impuestos</t>
  </si>
  <si>
    <t>Multas e Intereses por Mora</t>
  </si>
  <si>
    <t>Ingresos Financieros y Otros</t>
  </si>
  <si>
    <t>Permisos y Licencias Municipales</t>
  </si>
  <si>
    <t>Derechos</t>
  </si>
  <si>
    <t>Rastro y Tiangue</t>
  </si>
  <si>
    <t>Postes Torres y Antenas</t>
  </si>
  <si>
    <t>Pavimentación</t>
  </si>
  <si>
    <t>Fiestas</t>
  </si>
  <si>
    <t>Desechos</t>
  </si>
  <si>
    <t>Cementerios Municipales</t>
  </si>
  <si>
    <t>Casetas Telefonicas</t>
  </si>
  <si>
    <t>Aseo Público</t>
  </si>
  <si>
    <t>Alumbrado Público</t>
  </si>
  <si>
    <t>Por Acceso a Lugares Publicos</t>
  </si>
  <si>
    <t>Expedición Docum. de Identificación</t>
  </si>
  <si>
    <t>Servicios de Certificación</t>
  </si>
  <si>
    <t>Tasas</t>
  </si>
  <si>
    <t>Tasas y Derechos</t>
  </si>
  <si>
    <t>Vialidad</t>
  </si>
  <si>
    <t>Servicios</t>
  </si>
  <si>
    <t>Industria</t>
  </si>
  <si>
    <t>Comercio</t>
  </si>
  <si>
    <t xml:space="preserve">Impuestos Municipales </t>
  </si>
  <si>
    <t>Impuestos</t>
  </si>
  <si>
    <t>Dic.</t>
  </si>
  <si>
    <t>Nov.</t>
  </si>
  <si>
    <t>Octubre</t>
  </si>
  <si>
    <t>Sept.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</si>
  <si>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</si>
  <si>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</si>
  <si>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</si>
  <si>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</si>
  <si>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</si>
  <si>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</si>
  <si>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</si>
  <si>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</si>
  <si>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CUENTA PRESUPUESTARIA</t>
  </si>
  <si>
    <t xml:space="preserve">CODIGO </t>
  </si>
  <si>
    <t>En Dolares de los Estados Unidos de América</t>
  </si>
  <si>
    <t>Fuente de Financiamiento: FF2 - Fondos Propios</t>
  </si>
  <si>
    <t>ALCALDIA MUNCIPAL DE PANCHIMALCO, DEPARTAMENTO DE SAN SALVADOR</t>
  </si>
  <si>
    <t>BARRIDO DE CALLES</t>
  </si>
  <si>
    <t>CHAPODA</t>
  </si>
  <si>
    <t>Ingresos por Prestación de Servicios Públicos</t>
  </si>
  <si>
    <t>Servicios Básicos</t>
  </si>
  <si>
    <t>VENTA DE BIENES Y SERVICIOS</t>
  </si>
  <si>
    <t>TOTAL RUBROS</t>
  </si>
  <si>
    <t>TOTAL CUENTAS</t>
  </si>
  <si>
    <t>TOTAL OBJETOS ESPECIFICOS</t>
  </si>
  <si>
    <t>ALCALDIA MUNICIPAL DE PANCHIMALCO</t>
  </si>
  <si>
    <t>PRESUPUESTO INSTITUCIONAL DE INGRESOS</t>
  </si>
  <si>
    <t>EN DOLARES DE LOS ESTADOS UNIDOS DE AMERICA</t>
  </si>
  <si>
    <t>RUBRO CUENTA OBJ. ESP</t>
  </si>
  <si>
    <t>ESPECIFICO</t>
  </si>
  <si>
    <t>FONDO COMUN FF 2</t>
  </si>
  <si>
    <t>TOTAL</t>
  </si>
  <si>
    <t>IMPUESTOS</t>
  </si>
  <si>
    <t>IMPUESTOS MUNICIPALES</t>
  </si>
  <si>
    <t>COMERCIO</t>
  </si>
  <si>
    <t>INDUSTRIA</t>
  </si>
  <si>
    <t>SERVICIOS</t>
  </si>
  <si>
    <t>VIALIDAD</t>
  </si>
  <si>
    <t>TASAS Y DERECHOS</t>
  </si>
  <si>
    <t>TASAS DE SERVICIOS PUBLICOS</t>
  </si>
  <si>
    <t>SERVICIOS DE CERTIFICACION</t>
  </si>
  <si>
    <t>EXPEDICION DE DOCUMENTOS DE IDENTIFICACION</t>
  </si>
  <si>
    <t>POR ACCESO A LUGARES PUBLICOS</t>
  </si>
  <si>
    <t>ALUMBRADO PUBLICO</t>
  </si>
  <si>
    <t>ASEO PUBLICO</t>
  </si>
  <si>
    <t>CASETAS TELEFONICAS</t>
  </si>
  <si>
    <t>CEMENTERIOS MUNICIPALES</t>
  </si>
  <si>
    <t>DESECHOS</t>
  </si>
  <si>
    <t>FIESTAS</t>
  </si>
  <si>
    <t>PAVIMENTACION</t>
  </si>
  <si>
    <t>POSTES, TORRES Y ANTENAS</t>
  </si>
  <si>
    <t>DERECHOS</t>
  </si>
  <si>
    <t>PERMISOS Y LICENCIAS MUNICIPALES</t>
  </si>
  <si>
    <t>INGRESOS FINANCIEROS Y OTROS</t>
  </si>
  <si>
    <t>MULTAS E INTERESES POR MORA</t>
  </si>
  <si>
    <t>MULTA POR MORA DE IMPUESTO</t>
  </si>
  <si>
    <t>INTERESES POR MORA DE IMPUESTOS</t>
  </si>
  <si>
    <t>MULTA POR DECLARACION EXTEMPORANEA</t>
  </si>
  <si>
    <t>MULTA POR REGISTRO CIVIL</t>
  </si>
  <si>
    <t>MULTAS AL COMERCIO</t>
  </si>
  <si>
    <t>OTRAS MULTAS MUNICIPALES</t>
  </si>
  <si>
    <t>ARRENDAMIENTO DE BIENES</t>
  </si>
  <si>
    <t>ARRENDAMIENTOS DE BIENES INMUEBLES</t>
  </si>
  <si>
    <t>OTROS INGRESOS NO CLASIFICADOS</t>
  </si>
  <si>
    <t>INGRESOS DIVERSOS</t>
  </si>
  <si>
    <t>SUB TOTAL DE INGRESOS</t>
  </si>
  <si>
    <t>TRANSFERENCIAS CORRIENTES</t>
  </si>
  <si>
    <t xml:space="preserve">TRANSFERENCIAS CORRIENTES DEL SECTOR PUBLICO </t>
  </si>
  <si>
    <t>TRANSFERENCIAS CORRIENTES DEL SECTOR PUBLICO 25%</t>
  </si>
  <si>
    <t>TRANSFERENCIAS DE CAPITAL</t>
  </si>
  <si>
    <t>TRANSFERENCIAS DE CAPITAL DEL SECTOR PUBLICO</t>
  </si>
  <si>
    <t>SALDO INICIALES CAJA Y BANCOS</t>
  </si>
  <si>
    <t>SALDOS INICIALES EN CAJA</t>
  </si>
  <si>
    <t>SALDO INICIAL EN BANCOS Y CUENTAS DE AHORRO CORRIENTES FONDOS PROPIOS</t>
  </si>
  <si>
    <t>SALDO INICIAL EN BANCOS 5%</t>
  </si>
  <si>
    <t>SALDO INICIAL EN BANCOS 25%</t>
  </si>
  <si>
    <t>SALDO INICIAL EN BANCOS 75%</t>
  </si>
  <si>
    <t>SALDOS INICIALES FONDOS FISDL-PFGL</t>
  </si>
  <si>
    <t>SUB TOTAL TRANSF + SALDOS INICIALES EN CAJA Y BANCOS</t>
  </si>
  <si>
    <t>TOTAL GENERAL DE INGRESOS</t>
  </si>
  <si>
    <t>FONDOS PROPIOS</t>
  </si>
  <si>
    <t xml:space="preserve">           FONDOS PROPIOS</t>
  </si>
  <si>
    <t xml:space="preserve">FONDOS FODES 25% </t>
  </si>
  <si>
    <t>PROYECTADOS FODES 25%</t>
  </si>
  <si>
    <t>FONDO FODES 75%</t>
  </si>
  <si>
    <t>PROYECTADOS FODES 75%</t>
  </si>
  <si>
    <t>EXPRESADO EN DOLARES DE LOS ESTADOS UNIDOS DE AMERICA</t>
  </si>
  <si>
    <t>INGRESOS</t>
  </si>
  <si>
    <t>EGRESOS</t>
  </si>
  <si>
    <t>REMUNERACIONES</t>
  </si>
  <si>
    <t>ADQUISICION DE BIENES Y SERVICIOS</t>
  </si>
  <si>
    <t>GASTOS FINANCIEROS Y OTROS</t>
  </si>
  <si>
    <t>INVERSIONES EN ACTIVO FIJO</t>
  </si>
  <si>
    <t>TOTAL INGRESOS</t>
  </si>
  <si>
    <t>TOTAL EGRESOS</t>
  </si>
  <si>
    <t>COD.</t>
  </si>
  <si>
    <t>UNIDADES</t>
  </si>
  <si>
    <t>FODES 25%</t>
  </si>
  <si>
    <t>CONCEJO</t>
  </si>
  <si>
    <t>DESPACHO</t>
  </si>
  <si>
    <t>SINDICATURA</t>
  </si>
  <si>
    <t>SECRETARÍA</t>
  </si>
  <si>
    <t>JURIDICO</t>
  </si>
  <si>
    <t>GERENCIA</t>
  </si>
  <si>
    <t>AUDITORIA</t>
  </si>
  <si>
    <t>RECURSOS HUMANOS</t>
  </si>
  <si>
    <t>CONTABILIDAD</t>
  </si>
  <si>
    <t>PRESUPUESTO</t>
  </si>
  <si>
    <t>TESORERIA</t>
  </si>
  <si>
    <t>UATM</t>
  </si>
  <si>
    <t>UACI</t>
  </si>
  <si>
    <t>MERCADO Y PARQUE</t>
  </si>
  <si>
    <t>REGISTRO</t>
  </si>
  <si>
    <t>CEMENTERIO</t>
  </si>
  <si>
    <t>DISTRITO 1</t>
  </si>
  <si>
    <t>PROYECTOS</t>
  </si>
  <si>
    <t>ACCESO A LA INFORM.</t>
  </si>
  <si>
    <t>DESARROLLO TECNOL.</t>
  </si>
  <si>
    <t>COMUNICACIONES</t>
  </si>
  <si>
    <t>CAM</t>
  </si>
  <si>
    <t>DHI</t>
  </si>
  <si>
    <t>SERVICIOS GENERALES</t>
  </si>
  <si>
    <t>MEDIO AMBIENTE</t>
  </si>
  <si>
    <t>GESTION DE RIESGOS</t>
  </si>
  <si>
    <t>UDEL</t>
  </si>
  <si>
    <t>PROMOCIÓN SOCIAL</t>
  </si>
  <si>
    <t>GESTIÓN COOPERACCIÓN</t>
  </si>
  <si>
    <t>TOTALES</t>
  </si>
  <si>
    <t>MENOS: INGRESOS</t>
  </si>
  <si>
    <t>SALARIOS FONDO FODES 25%</t>
  </si>
  <si>
    <t>NOMBRE</t>
  </si>
  <si>
    <t>MONTO</t>
  </si>
  <si>
    <t>SINDICO</t>
  </si>
  <si>
    <t>SECRETARIA</t>
  </si>
  <si>
    <t>GERENTE</t>
  </si>
  <si>
    <t>R.R.H.H.</t>
  </si>
  <si>
    <t>MERCADO</t>
  </si>
  <si>
    <t>REF</t>
  </si>
  <si>
    <t>DISTRITO</t>
  </si>
  <si>
    <t>UAIP</t>
  </si>
  <si>
    <t>INFORMATICA</t>
  </si>
  <si>
    <t>SERVICIOS GRALES</t>
  </si>
  <si>
    <t>G. RIESGOS</t>
  </si>
  <si>
    <t>PROMO</t>
  </si>
  <si>
    <t>GESTION Y COOPERACION</t>
  </si>
  <si>
    <t>54 ADQUISICION DE BIENES Y SERVICIOS FONDOS PROPIOS</t>
  </si>
  <si>
    <t>54 ADQUISICION DE BIENES Y SERVICIOS FODES 25%</t>
  </si>
  <si>
    <t>UNIDAD</t>
  </si>
  <si>
    <t>MERCADO Y POLIDEPORTIVO</t>
  </si>
  <si>
    <t>REGISTRO FAMILIAR</t>
  </si>
  <si>
    <t>RASTRO Y CEMENTERIO</t>
  </si>
  <si>
    <t>ACCESO A LA INFORMACION</t>
  </si>
  <si>
    <t>DESARROLLO TECNOLOGICO</t>
  </si>
  <si>
    <t>PROMOCION SOCIAL</t>
  </si>
  <si>
    <t>55  GASTOS FINANCIEROS Y OTROS</t>
  </si>
  <si>
    <t>55 GASTOS FINANCIEROS Y OTROS</t>
  </si>
  <si>
    <t>56 TRANSFERENCIAS CORRIENTES</t>
  </si>
  <si>
    <t>61 INVERSIONES EN ACTIVO FIJO FONDOS PROPIOS</t>
  </si>
  <si>
    <t>61 INVERSIONES EN ACTIVO FIJO FODES 25%</t>
  </si>
  <si>
    <t>FONDOS PROPIOS 2019</t>
  </si>
  <si>
    <t>FODES 25% 2019</t>
  </si>
  <si>
    <t>Saldos Iniciales Fondos Propios</t>
  </si>
  <si>
    <t>Disponible</t>
  </si>
  <si>
    <t>N°</t>
  </si>
  <si>
    <t>DESCRIPCION</t>
  </si>
  <si>
    <t>VALOR</t>
  </si>
  <si>
    <t>GASTOS POR REMUNERACIONES (51)</t>
  </si>
  <si>
    <t>GASTOS DE FUNCIONAMIENTO (54)</t>
  </si>
  <si>
    <t>GASTOS FINANCIEROS Y OTROS (55)</t>
  </si>
  <si>
    <t>TRANSFERENCIAS CORRIENTES (56 )</t>
  </si>
  <si>
    <t>INVERSIONES EN ACTIVO FIJO (61)</t>
  </si>
  <si>
    <t>TOTAL DE GASTOS A FINANCIAR CON FONDOS PROPIOS</t>
  </si>
  <si>
    <t>Ingresos Proyectados Fondos Fodes 25%</t>
  </si>
  <si>
    <t>Saldos Iniciales Fodes 25%</t>
  </si>
  <si>
    <t>ADQUISICION DE BIENES Y SERVICIOS (54)</t>
  </si>
  <si>
    <t>TRANSFERENCIAS CORRIENTES (56)</t>
  </si>
  <si>
    <t>TOTAL GASTOS A FINANCIAR CON FODES 25%</t>
  </si>
  <si>
    <t>Ingresos Proyectados FODES 75%</t>
  </si>
  <si>
    <t>Saldos iniciales Fodes 75%</t>
  </si>
  <si>
    <t>PROYECTO</t>
  </si>
  <si>
    <t>SALDO</t>
  </si>
  <si>
    <t>FODES 75%</t>
  </si>
  <si>
    <t>Presupuesto de Egresos Por Expresión Presupuestaria Y Fuente de Financiamiento.</t>
  </si>
  <si>
    <t>Area de Gestión                       1 CONDUCCION ADMINISTRATIVA</t>
  </si>
  <si>
    <t>Unidad Presupuestaria           01 DIRECCION Y ADMINISTRACION SUPERIOR</t>
  </si>
  <si>
    <t xml:space="preserve">Linea de Trabajo (Exp. Pres.) </t>
  </si>
  <si>
    <t>CONCEJO MUNICIPAL</t>
  </si>
  <si>
    <t>RUBRO</t>
  </si>
  <si>
    <t>CONCEPTOS</t>
  </si>
  <si>
    <t xml:space="preserve">F. F. 2           </t>
  </si>
  <si>
    <t>F. F. 1</t>
  </si>
  <si>
    <t>Fondos Prop.</t>
  </si>
  <si>
    <t>Fondos Gral. 25%</t>
  </si>
  <si>
    <t>REMUNERACIONES PERMANENTES</t>
  </si>
  <si>
    <t>Sueldos</t>
  </si>
  <si>
    <t>Aguinaldos</t>
  </si>
  <si>
    <t>Dietas</t>
  </si>
  <si>
    <t>Beneficios Adicionales</t>
  </si>
  <si>
    <t>Contrib. Patron. Inst. Segurid. Soc. Públicas</t>
  </si>
  <si>
    <t>Por Remuneraciones Permanentes</t>
  </si>
  <si>
    <t>Contrib. Patron. Inst. Segurid. Soc. Privadas</t>
  </si>
  <si>
    <t>INDEMNIZACIONES</t>
  </si>
  <si>
    <t>Al Personal de Servicios Permanentes</t>
  </si>
  <si>
    <t xml:space="preserve">ADQUISICIONES DE BIENES Y SERVICIOS   </t>
  </si>
  <si>
    <t xml:space="preserve">BIENES DE USO Y CONSUMO  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</si>
  <si>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</si>
  <si>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</si>
  <si>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</si>
  <si>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</si>
  <si>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</si>
  <si>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Minerales no Metalicos y Productos Derivados</t>
  </si>
  <si>
    <t>Minerales, Metalicos y Productos Derivados</t>
  </si>
  <si>
    <t>Materiales de Oficina</t>
  </si>
  <si>
    <t>Materiales Informaticos</t>
  </si>
  <si>
    <t>Materiales Electricos</t>
  </si>
  <si>
    <t>Bienes de Uso y Consumo Diversos</t>
  </si>
  <si>
    <t>SERVICIOS GENERALES Y ARRENDAMIENTOS</t>
  </si>
  <si>
    <t>Mtto. Y Rep. De Bienes Muebles</t>
  </si>
  <si>
    <t>Mtto. Y Rep. De Bienes Inmuebles</t>
  </si>
  <si>
    <t>Transp. Fletes y Almacenamientos</t>
  </si>
  <si>
    <t>Impresiones, Publicaciones y Reproducciones</t>
  </si>
  <si>
    <t>Atenciones Oficiales</t>
  </si>
  <si>
    <t>Servicios Generales y Arrendamientos Diversos</t>
  </si>
  <si>
    <t>PASAJES Y VIATICOS</t>
  </si>
  <si>
    <t>Pasajes al Interior</t>
  </si>
  <si>
    <t>Pasajes al Exterior</t>
  </si>
  <si>
    <t>Viaticos por Comision Externa</t>
  </si>
  <si>
    <t>CONSULTORIA, ESTUDIOS E INVESTIGACIONES</t>
  </si>
  <si>
    <t>Servicios Jurídicos</t>
  </si>
  <si>
    <t>Consultorias, Estudios e Investigaciones Diversas</t>
  </si>
  <si>
    <t>SEGUROS, COMISIONES Y GASTOS BANCARIOS</t>
  </si>
  <si>
    <t>Primas y Gastos de Seguros de Personas</t>
  </si>
  <si>
    <t>Primas y Gastos de Seguros de Bienes</t>
  </si>
  <si>
    <t>TRANSFERENCIAS CORRIENTES AL SECTOR PUBLICO</t>
  </si>
  <si>
    <t>COMURES</t>
  </si>
  <si>
    <t>AMUSDELI</t>
  </si>
  <si>
    <t>ENEPASA</t>
  </si>
  <si>
    <t>TRANSFERENCIAS CORRIENTES AL SECTOR PRIVADO</t>
  </si>
  <si>
    <t>A Personas Naturales</t>
  </si>
  <si>
    <t>INVERSIONES EN ACTIVOS FIJOS</t>
  </si>
  <si>
    <t>BIENES MUEBLES</t>
  </si>
  <si>
    <t>Mobiliario</t>
  </si>
  <si>
    <t>Unidad Presupuestaria           02 SERVICIOS MUNICIPALES</t>
  </si>
  <si>
    <t>SERVICIOS EXTERNOS</t>
  </si>
  <si>
    <t xml:space="preserve">ADQUISIONES DE BIENES Y SERVICIOS   </t>
  </si>
  <si>
    <t>BIENES DE USO Y CONSUMO</t>
  </si>
  <si>
    <t>DESPACHO MUNICIPAL</t>
  </si>
  <si>
    <t xml:space="preserve">                      </t>
  </si>
  <si>
    <t>GASTOS DE REPRESENTACION</t>
  </si>
  <si>
    <t>Por Prestacion de Servicios en el Pais</t>
  </si>
  <si>
    <t>Productos Alimenticios Para Personas</t>
  </si>
  <si>
    <t>Productos quimicos</t>
  </si>
  <si>
    <t>Llantas y Neumaticos</t>
  </si>
  <si>
    <t>Herramientas, Repuestos y Accesorios</t>
  </si>
  <si>
    <t>Transportes, Fletes y Almacenamientos</t>
  </si>
  <si>
    <t>Arrendamiento de bienes muebles</t>
  </si>
  <si>
    <t>Viaticos Por Comision Externa</t>
  </si>
  <si>
    <t>Servicios Juridicos</t>
  </si>
  <si>
    <t>Obras de Arte y Culturales</t>
  </si>
  <si>
    <t>SINDICATURA MUNICIPAL</t>
  </si>
  <si>
    <t>SECRETARIA MUNICIPAL</t>
  </si>
  <si>
    <t>Mobiliarios</t>
  </si>
  <si>
    <t>DEPARTAMENTO JURIDICO</t>
  </si>
  <si>
    <t>CONSULTORIAS, ESTUDIOS E INVESTIGACIONES</t>
  </si>
  <si>
    <t>GERENCIA GENERAL</t>
  </si>
  <si>
    <t>Libros, Textos y Utiles de Enseñanza</t>
  </si>
  <si>
    <t>Materiales Eléctricos</t>
  </si>
  <si>
    <t>Bienes Muebles</t>
  </si>
  <si>
    <t>Area de Gestión                       1 Conducción Administrativa</t>
  </si>
  <si>
    <t xml:space="preserve">Unidad Presupuestaria           01 AdministraciónSuperior </t>
  </si>
  <si>
    <t>UNIDAD DE AUDITORIA INTERNA</t>
  </si>
  <si>
    <t>Impresiones, Public. Y Reproducciones</t>
  </si>
  <si>
    <t>Serviciones Grales y Arrendamiento Diversos</t>
  </si>
  <si>
    <t>Remuneraciones Eventuales</t>
  </si>
  <si>
    <t>Productos Quimicos</t>
  </si>
  <si>
    <t>Materiales Informáticos</t>
  </si>
  <si>
    <t>Equipos Informáticos</t>
  </si>
  <si>
    <t>Unidad Presupuestaria           02 ADMINISTRACION FINANCIERA TRIBUTARIA</t>
  </si>
  <si>
    <t>DEPARTAMENTO DE TESORERIA</t>
  </si>
  <si>
    <t>Herramientas, repuestos y accesorios</t>
  </si>
  <si>
    <t>Especies Municipales Diversas</t>
  </si>
  <si>
    <t>Comisiones y Gastos Bancarios</t>
  </si>
  <si>
    <t xml:space="preserve"> PRESUPUESTO</t>
  </si>
  <si>
    <t xml:space="preserve"> CONTABILIDAD</t>
  </si>
  <si>
    <t xml:space="preserve">BIENES DE USO Y CONSUMO   </t>
  </si>
  <si>
    <t>Mantenimiento Y Reparacion de  Bienes Muebles</t>
  </si>
  <si>
    <t xml:space="preserve">BIENES MUEBLES    </t>
  </si>
  <si>
    <t>Equipo Informático</t>
  </si>
  <si>
    <t>ADMINISTRACION MERCADO Y POLIDEPORTIVO</t>
  </si>
  <si>
    <t>Combustibles y Lubricantes</t>
  </si>
  <si>
    <t>Minerales No Metalicos y Productos Derivados</t>
  </si>
  <si>
    <t>SERVICIOS INTERNOS</t>
  </si>
  <si>
    <t>Productos Químicos</t>
  </si>
  <si>
    <t>SERVICIOS BASICOS</t>
  </si>
  <si>
    <t>Equipos Informaticos</t>
  </si>
  <si>
    <t>Minerales Metalicos y Productos Derivados</t>
  </si>
  <si>
    <t>DISTRITO 1 LOS PLANES</t>
  </si>
  <si>
    <t>Minerales  Metalicos y Productos Derivados</t>
  </si>
  <si>
    <t>Servicios de Energia Electrica</t>
  </si>
  <si>
    <t>Servicios de Agua</t>
  </si>
  <si>
    <t>Servicios de Telecomunicaciones</t>
  </si>
  <si>
    <t>Mantenimiento y Reparacion de Bienes Inmuebles</t>
  </si>
  <si>
    <t>Arrendamiento de Bienes Muebles</t>
  </si>
  <si>
    <t>PLANIFICACION Y PROYECTOS</t>
  </si>
  <si>
    <t>Mantenimiento y Reparaciones de Vehiculos</t>
  </si>
  <si>
    <t xml:space="preserve"> INVERSIONES EN ACTIVOS FIJOS</t>
  </si>
  <si>
    <t>Equipos informaticos</t>
  </si>
  <si>
    <t xml:space="preserve">BIENES MUEBLES   </t>
  </si>
  <si>
    <t>Derechos de Propiedad Intelectual</t>
  </si>
  <si>
    <t>Combustibles Y Lubricantes</t>
  </si>
  <si>
    <t>DESARROLLO HUMANO INTEGRAL</t>
  </si>
  <si>
    <t>Herramientas repuestos y accesorios</t>
  </si>
  <si>
    <t>Mantenimiento y Reparacion de Bienes Muebles</t>
  </si>
  <si>
    <t>Transportes Fletes y Almacenamiento</t>
  </si>
  <si>
    <t>Alumbrado Publico</t>
  </si>
  <si>
    <t>Mantenimiento y Reparaciones de Bienes Inmuebles</t>
  </si>
  <si>
    <t>Transportes, fletes y almacenamientos</t>
  </si>
  <si>
    <t>MEDIO AMBIENTE Y GESTION DE RIESGOS</t>
  </si>
  <si>
    <t>Productos Alimenticios para animales</t>
  </si>
  <si>
    <t>Bienes de Uso Y Consumo Diversos</t>
  </si>
  <si>
    <t>Mtto y Reparaciones de Vehiculos</t>
  </si>
  <si>
    <t>Servicios de Capacitacion</t>
  </si>
  <si>
    <t xml:space="preserve">REMUNERACIONES PERMANENTES </t>
  </si>
  <si>
    <t>Fondos Gral. 75%</t>
  </si>
  <si>
    <t>Salario por jornal</t>
  </si>
  <si>
    <t>Minerales no Metálicos y Productos Derivados</t>
  </si>
  <si>
    <t>Minerales Metálicos y Productos Derivados</t>
  </si>
  <si>
    <t>Consultorías, Estudios e Investigaciones Diversas</t>
  </si>
  <si>
    <t>Seguros, Comisiones y Gastos Bancarios</t>
  </si>
  <si>
    <t>Infraestructuras</t>
  </si>
  <si>
    <t>Supervisión de Infraestructuras</t>
  </si>
  <si>
    <t>Obras de Infraestructura Diversas</t>
  </si>
  <si>
    <t xml:space="preserve">Productos Textiles </t>
  </si>
  <si>
    <t xml:space="preserve">Mantenimiento y Reparacion de Bienes Muebles </t>
  </si>
  <si>
    <t>Herramientas, Rep. Y Accesorios</t>
  </si>
  <si>
    <t>101-103</t>
  </si>
  <si>
    <t>401-501-601-701</t>
  </si>
  <si>
    <t xml:space="preserve">PRESUPUESTO </t>
  </si>
  <si>
    <t>Ingresos Proyectados Fondos Propios</t>
  </si>
  <si>
    <t>FISDL</t>
  </si>
  <si>
    <t>Ingresos Proyectados FISDL</t>
  </si>
  <si>
    <t>Saldos iniciales FISDL</t>
  </si>
  <si>
    <t>SALDO INICIAL EN BANCO DE DONACIONES</t>
  </si>
  <si>
    <t>Ingresos Proyectados Donaciones</t>
  </si>
  <si>
    <t>Saldos iniciales en Banco Donaciones</t>
  </si>
  <si>
    <t xml:space="preserve"> </t>
  </si>
  <si>
    <t>CONCEJO MUNICIPAL (FISDL)</t>
  </si>
  <si>
    <t>Donaciones</t>
  </si>
  <si>
    <t xml:space="preserve">Gasto </t>
  </si>
  <si>
    <t>Gasto</t>
  </si>
  <si>
    <t>Fondo Gral. 25%</t>
  </si>
  <si>
    <t>Maquinarias y Equipos</t>
  </si>
  <si>
    <t>Barrido de calles</t>
  </si>
  <si>
    <t>Chapoda</t>
  </si>
  <si>
    <t>Comisiones y Descuentos sobre Ventas</t>
  </si>
  <si>
    <t>Otros Gastos no Clasificados</t>
  </si>
  <si>
    <t xml:space="preserve"> PROPIOS</t>
  </si>
  <si>
    <t>CONCEJO MUNICIPAL DONACION</t>
  </si>
  <si>
    <t>DONACIONES</t>
  </si>
  <si>
    <t>FONDO DE DONACIONES</t>
  </si>
  <si>
    <t>FONDO FISDL</t>
  </si>
  <si>
    <t>SALARIOS FONDO PROPIOS</t>
  </si>
  <si>
    <t>mobiliarios</t>
  </si>
  <si>
    <t>Servicios de Publicidad</t>
  </si>
  <si>
    <t>FONDO GENERAL FF1 25% , 75% y 2% FODES</t>
  </si>
  <si>
    <t>TRANSFERENCIAS DE CAPITAL DEL SECTOR PUBLICO 75%</t>
  </si>
  <si>
    <t>TRANSFERENCIAS DE CAPITAL DEL SECTOR PUBLICO 2%</t>
  </si>
  <si>
    <t>FONDO FODES 2%</t>
  </si>
  <si>
    <t>PROYECTADOS FODES 2%</t>
  </si>
  <si>
    <t>Ingresos Proyectados FODES 2%</t>
  </si>
  <si>
    <t>Saldos iniciales Fodes 2%</t>
  </si>
  <si>
    <t>FODES 2%</t>
  </si>
  <si>
    <t xml:space="preserve">Fondos Donaciones. </t>
  </si>
  <si>
    <t>Fondos Gral. 2%</t>
  </si>
  <si>
    <t>Fondos Gral. 75% MAS 2%</t>
  </si>
  <si>
    <t>CONCEJO MUNICIPAL Y GESTION Y COOPERACION</t>
  </si>
  <si>
    <t>UFI</t>
  </si>
  <si>
    <t>FONDO GENERAL FODES 75% Y 2%</t>
  </si>
  <si>
    <t xml:space="preserve">  </t>
  </si>
  <si>
    <t>Presupuesto de Ingresos por Areas de Gestión - Ejercicio 2021</t>
  </si>
  <si>
    <t>Mercado</t>
  </si>
  <si>
    <t>RASTRO Y TIANGUE</t>
  </si>
  <si>
    <t>SALDO INICIAL EN BANCO 2%</t>
  </si>
  <si>
    <t>Libros, Textos, Utiles de Enseñanza y Publicaciones</t>
  </si>
  <si>
    <t>no</t>
  </si>
  <si>
    <t>Derecho de Propiedad Intelectual</t>
  </si>
  <si>
    <t>INTANGIBLES</t>
  </si>
  <si>
    <t>ALCALDIA MUNICIPAL  DE  PANCHIMALCO AÑO 2021</t>
  </si>
  <si>
    <t>ADMINISTRACION CEMENTERIO</t>
  </si>
  <si>
    <t xml:space="preserve">Productos textiles y vestuarios </t>
  </si>
  <si>
    <t xml:space="preserve">Transporte, Flete y Almacenamientos </t>
  </si>
  <si>
    <t>Cuotas pendientes de mes diciembre 2020</t>
  </si>
  <si>
    <t>Cuotas pendientes de cobro Diciembre 2020</t>
  </si>
  <si>
    <t>FODES 2 %  EJERCICIO FISCAL 2021</t>
  </si>
  <si>
    <t>EJERCICIO FINANCIERO FISCAL 2021</t>
  </si>
  <si>
    <t>GASTOS PROGRAMADOS 2021</t>
  </si>
  <si>
    <t>EJERCICIO FISCAL AÑO 2021</t>
  </si>
  <si>
    <t>FODES 75 %  EJERCICIO FISCAL 2021</t>
  </si>
  <si>
    <t>FISDL  EJERCICIO FISCAL 2021</t>
  </si>
  <si>
    <t>DONACIONES  EJERCICIO FISCAL 2021</t>
  </si>
  <si>
    <t>ALCALDIA MUNICIPAL  DE  PANCHIMALCO 2021</t>
  </si>
  <si>
    <t>FONDOS PROPIOS 2021</t>
  </si>
  <si>
    <t>FODES 25% 2021</t>
  </si>
  <si>
    <t>SALDO INICIAL EN BANCO (FONDO DE EMERGENCIA)</t>
  </si>
  <si>
    <t>FONDO DE EMERGENCIA</t>
  </si>
  <si>
    <t>PROYECTOS FINANCIADOS FODES 75% y 2% 2021 Y PROYECTOS DE AÑOS ANTERIORES</t>
  </si>
  <si>
    <t>EMERGENCIA  EJERCICIO FISCAL 2021</t>
  </si>
  <si>
    <t>Saldos iniciales en Banco mergencia</t>
  </si>
  <si>
    <t>Emergencia</t>
  </si>
  <si>
    <t>Ingresos Proyectados Emergencia</t>
  </si>
  <si>
    <t>INGRESOS PROYECTADOS 2021</t>
  </si>
  <si>
    <t>GASTOS PROYECTADOS 2021</t>
  </si>
  <si>
    <t>AMUSDELI, CDA SAN SALVADOR</t>
  </si>
  <si>
    <t>Mantenimiento y reparacion de vehiculos</t>
  </si>
  <si>
    <t>SALDO INICIAL EN BANCOS/MH-MJSP</t>
  </si>
  <si>
    <t>SALDO INICIAL EN BANCOS/PRESTAMO</t>
  </si>
  <si>
    <t>FONDO PRESTAMO</t>
  </si>
  <si>
    <t>FONDO DE PRESTAMO</t>
  </si>
  <si>
    <t>FONDO/MH-MJSP</t>
  </si>
  <si>
    <t>FONDO DE MJSP</t>
  </si>
  <si>
    <t>De Educación y Recreación</t>
  </si>
  <si>
    <t xml:space="preserve">INFRAESTRUCTURAS </t>
  </si>
  <si>
    <t>PRESTAMO  EJERCICIO FISCAL 2021</t>
  </si>
  <si>
    <t>MJSP  EJERCICIO FISCAL 2021</t>
  </si>
  <si>
    <t>RECOLECCION Y DISPOSICION DE DESECHOS SOLIDOS, COMBUSTIBLES Y MANTENIMIENTO DE CAMIONES RECOLECTORES DE DESECHOS SOLIDOS DEL MUNICIPIO DE PANCHIMALCO AÑO 2021</t>
  </si>
  <si>
    <t>MANTENIMIENTO PREVENTIVO Y CORRECTIVO DEL SERVICIO DE ALUMBRADO PUBLICO DE LA CIUDAD DE PANCHIMALCO, AÑO 2021</t>
  </si>
  <si>
    <t>LIMPIEZA Y CHAPODA GENERAL DE LAS DIFERENTES CALLES Y CUNETAS DEL MUNICIPIO DE PANCHIMALCO, AÑO 2021</t>
  </si>
  <si>
    <t>Ingresos Proyectados MJSP</t>
  </si>
  <si>
    <t xml:space="preserve">Prestamo Proyectados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</si>
</sst>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([$$-409]* #,##0.00_);_([$$-409]* \(#,##0.00\);_([$$-409]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u val="singleAccounting"/>
      <sz val="14"/>
      <color theme="1"/>
      <name val="Arial"/>
      <family val="2"/>
    </font>
    <font>
      <b/>
      <u val="singleAccounting"/>
      <sz val="14"/>
      <name val="Arial"/>
      <family val="2"/>
    </font>
    <font>
      <sz val="11"/>
      <name val="Arial"/>
      <family val="2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sz val="8"/>
      <color theme="1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i/>
      <sz val="10"/>
      <color theme="1"/>
      <name val="Calibri Light"/>
      <family val="1"/>
      <scheme val="major"/>
    </font>
    <font>
      <b/>
      <sz val="9"/>
      <name val="Arial"/>
      <family val="2"/>
    </font>
    <font>
      <b/>
      <sz val="8"/>
      <name val="Arial"/>
      <family val="2"/>
    </font>
    <font>
      <b/>
      <i/>
      <sz val="12"/>
      <color theme="1"/>
      <name val="Calibri Light"/>
      <family val="1"/>
      <scheme val="maj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sz val="10"/>
      <name val="Century Gothic"/>
      <family val="2"/>
    </font>
    <font>
      <b/>
      <i/>
      <sz val="12"/>
      <name val="Calibri Light"/>
      <family val="1"/>
      <scheme val="maj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u val="singleAccounting"/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0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</cellStyleXfs>
  <cellXfs count="466">
    <xf numFmtId="0" fontId="0" fillId="0" borderId="0" xfId="0"/>
    <xf numFmtId="0" fontId="0" fillId="0" borderId="0" xfId="0" applyAlignment="1">
      <alignment wrapText="1"/>
    </xf>
    <xf numFmtId="164" fontId="0" fillId="2" borderId="18" xfId="1" applyFont="1" applyFill="1" applyBorder="1" applyAlignment="1">
      <alignment wrapText="1"/>
    </xf>
    <xf numFmtId="164" fontId="0" fillId="2" borderId="0" xfId="1" applyFont="1" applyFill="1" applyBorder="1" applyAlignment="1">
      <alignment wrapText="1"/>
    </xf>
    <xf numFmtId="164" fontId="0" fillId="2" borderId="19" xfId="1" applyFont="1" applyFill="1" applyBorder="1" applyAlignment="1">
      <alignment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left" vertical="center" wrapText="1"/>
    </xf>
    <xf numFmtId="0" fontId="17" fillId="2" borderId="14" xfId="3" applyFont="1" applyFill="1" applyBorder="1" applyAlignment="1">
      <alignment vertical="center" wrapText="1"/>
    </xf>
    <xf numFmtId="0" fontId="16" fillId="2" borderId="0" xfId="3" applyFont="1" applyFill="1" applyBorder="1" applyAlignment="1">
      <alignment vertical="center" wrapText="1"/>
    </xf>
    <xf numFmtId="44" fontId="16" fillId="2" borderId="14" xfId="3" applyNumberFormat="1" applyFont="1" applyFill="1" applyBorder="1" applyAlignment="1">
      <alignment vertical="center" wrapText="1"/>
    </xf>
    <xf numFmtId="0" fontId="17" fillId="2" borderId="1" xfId="3" applyFont="1" applyFill="1" applyBorder="1" applyAlignment="1">
      <alignment vertical="center" wrapText="1"/>
    </xf>
    <xf numFmtId="0" fontId="16" fillId="2" borderId="1" xfId="3" applyFont="1" applyFill="1" applyBorder="1" applyAlignment="1">
      <alignment vertical="center" wrapText="1"/>
    </xf>
    <xf numFmtId="44" fontId="16" fillId="2" borderId="1" xfId="3" applyNumberFormat="1" applyFont="1" applyFill="1" applyBorder="1" applyAlignment="1">
      <alignment vertical="center" wrapText="1"/>
    </xf>
    <xf numFmtId="0" fontId="17" fillId="2" borderId="0" xfId="3" applyFont="1" applyFill="1" applyAlignment="1">
      <alignment vertical="center" wrapText="1"/>
    </xf>
    <xf numFmtId="0" fontId="18" fillId="2" borderId="0" xfId="3" applyFont="1" applyFill="1" applyAlignment="1">
      <alignment vertical="center" wrapText="1"/>
    </xf>
    <xf numFmtId="0" fontId="19" fillId="2" borderId="1" xfId="3" applyFont="1" applyFill="1" applyBorder="1" applyAlignment="1">
      <alignment horizontal="center" vertical="center" wrapText="1"/>
    </xf>
    <xf numFmtId="44" fontId="18" fillId="2" borderId="1" xfId="3" applyNumberFormat="1" applyFont="1" applyFill="1" applyBorder="1" applyAlignment="1">
      <alignment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18" fillId="2" borderId="0" xfId="3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24" fillId="2" borderId="1" xfId="3" applyFont="1" applyFill="1" applyBorder="1" applyAlignment="1">
      <alignment vertical="center" wrapText="1"/>
    </xf>
    <xf numFmtId="0" fontId="16" fillId="2" borderId="3" xfId="3" applyFont="1" applyFill="1" applyBorder="1" applyAlignment="1">
      <alignment vertical="center" wrapText="1"/>
    </xf>
    <xf numFmtId="0" fontId="24" fillId="2" borderId="0" xfId="3" applyFont="1" applyFill="1" applyAlignment="1">
      <alignment vertical="center" wrapText="1"/>
    </xf>
    <xf numFmtId="0" fontId="25" fillId="2" borderId="0" xfId="3" applyFont="1" applyFill="1" applyAlignment="1">
      <alignment vertical="center" wrapText="1"/>
    </xf>
    <xf numFmtId="0" fontId="26" fillId="2" borderId="0" xfId="3" applyFont="1" applyFill="1" applyAlignment="1">
      <alignment vertical="center" wrapText="1"/>
    </xf>
    <xf numFmtId="0" fontId="27" fillId="2" borderId="0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vertical="center" wrapText="1"/>
    </xf>
    <xf numFmtId="44" fontId="28" fillId="2" borderId="0" xfId="3" applyNumberFormat="1" applyFont="1" applyFill="1" applyBorder="1" applyAlignment="1">
      <alignment vertical="center" wrapText="1"/>
    </xf>
    <xf numFmtId="0" fontId="0" fillId="2" borderId="0" xfId="0" applyFill="1"/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 wrapText="1"/>
    </xf>
    <xf numFmtId="49" fontId="31" fillId="2" borderId="0" xfId="0" applyNumberFormat="1" applyFont="1" applyFill="1" applyAlignment="1">
      <alignment horizontal="center" wrapText="1"/>
    </xf>
    <xf numFmtId="0" fontId="31" fillId="0" borderId="0" xfId="0" applyFont="1" applyFill="1" applyAlignment="1">
      <alignment horizontal="center" vertical="top"/>
    </xf>
    <xf numFmtId="49" fontId="31" fillId="0" borderId="0" xfId="0" applyNumberFormat="1" applyFont="1" applyFill="1" applyAlignment="1">
      <alignment horizontal="center" vertical="top"/>
    </xf>
    <xf numFmtId="0" fontId="31" fillId="2" borderId="0" xfId="0" applyFont="1" applyFill="1" applyAlignment="1">
      <alignment horizontal="center" vertical="top"/>
    </xf>
    <xf numFmtId="49" fontId="31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31" fillId="2" borderId="0" xfId="1" applyNumberFormat="1" applyFont="1" applyFill="1" applyAlignment="1">
      <alignment horizontal="center"/>
    </xf>
    <xf numFmtId="0" fontId="0" fillId="0" borderId="0" xfId="0" applyFill="1"/>
    <xf numFmtId="0" fontId="32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0" fontId="37" fillId="2" borderId="1" xfId="3" applyFont="1" applyFill="1" applyBorder="1" applyAlignment="1">
      <alignment vertical="center" wrapText="1"/>
    </xf>
    <xf numFmtId="0" fontId="36" fillId="2" borderId="1" xfId="3" applyFont="1" applyFill="1" applyBorder="1" applyAlignment="1">
      <alignment vertical="center" wrapText="1"/>
    </xf>
    <xf numFmtId="44" fontId="36" fillId="2" borderId="1" xfId="3" applyNumberFormat="1" applyFont="1" applyFill="1" applyBorder="1" applyAlignment="1">
      <alignment vertical="center" wrapText="1"/>
    </xf>
    <xf numFmtId="0" fontId="37" fillId="2" borderId="0" xfId="3" applyFont="1" applyFill="1" applyAlignment="1">
      <alignment vertical="center" wrapText="1"/>
    </xf>
    <xf numFmtId="0" fontId="38" fillId="2" borderId="0" xfId="3" applyFont="1" applyFill="1" applyAlignment="1">
      <alignment vertical="center" wrapText="1"/>
    </xf>
    <xf numFmtId="0" fontId="36" fillId="2" borderId="1" xfId="3" applyFont="1" applyFill="1" applyBorder="1" applyAlignment="1">
      <alignment horizontal="center" vertical="center" wrapText="1"/>
    </xf>
    <xf numFmtId="0" fontId="35" fillId="2" borderId="0" xfId="0" applyFont="1" applyFill="1" applyAlignment="1">
      <alignment wrapText="1"/>
    </xf>
    <xf numFmtId="0" fontId="36" fillId="2" borderId="3" xfId="3" applyFont="1" applyFill="1" applyBorder="1" applyAlignment="1">
      <alignment vertical="center" wrapText="1"/>
    </xf>
    <xf numFmtId="0" fontId="37" fillId="2" borderId="0" xfId="0" applyFont="1" applyFill="1"/>
    <xf numFmtId="164" fontId="39" fillId="0" borderId="1" xfId="1" applyFont="1" applyBorder="1" applyAlignment="1">
      <alignment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wrapText="1"/>
    </xf>
    <xf numFmtId="164" fontId="4" fillId="2" borderId="14" xfId="1" applyFont="1" applyFill="1" applyBorder="1" applyAlignment="1">
      <alignment wrapText="1"/>
    </xf>
    <xf numFmtId="16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wrapText="1"/>
    </xf>
    <xf numFmtId="164" fontId="5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0" fillId="2" borderId="0" xfId="0" applyFill="1" applyAlignment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4" xfId="0" applyFont="1" applyFill="1" applyBorder="1" applyAlignment="1"/>
    <xf numFmtId="164" fontId="4" fillId="2" borderId="14" xfId="1" applyFont="1" applyFill="1" applyBorder="1" applyAlignment="1"/>
    <xf numFmtId="164" fontId="4" fillId="2" borderId="25" xfId="1" applyFont="1" applyFill="1" applyBorder="1" applyAlignment="1"/>
    <xf numFmtId="164" fontId="4" fillId="2" borderId="1" xfId="1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26" xfId="0" applyFont="1" applyFill="1" applyBorder="1" applyAlignment="1"/>
    <xf numFmtId="164" fontId="4" fillId="2" borderId="3" xfId="1" applyFont="1" applyFill="1" applyBorder="1" applyAlignment="1"/>
    <xf numFmtId="0" fontId="5" fillId="2" borderId="3" xfId="0" applyFont="1" applyFill="1" applyBorder="1" applyAlignment="1">
      <alignment horizontal="left"/>
    </xf>
    <xf numFmtId="0" fontId="5" fillId="2" borderId="27" xfId="0" applyFont="1" applyFill="1" applyBorder="1" applyAlignment="1"/>
    <xf numFmtId="164" fontId="5" fillId="2" borderId="1" xfId="1" applyFont="1" applyFill="1" applyBorder="1" applyAlignment="1"/>
    <xf numFmtId="0" fontId="5" fillId="2" borderId="1" xfId="0" applyFont="1" applyFill="1" applyBorder="1" applyAlignment="1"/>
    <xf numFmtId="0" fontId="5" fillId="2" borderId="3" xfId="0" applyFont="1" applyFill="1" applyBorder="1" applyAlignment="1"/>
    <xf numFmtId="164" fontId="5" fillId="2" borderId="3" xfId="1" applyFont="1" applyFill="1" applyBorder="1" applyAlignment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 applyAlignment="1"/>
    <xf numFmtId="164" fontId="5" fillId="2" borderId="14" xfId="1" applyFont="1" applyFill="1" applyBorder="1" applyAlignment="1"/>
    <xf numFmtId="164" fontId="5" fillId="2" borderId="25" xfId="1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14" xfId="0" applyFont="1" applyFill="1" applyBorder="1"/>
    <xf numFmtId="164" fontId="4" fillId="2" borderId="14" xfId="1" applyFont="1" applyFill="1" applyBorder="1"/>
    <xf numFmtId="0" fontId="4" fillId="0" borderId="26" xfId="0" applyFont="1" applyFill="1" applyBorder="1"/>
    <xf numFmtId="164" fontId="4" fillId="2" borderId="1" xfId="1" applyFont="1" applyFill="1" applyBorder="1"/>
    <xf numFmtId="0" fontId="5" fillId="2" borderId="27" xfId="0" applyFont="1" applyFill="1" applyBorder="1"/>
    <xf numFmtId="164" fontId="5" fillId="2" borderId="1" xfId="1" applyFont="1" applyFill="1" applyBorder="1"/>
    <xf numFmtId="0" fontId="5" fillId="2" borderId="1" xfId="0" applyFont="1" applyFill="1" applyBorder="1"/>
    <xf numFmtId="0" fontId="4" fillId="2" borderId="14" xfId="0" applyFont="1" applyFill="1" applyBorder="1"/>
    <xf numFmtId="0" fontId="4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4" fillId="0" borderId="1" xfId="0" applyFont="1" applyFill="1" applyBorder="1"/>
    <xf numFmtId="164" fontId="4" fillId="0" borderId="1" xfId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164" fontId="5" fillId="0" borderId="1" xfId="1" applyFont="1" applyFill="1" applyBorder="1"/>
    <xf numFmtId="0" fontId="4" fillId="2" borderId="26" xfId="0" applyFont="1" applyFill="1" applyBorder="1"/>
    <xf numFmtId="0" fontId="4" fillId="2" borderId="3" xfId="0" applyFont="1" applyFill="1" applyBorder="1" applyAlignment="1">
      <alignment horizontal="left"/>
    </xf>
    <xf numFmtId="0" fontId="11" fillId="2" borderId="1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vertical="top"/>
    </xf>
    <xf numFmtId="164" fontId="4" fillId="2" borderId="14" xfId="1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vertical="top"/>
    </xf>
    <xf numFmtId="164" fontId="4" fillId="2" borderId="1" xfId="1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0" fontId="5" fillId="2" borderId="27" xfId="0" applyFont="1" applyFill="1" applyBorder="1" applyAlignment="1">
      <alignment vertical="top"/>
    </xf>
    <xf numFmtId="164" fontId="5" fillId="2" borderId="1" xfId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26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27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164" fontId="4" fillId="0" borderId="1" xfId="1" applyFont="1" applyFill="1" applyBorder="1" applyAlignment="1">
      <alignment vertical="top"/>
    </xf>
    <xf numFmtId="164" fontId="5" fillId="0" borderId="1" xfId="1" applyFont="1" applyFill="1" applyBorder="1" applyAlignment="1">
      <alignment vertical="top"/>
    </xf>
    <xf numFmtId="166" fontId="41" fillId="2" borderId="1" xfId="1" applyNumberFormat="1" applyFont="1" applyFill="1" applyBorder="1"/>
    <xf numFmtId="166" fontId="5" fillId="2" borderId="1" xfId="1" applyNumberFormat="1" applyFont="1" applyFill="1" applyBorder="1"/>
    <xf numFmtId="0" fontId="5" fillId="2" borderId="14" xfId="0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166" fontId="5" fillId="2" borderId="1" xfId="5" applyNumberFormat="1" applyFont="1" applyFill="1" applyBorder="1"/>
    <xf numFmtId="0" fontId="5" fillId="2" borderId="1" xfId="6" applyFont="1" applyFill="1" applyBorder="1" applyAlignment="1">
      <alignment horizontal="left"/>
    </xf>
    <xf numFmtId="0" fontId="5" fillId="2" borderId="1" xfId="6" applyFont="1" applyFill="1" applyBorder="1"/>
    <xf numFmtId="0" fontId="31" fillId="2" borderId="0" xfId="4" applyFont="1" applyFill="1" applyAlignment="1">
      <alignment horizontal="center"/>
    </xf>
    <xf numFmtId="0" fontId="4" fillId="2" borderId="1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left" vertical="center"/>
    </xf>
    <xf numFmtId="0" fontId="4" fillId="2" borderId="14" xfId="4" applyFont="1" applyFill="1" applyBorder="1" applyAlignment="1">
      <alignment vertical="center"/>
    </xf>
    <xf numFmtId="165" fontId="4" fillId="2" borderId="14" xfId="5" applyNumberFormat="1" applyFont="1" applyFill="1" applyBorder="1" applyAlignment="1">
      <alignment vertical="center"/>
    </xf>
    <xf numFmtId="0" fontId="4" fillId="2" borderId="1" xfId="4" applyFont="1" applyFill="1" applyBorder="1" applyAlignment="1">
      <alignment horizontal="left" vertical="center"/>
    </xf>
    <xf numFmtId="0" fontId="4" fillId="2" borderId="26" xfId="4" applyFont="1" applyFill="1" applyBorder="1" applyAlignment="1">
      <alignment vertical="center"/>
    </xf>
    <xf numFmtId="165" fontId="4" fillId="2" borderId="1" xfId="5" applyNumberFormat="1" applyFont="1" applyFill="1" applyBorder="1" applyAlignment="1">
      <alignment vertical="center"/>
    </xf>
    <xf numFmtId="0" fontId="5" fillId="2" borderId="3" xfId="4" applyFont="1" applyFill="1" applyBorder="1" applyAlignment="1">
      <alignment horizontal="left" vertical="center"/>
    </xf>
    <xf numFmtId="0" fontId="5" fillId="2" borderId="27" xfId="4" applyFont="1" applyFill="1" applyBorder="1" applyAlignment="1">
      <alignment vertical="center"/>
    </xf>
    <xf numFmtId="165" fontId="5" fillId="2" borderId="1" xfId="5" applyNumberFormat="1" applyFont="1" applyFill="1" applyBorder="1" applyAlignment="1">
      <alignment vertical="center"/>
    </xf>
    <xf numFmtId="0" fontId="5" fillId="2" borderId="1" xfId="4" applyFont="1" applyFill="1" applyBorder="1" applyAlignment="1">
      <alignment vertical="center"/>
    </xf>
    <xf numFmtId="165" fontId="5" fillId="2" borderId="32" xfId="5" applyNumberFormat="1" applyFont="1" applyFill="1" applyBorder="1" applyAlignment="1">
      <alignment vertical="center"/>
    </xf>
    <xf numFmtId="165" fontId="5" fillId="2" borderId="26" xfId="5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4" applyFont="1" applyFill="1" applyBorder="1" applyAlignment="1">
      <alignment vertical="center"/>
    </xf>
    <xf numFmtId="0" fontId="5" fillId="2" borderId="1" xfId="4" applyFont="1" applyFill="1" applyBorder="1" applyAlignment="1">
      <alignment horizontal="left" vertical="center"/>
    </xf>
    <xf numFmtId="165" fontId="5" fillId="2" borderId="14" xfId="5" applyNumberFormat="1" applyFont="1" applyFill="1" applyBorder="1" applyAlignment="1">
      <alignment vertical="center"/>
    </xf>
    <xf numFmtId="165" fontId="5" fillId="2" borderId="2" xfId="5" applyNumberFormat="1" applyFont="1" applyFill="1" applyBorder="1" applyAlignment="1">
      <alignment vertical="center"/>
    </xf>
    <xf numFmtId="164" fontId="4" fillId="2" borderId="1" xfId="5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wrapText="1"/>
    </xf>
    <xf numFmtId="0" fontId="42" fillId="2" borderId="1" xfId="0" applyFont="1" applyFill="1" applyBorder="1" applyAlignment="1">
      <alignment horizontal="left" vertical="top" wrapText="1"/>
    </xf>
    <xf numFmtId="0" fontId="43" fillId="2" borderId="1" xfId="0" applyFont="1" applyFill="1" applyBorder="1" applyAlignment="1">
      <alignment horizontal="center" wrapText="1"/>
    </xf>
    <xf numFmtId="0" fontId="44" fillId="2" borderId="1" xfId="0" applyFont="1" applyFill="1" applyBorder="1" applyAlignment="1">
      <alignment horizontal="left" vertical="top" wrapText="1"/>
    </xf>
    <xf numFmtId="164" fontId="45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wrapText="1"/>
    </xf>
    <xf numFmtId="0" fontId="8" fillId="2" borderId="8" xfId="2" applyFont="1" applyFill="1" applyBorder="1" applyAlignment="1">
      <alignment wrapText="1"/>
    </xf>
    <xf numFmtId="0" fontId="8" fillId="2" borderId="7" xfId="2" applyFont="1" applyFill="1" applyBorder="1" applyAlignment="1">
      <alignment horizontal="center" wrapText="1"/>
    </xf>
    <xf numFmtId="0" fontId="9" fillId="2" borderId="7" xfId="2" applyFont="1" applyFill="1" applyBorder="1" applyAlignment="1">
      <alignment horizontal="center" wrapText="1"/>
    </xf>
    <xf numFmtId="0" fontId="12" fillId="2" borderId="1" xfId="0" applyFont="1" applyFill="1" applyBorder="1"/>
    <xf numFmtId="164" fontId="13" fillId="2" borderId="1" xfId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164" fontId="14" fillId="2" borderId="1" xfId="0" applyNumberFormat="1" applyFont="1" applyFill="1" applyBorder="1"/>
    <xf numFmtId="0" fontId="0" fillId="2" borderId="1" xfId="0" applyFill="1" applyBorder="1"/>
    <xf numFmtId="16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12" fillId="2" borderId="1" xfId="1" applyFont="1" applyFill="1" applyBorder="1" applyAlignment="1">
      <alignment vertical="center"/>
    </xf>
    <xf numFmtId="164" fontId="0" fillId="2" borderId="1" xfId="1" applyFont="1" applyFill="1" applyBorder="1" applyAlignment="1">
      <alignment wrapText="1"/>
    </xf>
    <xf numFmtId="44" fontId="20" fillId="2" borderId="1" xfId="3" applyNumberFormat="1" applyFont="1" applyFill="1" applyBorder="1" applyAlignment="1">
      <alignment vertical="center" wrapText="1"/>
    </xf>
    <xf numFmtId="0" fontId="0" fillId="2" borderId="0" xfId="0" applyFont="1" applyFill="1"/>
    <xf numFmtId="0" fontId="35" fillId="2" borderId="0" xfId="0" applyFont="1" applyFill="1"/>
    <xf numFmtId="0" fontId="46" fillId="2" borderId="0" xfId="0" applyFont="1" applyFill="1"/>
    <xf numFmtId="0" fontId="34" fillId="2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64" fontId="9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/>
    </xf>
    <xf numFmtId="0" fontId="2" fillId="2" borderId="0" xfId="0" applyFont="1" applyFill="1"/>
    <xf numFmtId="164" fontId="8" fillId="2" borderId="1" xfId="1" applyFont="1" applyFill="1" applyBorder="1" applyAlignment="1">
      <alignment vertical="center"/>
    </xf>
    <xf numFmtId="164" fontId="7" fillId="2" borderId="1" xfId="1" applyFont="1" applyFill="1" applyBorder="1" applyAlignment="1">
      <alignment vertical="center"/>
    </xf>
    <xf numFmtId="164" fontId="8" fillId="2" borderId="1" xfId="1" applyFont="1" applyFill="1" applyBorder="1" applyAlignment="1">
      <alignment vertical="center" wrapText="1"/>
    </xf>
    <xf numFmtId="0" fontId="15" fillId="2" borderId="1" xfId="0" applyFont="1" applyFill="1" applyBorder="1"/>
    <xf numFmtId="0" fontId="15" fillId="2" borderId="0" xfId="0" applyFont="1" applyFill="1"/>
    <xf numFmtId="3" fontId="3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/>
    <xf numFmtId="164" fontId="15" fillId="2" borderId="1" xfId="1" applyFont="1" applyFill="1" applyBorder="1"/>
    <xf numFmtId="164" fontId="15" fillId="2" borderId="0" xfId="0" applyNumberFormat="1" applyFont="1" applyFill="1"/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164" fontId="3" fillId="2" borderId="1" xfId="1" applyFont="1" applyFill="1" applyBorder="1" applyAlignment="1">
      <alignment wrapText="1"/>
    </xf>
    <xf numFmtId="164" fontId="15" fillId="2" borderId="18" xfId="1" applyFont="1" applyFill="1" applyBorder="1" applyAlignment="1">
      <alignment wrapText="1"/>
    </xf>
    <xf numFmtId="164" fontId="15" fillId="2" borderId="0" xfId="1" applyFont="1" applyFill="1" applyBorder="1" applyAlignment="1">
      <alignment wrapText="1"/>
    </xf>
    <xf numFmtId="164" fontId="15" fillId="2" borderId="19" xfId="1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center" wrapText="1"/>
    </xf>
    <xf numFmtId="164" fontId="3" fillId="2" borderId="18" xfId="1" applyFont="1" applyFill="1" applyBorder="1" applyAlignment="1">
      <alignment wrapText="1"/>
    </xf>
    <xf numFmtId="164" fontId="3" fillId="2" borderId="0" xfId="1" applyFont="1" applyFill="1" applyBorder="1" applyAlignment="1">
      <alignment wrapText="1"/>
    </xf>
    <xf numFmtId="164" fontId="3" fillId="2" borderId="19" xfId="1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164" fontId="15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44" fontId="39" fillId="2" borderId="1" xfId="0" applyNumberFormat="1" applyFont="1" applyFill="1" applyBorder="1" applyAlignment="1">
      <alignment wrapText="1"/>
    </xf>
    <xf numFmtId="164" fontId="5" fillId="0" borderId="3" xfId="1" applyFont="1" applyFill="1" applyBorder="1" applyAlignment="1"/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4" xfId="1" applyFont="1" applyFill="1" applyBorder="1"/>
    <xf numFmtId="0" fontId="5" fillId="0" borderId="27" xfId="0" applyFont="1" applyFill="1" applyBorder="1"/>
    <xf numFmtId="0" fontId="4" fillId="0" borderId="1" xfId="0" applyFont="1" applyFill="1" applyBorder="1" applyAlignment="1"/>
    <xf numFmtId="164" fontId="4" fillId="0" borderId="1" xfId="1" applyFont="1" applyFill="1" applyBorder="1" applyAlignment="1"/>
    <xf numFmtId="0" fontId="0" fillId="0" borderId="0" xfId="0" applyFill="1" applyAlignment="1"/>
    <xf numFmtId="0" fontId="5" fillId="0" borderId="1" xfId="0" applyFont="1" applyFill="1" applyBorder="1" applyAlignment="1"/>
    <xf numFmtId="164" fontId="5" fillId="0" borderId="1" xfId="1" applyFont="1" applyFill="1" applyBorder="1" applyAlignment="1"/>
    <xf numFmtId="0" fontId="4" fillId="0" borderId="14" xfId="0" applyFont="1" applyFill="1" applyBorder="1" applyAlignment="1"/>
    <xf numFmtId="164" fontId="4" fillId="0" borderId="14" xfId="1" applyFont="1" applyFill="1" applyBorder="1" applyAlignment="1"/>
    <xf numFmtId="0" fontId="4" fillId="0" borderId="26" xfId="0" applyFont="1" applyFill="1" applyBorder="1" applyAlignment="1"/>
    <xf numFmtId="0" fontId="5" fillId="0" borderId="27" xfId="0" applyFont="1" applyFill="1" applyBorder="1" applyAlignment="1"/>
    <xf numFmtId="0" fontId="5" fillId="0" borderId="14" xfId="0" applyFont="1" applyFill="1" applyBorder="1" applyAlignment="1"/>
    <xf numFmtId="164" fontId="5" fillId="0" borderId="14" xfId="1" applyFont="1" applyFill="1" applyBorder="1" applyAlignment="1"/>
    <xf numFmtId="0" fontId="10" fillId="0" borderId="1" xfId="0" applyFont="1" applyFill="1" applyBorder="1"/>
    <xf numFmtId="164" fontId="10" fillId="0" borderId="1" xfId="1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1" xfId="1" applyFont="1" applyFill="1" applyBorder="1" applyAlignment="1">
      <alignment wrapText="1"/>
    </xf>
    <xf numFmtId="165" fontId="5" fillId="0" borderId="1" xfId="5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164" fontId="11" fillId="0" borderId="1" xfId="1" applyFont="1" applyFill="1" applyBorder="1" applyAlignment="1"/>
    <xf numFmtId="164" fontId="4" fillId="0" borderId="14" xfId="1" applyFont="1" applyFill="1" applyBorder="1" applyAlignment="1">
      <alignment vertical="top"/>
    </xf>
    <xf numFmtId="166" fontId="5" fillId="0" borderId="1" xfId="5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164" fontId="6" fillId="2" borderId="1" xfId="1" applyFont="1" applyFill="1" applyBorder="1"/>
    <xf numFmtId="0" fontId="7" fillId="2" borderId="1" xfId="0" applyFont="1" applyFill="1" applyBorder="1"/>
    <xf numFmtId="164" fontId="7" fillId="2" borderId="1" xfId="0" applyNumberFormat="1" applyFont="1" applyFill="1" applyBorder="1"/>
    <xf numFmtId="164" fontId="7" fillId="2" borderId="1" xfId="1" applyFont="1" applyFill="1" applyBorder="1"/>
    <xf numFmtId="0" fontId="9" fillId="2" borderId="0" xfId="0" applyFont="1" applyFill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44" fontId="6" fillId="2" borderId="1" xfId="0" applyNumberFormat="1" applyFont="1" applyFill="1" applyBorder="1"/>
    <xf numFmtId="44" fontId="7" fillId="2" borderId="1" xfId="0" applyNumberFormat="1" applyFont="1" applyFill="1" applyBorder="1"/>
    <xf numFmtId="164" fontId="8" fillId="2" borderId="1" xfId="1" applyFont="1" applyFill="1" applyBorder="1"/>
    <xf numFmtId="0" fontId="48" fillId="2" borderId="0" xfId="0" applyFont="1" applyFill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wrapText="1"/>
    </xf>
    <xf numFmtId="164" fontId="9" fillId="2" borderId="1" xfId="1" applyFont="1" applyFill="1" applyBorder="1" applyAlignment="1">
      <alignment wrapText="1"/>
    </xf>
    <xf numFmtId="164" fontId="8" fillId="2" borderId="1" xfId="1" applyFont="1" applyFill="1" applyBorder="1" applyAlignment="1">
      <alignment wrapText="1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wrapText="1"/>
    </xf>
    <xf numFmtId="164" fontId="6" fillId="2" borderId="1" xfId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9" xfId="2" applyFont="1" applyFill="1" applyBorder="1" applyAlignment="1">
      <alignment horizontal="center" wrapText="1"/>
    </xf>
    <xf numFmtId="0" fontId="9" fillId="2" borderId="9" xfId="2" applyFont="1" applyFill="1" applyBorder="1" applyAlignment="1">
      <alignment wrapText="1"/>
    </xf>
    <xf numFmtId="164" fontId="9" fillId="2" borderId="9" xfId="1" applyFont="1" applyFill="1" applyBorder="1" applyAlignment="1">
      <alignment wrapText="1"/>
    </xf>
    <xf numFmtId="0" fontId="50" fillId="2" borderId="10" xfId="2" applyFont="1" applyFill="1" applyBorder="1" applyAlignment="1">
      <alignment horizontal="center" wrapText="1"/>
    </xf>
    <xf numFmtId="0" fontId="8" fillId="2" borderId="11" xfId="2" applyFont="1" applyFill="1" applyBorder="1" applyAlignment="1">
      <alignment wrapText="1"/>
    </xf>
    <xf numFmtId="164" fontId="50" fillId="2" borderId="12" xfId="1" applyFont="1" applyFill="1" applyBorder="1" applyAlignment="1">
      <alignment wrapText="1"/>
    </xf>
    <xf numFmtId="164" fontId="51" fillId="2" borderId="12" xfId="1" applyFont="1" applyFill="1" applyBorder="1" applyAlignment="1">
      <alignment wrapText="1"/>
    </xf>
    <xf numFmtId="164" fontId="51" fillId="2" borderId="13" xfId="1" applyFont="1" applyFill="1" applyBorder="1" applyAlignment="1">
      <alignment wrapText="1"/>
    </xf>
    <xf numFmtId="0" fontId="8" fillId="2" borderId="14" xfId="2" applyFont="1" applyFill="1" applyBorder="1" applyAlignment="1">
      <alignment horizontal="center" wrapText="1"/>
    </xf>
    <xf numFmtId="0" fontId="8" fillId="2" borderId="14" xfId="2" applyFont="1" applyFill="1" applyBorder="1" applyAlignment="1">
      <alignment wrapText="1"/>
    </xf>
    <xf numFmtId="164" fontId="8" fillId="2" borderId="14" xfId="1" applyFont="1" applyFill="1" applyBorder="1" applyAlignment="1">
      <alignment wrapText="1"/>
    </xf>
    <xf numFmtId="0" fontId="8" fillId="2" borderId="15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0" fontId="9" fillId="2" borderId="3" xfId="2" applyFont="1" applyFill="1" applyBorder="1" applyAlignment="1">
      <alignment horizontal="center" wrapText="1"/>
    </xf>
    <xf numFmtId="0" fontId="9" fillId="2" borderId="2" xfId="2" applyFont="1" applyFill="1" applyBorder="1" applyAlignment="1">
      <alignment wrapText="1"/>
    </xf>
    <xf numFmtId="44" fontId="39" fillId="2" borderId="1" xfId="3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164" fontId="20" fillId="0" borderId="1" xfId="1" applyFont="1" applyFill="1" applyBorder="1" applyAlignment="1">
      <alignment wrapText="1"/>
    </xf>
    <xf numFmtId="0" fontId="20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1" fillId="2" borderId="1" xfId="0" applyFont="1" applyFill="1" applyBorder="1"/>
    <xf numFmtId="164" fontId="6" fillId="0" borderId="1" xfId="1" applyFont="1" applyFill="1" applyBorder="1"/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35" fillId="2" borderId="0" xfId="0" applyNumberFormat="1" applyFont="1" applyFill="1"/>
    <xf numFmtId="164" fontId="0" fillId="2" borderId="0" xfId="0" applyNumberFormat="1" applyFill="1" applyAlignment="1">
      <alignment wrapText="1"/>
    </xf>
    <xf numFmtId="164" fontId="0" fillId="2" borderId="0" xfId="0" applyNumberFormat="1" applyFont="1" applyFill="1"/>
    <xf numFmtId="164" fontId="0" fillId="0" borderId="0" xfId="0" applyNumberForma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4" fontId="0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164" fontId="9" fillId="0" borderId="1" xfId="1" applyFont="1" applyFill="1" applyBorder="1" applyAlignment="1">
      <alignment wrapText="1"/>
    </xf>
    <xf numFmtId="164" fontId="6" fillId="0" borderId="1" xfId="1" applyFont="1" applyFill="1" applyBorder="1" applyAlignment="1">
      <alignment wrapText="1"/>
    </xf>
    <xf numFmtId="44" fontId="20" fillId="0" borderId="0" xfId="3" applyNumberFormat="1" applyFont="1" applyFill="1" applyBorder="1" applyAlignment="1">
      <alignment vertical="center" wrapText="1"/>
    </xf>
    <xf numFmtId="164" fontId="20" fillId="0" borderId="1" xfId="1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47" fillId="2" borderId="1" xfId="2" applyFont="1" applyFill="1" applyBorder="1" applyAlignment="1">
      <alignment horizontal="center" vertical="center" wrapText="1"/>
    </xf>
    <xf numFmtId="0" fontId="47" fillId="2" borderId="1" xfId="2" applyFont="1" applyFill="1" applyBorder="1" applyAlignment="1">
      <alignment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0" fontId="48" fillId="0" borderId="0" xfId="0" applyFont="1" applyFill="1" applyAlignment="1"/>
    <xf numFmtId="0" fontId="47" fillId="3" borderId="0" xfId="0" applyFont="1" applyFill="1"/>
    <xf numFmtId="44" fontId="54" fillId="3" borderId="0" xfId="0" applyNumberFormat="1" applyFont="1" applyFill="1"/>
    <xf numFmtId="0" fontId="54" fillId="3" borderId="0" xfId="0" applyFont="1" applyFill="1"/>
    <xf numFmtId="164" fontId="4" fillId="2" borderId="1" xfId="1" applyNumberFormat="1" applyFont="1" applyFill="1" applyBorder="1"/>
    <xf numFmtId="44" fontId="0" fillId="2" borderId="0" xfId="0" applyNumberFormat="1" applyFill="1"/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164" fontId="0" fillId="2" borderId="0" xfId="1" applyFont="1" applyFill="1" applyAlignment="1">
      <alignment wrapText="1"/>
    </xf>
    <xf numFmtId="44" fontId="55" fillId="3" borderId="0" xfId="0" applyNumberFormat="1" applyFont="1" applyFill="1"/>
    <xf numFmtId="164" fontId="3" fillId="4" borderId="0" xfId="1" applyFont="1" applyFill="1"/>
    <xf numFmtId="44" fontId="48" fillId="2" borderId="0" xfId="0" applyNumberFormat="1" applyFont="1" applyFill="1" applyAlignment="1">
      <alignment wrapText="1"/>
    </xf>
    <xf numFmtId="44" fontId="37" fillId="2" borderId="0" xfId="0" applyNumberFormat="1" applyFont="1" applyFill="1"/>
    <xf numFmtId="44" fontId="56" fillId="2" borderId="1" xfId="3" applyNumberFormat="1" applyFont="1" applyFill="1" applyBorder="1" applyAlignment="1">
      <alignment vertical="center" wrapText="1"/>
    </xf>
    <xf numFmtId="44" fontId="47" fillId="3" borderId="0" xfId="0" applyNumberFormat="1" applyFont="1" applyFill="1"/>
    <xf numFmtId="164" fontId="5" fillId="0" borderId="33" xfId="1" applyFont="1" applyFill="1" applyBorder="1"/>
    <xf numFmtId="164" fontId="5" fillId="0" borderId="1" xfId="1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44" fontId="35" fillId="2" borderId="0" xfId="0" applyNumberFormat="1" applyFont="1" applyFill="1"/>
    <xf numFmtId="164" fontId="0" fillId="2" borderId="0" xfId="1" applyFont="1" applyFill="1"/>
    <xf numFmtId="164" fontId="35" fillId="2" borderId="0" xfId="1" applyFont="1" applyFill="1"/>
    <xf numFmtId="164" fontId="57" fillId="2" borderId="0" xfId="1" applyFont="1" applyFill="1"/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wrapText="1"/>
    </xf>
    <xf numFmtId="0" fontId="9" fillId="2" borderId="17" xfId="2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 wrapText="1"/>
    </xf>
    <xf numFmtId="0" fontId="34" fillId="2" borderId="4" xfId="2" applyFont="1" applyFill="1" applyBorder="1" applyAlignment="1">
      <alignment horizontal="center" vertical="center" wrapText="1"/>
    </xf>
    <xf numFmtId="0" fontId="34" fillId="2" borderId="6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wrapText="1"/>
    </xf>
    <xf numFmtId="0" fontId="23" fillId="2" borderId="3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0" fontId="23" fillId="2" borderId="2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6" fillId="2" borderId="17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36" fillId="2" borderId="3" xfId="3" applyFont="1" applyFill="1" applyBorder="1" applyAlignment="1">
      <alignment horizontal="center" vertical="center" wrapText="1"/>
    </xf>
    <xf numFmtId="0" fontId="36" fillId="2" borderId="17" xfId="3" applyFont="1" applyFill="1" applyBorder="1" applyAlignment="1">
      <alignment horizontal="center" vertical="center" wrapText="1"/>
    </xf>
    <xf numFmtId="0" fontId="36" fillId="2" borderId="2" xfId="3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 vertical="top" wrapText="1"/>
    </xf>
    <xf numFmtId="0" fontId="4" fillId="2" borderId="1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left"/>
    </xf>
    <xf numFmtId="0" fontId="7" fillId="2" borderId="0" xfId="4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4" fontId="0" fillId="0" borderId="0" xfId="0" applyNumberFormat="1" applyAlignment="1">
      <alignment wrapText="1"/>
    </xf>
    <xf numFmtId="0" fontId="34" fillId="2" borderId="0" xfId="2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164" fontId="14" fillId="2" borderId="0" xfId="0" applyNumberFormat="1" applyFont="1" applyFill="1" applyBorder="1"/>
    <xf numFmtId="0" fontId="0" fillId="2" borderId="0" xfId="0" applyFill="1" applyBorder="1"/>
    <xf numFmtId="164" fontId="12" fillId="2" borderId="0" xfId="0" applyNumberFormat="1" applyFont="1" applyFill="1" applyBorder="1"/>
    <xf numFmtId="164" fontId="7" fillId="5" borderId="1" xfId="1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</cellXfs>
  <cellStyles count="7">
    <cellStyle name="Moneda" xfId="1" builtinId="4"/>
    <cellStyle name="Moneda 3" xfId="5"/>
    <cellStyle name="Normal" xfId="0" builtinId="0"/>
    <cellStyle name="Normal 2" xfId="4"/>
    <cellStyle name="Normal 2 2" xfId="6"/>
    <cellStyle name="Normal 3" xfId="2"/>
    <cellStyle name="Normal 6" xfId="3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6"/>
  <sheetViews>
    <sheetView zoomScale="90" zoomScaleNormal="90" workbookViewId="0">
      <pane ySplit="7" topLeftCell="A8" activePane="bottomLeft" state="frozen"/>
      <selection pane="bottomLeft" activeCell="L28" sqref="L28"/>
    </sheetView>
  </sheetViews>
  <sheetFormatPr baseColWidth="10" defaultRowHeight="15.75" x14ac:dyDescent="0.25"/>
  <cols>
    <col min="1" max="1" width="3.85546875" style="274" customWidth="1"/>
    <col min="2" max="2" width="10.85546875" style="274" customWidth="1"/>
    <col min="3" max="3" width="34.5703125" style="274" customWidth="1"/>
    <col min="4" max="4" width="15.140625" style="274" customWidth="1"/>
    <col min="5" max="5" width="14.85546875" style="274" customWidth="1"/>
    <col min="6" max="6" width="15" style="274" customWidth="1"/>
    <col min="7" max="7" width="15.140625" style="274" customWidth="1"/>
    <col min="8" max="8" width="14.85546875" style="274" customWidth="1"/>
    <col min="9" max="9" width="15.140625" style="274" customWidth="1"/>
    <col min="10" max="10" width="15.140625" style="274" bestFit="1" customWidth="1"/>
    <col min="11" max="11" width="15.7109375" style="274" customWidth="1"/>
    <col min="12" max="12" width="14.85546875" style="274" customWidth="1"/>
    <col min="13" max="13" width="15.28515625" style="274" customWidth="1"/>
    <col min="14" max="14" width="15" style="274" customWidth="1"/>
    <col min="15" max="15" width="15.28515625" style="274" customWidth="1"/>
    <col min="16" max="16" width="17.28515625" style="274" customWidth="1"/>
    <col min="17" max="17" width="11.42578125" style="274"/>
    <col min="18" max="18" width="14.42578125" style="274" bestFit="1" customWidth="1"/>
    <col min="19" max="16384" width="11.42578125" style="274"/>
  </cols>
  <sheetData>
    <row r="2" spans="2:16" x14ac:dyDescent="0.25">
      <c r="B2" s="383" t="s">
        <v>54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</row>
    <row r="3" spans="2:16" x14ac:dyDescent="0.25">
      <c r="B3" s="384" t="s">
        <v>417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2:16" x14ac:dyDescent="0.25">
      <c r="B4" s="384" t="s">
        <v>53</v>
      </c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2:16" x14ac:dyDescent="0.25">
      <c r="B5" s="384" t="s">
        <v>52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</row>
    <row r="6" spans="2:16" x14ac:dyDescent="0.25"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7" spans="2:16" x14ac:dyDescent="0.25">
      <c r="B7" s="279" t="s">
        <v>51</v>
      </c>
      <c r="C7" s="350" t="s">
        <v>50</v>
      </c>
      <c r="D7" s="279" t="s">
        <v>49</v>
      </c>
      <c r="E7" s="279" t="s">
        <v>48</v>
      </c>
      <c r="F7" s="279" t="s">
        <v>47</v>
      </c>
      <c r="G7" s="279" t="s">
        <v>46</v>
      </c>
      <c r="H7" s="279" t="s">
        <v>45</v>
      </c>
      <c r="I7" s="279" t="s">
        <v>44</v>
      </c>
      <c r="J7" s="279" t="s">
        <v>43</v>
      </c>
      <c r="K7" s="279" t="s">
        <v>42</v>
      </c>
      <c r="L7" s="279" t="s">
        <v>41</v>
      </c>
      <c r="M7" s="279" t="s">
        <v>40</v>
      </c>
      <c r="N7" s="279" t="s">
        <v>39</v>
      </c>
      <c r="O7" s="279" t="s">
        <v>38</v>
      </c>
      <c r="P7" s="279" t="s">
        <v>0</v>
      </c>
    </row>
    <row r="8" spans="2:16" x14ac:dyDescent="0.25">
      <c r="B8" s="279">
        <v>11</v>
      </c>
      <c r="C8" s="351" t="s">
        <v>37</v>
      </c>
      <c r="D8" s="352">
        <f>SUM(D9:D9)</f>
        <v>4825.12</v>
      </c>
      <c r="E8" s="352">
        <f t="shared" ref="E8:O8" si="0">SUM(E9:E9)</f>
        <v>4750.12</v>
      </c>
      <c r="F8" s="352">
        <f t="shared" si="0"/>
        <v>4700.12</v>
      </c>
      <c r="G8" s="352">
        <f t="shared" si="0"/>
        <v>4575.12</v>
      </c>
      <c r="H8" s="352">
        <f t="shared" si="0"/>
        <v>5300.12</v>
      </c>
      <c r="I8" s="352">
        <f t="shared" si="0"/>
        <v>4675.12</v>
      </c>
      <c r="J8" s="352">
        <f t="shared" si="0"/>
        <v>5025.12</v>
      </c>
      <c r="K8" s="352">
        <f t="shared" si="0"/>
        <v>4575.12</v>
      </c>
      <c r="L8" s="352">
        <f t="shared" si="0"/>
        <v>4475.12</v>
      </c>
      <c r="M8" s="352">
        <f t="shared" si="0"/>
        <v>4425.12</v>
      </c>
      <c r="N8" s="352">
        <f t="shared" si="0"/>
        <v>4475.12</v>
      </c>
      <c r="O8" s="352">
        <f t="shared" si="0"/>
        <v>4095.12</v>
      </c>
      <c r="P8" s="352">
        <f>SUM(P9)</f>
        <v>55896.44</v>
      </c>
    </row>
    <row r="9" spans="2:16" x14ac:dyDescent="0.25">
      <c r="B9" s="279">
        <v>118</v>
      </c>
      <c r="C9" s="351" t="s">
        <v>36</v>
      </c>
      <c r="D9" s="352">
        <f t="shared" ref="D9:P9" si="1">SUM(D10:D13)</f>
        <v>4825.12</v>
      </c>
      <c r="E9" s="352">
        <f t="shared" si="1"/>
        <v>4750.12</v>
      </c>
      <c r="F9" s="352">
        <f t="shared" si="1"/>
        <v>4700.12</v>
      </c>
      <c r="G9" s="352">
        <f t="shared" si="1"/>
        <v>4575.12</v>
      </c>
      <c r="H9" s="352">
        <f t="shared" si="1"/>
        <v>5300.12</v>
      </c>
      <c r="I9" s="352">
        <f t="shared" si="1"/>
        <v>4675.12</v>
      </c>
      <c r="J9" s="352">
        <f t="shared" si="1"/>
        <v>5025.12</v>
      </c>
      <c r="K9" s="352">
        <f t="shared" si="1"/>
        <v>4575.12</v>
      </c>
      <c r="L9" s="352">
        <f t="shared" si="1"/>
        <v>4475.12</v>
      </c>
      <c r="M9" s="352">
        <f t="shared" si="1"/>
        <v>4425.12</v>
      </c>
      <c r="N9" s="352">
        <f t="shared" si="1"/>
        <v>4475.12</v>
      </c>
      <c r="O9" s="352">
        <f t="shared" si="1"/>
        <v>4095.12</v>
      </c>
      <c r="P9" s="352">
        <f t="shared" si="1"/>
        <v>55896.44</v>
      </c>
    </row>
    <row r="10" spans="2:16" x14ac:dyDescent="0.25">
      <c r="B10" s="330">
        <v>11801</v>
      </c>
      <c r="C10" s="189" t="s">
        <v>35</v>
      </c>
      <c r="D10" s="277">
        <v>1000</v>
      </c>
      <c r="E10" s="277">
        <v>925</v>
      </c>
      <c r="F10" s="277">
        <v>925</v>
      </c>
      <c r="G10" s="277">
        <v>600</v>
      </c>
      <c r="H10" s="277">
        <v>925</v>
      </c>
      <c r="I10" s="277">
        <v>900</v>
      </c>
      <c r="J10" s="277">
        <v>950</v>
      </c>
      <c r="K10" s="277">
        <v>600</v>
      </c>
      <c r="L10" s="277">
        <v>800</v>
      </c>
      <c r="M10" s="277">
        <v>800</v>
      </c>
      <c r="N10" s="277">
        <v>850</v>
      </c>
      <c r="O10" s="277">
        <v>500</v>
      </c>
      <c r="P10" s="278">
        <f t="shared" ref="P10:P13" si="2">SUM(D10:O10)</f>
        <v>9775</v>
      </c>
    </row>
    <row r="11" spans="2:16" x14ac:dyDescent="0.25">
      <c r="B11" s="330">
        <v>11802</v>
      </c>
      <c r="C11" s="189" t="s">
        <v>34</v>
      </c>
      <c r="D11" s="277">
        <v>275.12</v>
      </c>
      <c r="E11" s="277">
        <v>275.12</v>
      </c>
      <c r="F11" s="277">
        <v>275.12</v>
      </c>
      <c r="G11" s="277">
        <v>275.12</v>
      </c>
      <c r="H11" s="277">
        <v>275.12</v>
      </c>
      <c r="I11" s="277">
        <v>275.12</v>
      </c>
      <c r="J11" s="277">
        <v>275.12</v>
      </c>
      <c r="K11" s="277">
        <v>275.12</v>
      </c>
      <c r="L11" s="277">
        <v>275.12</v>
      </c>
      <c r="M11" s="277">
        <v>275.12</v>
      </c>
      <c r="N11" s="277">
        <v>275.12</v>
      </c>
      <c r="O11" s="277">
        <v>275.12</v>
      </c>
      <c r="P11" s="278">
        <f t="shared" si="2"/>
        <v>3301.4399999999991</v>
      </c>
    </row>
    <row r="12" spans="2:16" x14ac:dyDescent="0.25">
      <c r="B12" s="330">
        <v>11804</v>
      </c>
      <c r="C12" s="189" t="s">
        <v>33</v>
      </c>
      <c r="D12" s="277">
        <v>3300</v>
      </c>
      <c r="E12" s="277">
        <v>3300</v>
      </c>
      <c r="F12" s="277">
        <v>3300</v>
      </c>
      <c r="G12" s="277">
        <v>3300</v>
      </c>
      <c r="H12" s="277">
        <v>3300</v>
      </c>
      <c r="I12" s="277">
        <v>3300</v>
      </c>
      <c r="J12" s="277">
        <v>3300</v>
      </c>
      <c r="K12" s="277">
        <v>3300</v>
      </c>
      <c r="L12" s="277">
        <v>3300</v>
      </c>
      <c r="M12" s="277">
        <v>3300</v>
      </c>
      <c r="N12" s="277">
        <v>3300</v>
      </c>
      <c r="O12" s="277">
        <v>3300</v>
      </c>
      <c r="P12" s="278">
        <f t="shared" si="2"/>
        <v>39600</v>
      </c>
    </row>
    <row r="13" spans="2:16" x14ac:dyDescent="0.25">
      <c r="B13" s="330">
        <v>11818</v>
      </c>
      <c r="C13" s="189" t="s">
        <v>32</v>
      </c>
      <c r="D13" s="277">
        <v>250</v>
      </c>
      <c r="E13" s="277">
        <v>250</v>
      </c>
      <c r="F13" s="277">
        <v>200</v>
      </c>
      <c r="G13" s="277">
        <v>400</v>
      </c>
      <c r="H13" s="277">
        <v>800</v>
      </c>
      <c r="I13" s="277">
        <v>200</v>
      </c>
      <c r="J13" s="277">
        <v>500</v>
      </c>
      <c r="K13" s="277">
        <v>400</v>
      </c>
      <c r="L13" s="277">
        <v>100</v>
      </c>
      <c r="M13" s="277">
        <v>50</v>
      </c>
      <c r="N13" s="277">
        <v>50</v>
      </c>
      <c r="O13" s="277">
        <v>20</v>
      </c>
      <c r="P13" s="278">
        <f t="shared" si="2"/>
        <v>3220</v>
      </c>
    </row>
    <row r="14" spans="2:16" x14ac:dyDescent="0.25">
      <c r="B14" s="279">
        <v>12</v>
      </c>
      <c r="C14" s="351" t="s">
        <v>31</v>
      </c>
      <c r="D14" s="278">
        <f t="shared" ref="D14:P14" si="3">SUM(D15+D31)</f>
        <v>95098.77</v>
      </c>
      <c r="E14" s="278">
        <f t="shared" si="3"/>
        <v>95499.09</v>
      </c>
      <c r="F14" s="278">
        <f t="shared" si="3"/>
        <v>97070.27</v>
      </c>
      <c r="G14" s="278">
        <f t="shared" si="3"/>
        <v>97216.700000000012</v>
      </c>
      <c r="H14" s="278">
        <f t="shared" si="3"/>
        <v>97054.33</v>
      </c>
      <c r="I14" s="278">
        <f t="shared" si="3"/>
        <v>97027.37</v>
      </c>
      <c r="J14" s="278">
        <f t="shared" si="3"/>
        <v>96788.78</v>
      </c>
      <c r="K14" s="278">
        <f t="shared" si="3"/>
        <v>96891.790000000008</v>
      </c>
      <c r="L14" s="278">
        <f t="shared" si="3"/>
        <v>96711.31</v>
      </c>
      <c r="M14" s="278">
        <f t="shared" si="3"/>
        <v>96393.76999999999</v>
      </c>
      <c r="N14" s="278">
        <f t="shared" si="3"/>
        <v>96374.17</v>
      </c>
      <c r="O14" s="278">
        <f t="shared" si="3"/>
        <v>91860.22</v>
      </c>
      <c r="P14" s="278">
        <f t="shared" si="3"/>
        <v>1153986.5699999998</v>
      </c>
    </row>
    <row r="15" spans="2:16" x14ac:dyDescent="0.25">
      <c r="B15" s="279">
        <v>121</v>
      </c>
      <c r="C15" s="351" t="s">
        <v>30</v>
      </c>
      <c r="D15" s="278">
        <f>SUM(D16:D30)</f>
        <v>93098.77</v>
      </c>
      <c r="E15" s="278">
        <f t="shared" ref="E15:O15" si="4">SUM(E16:E30)</f>
        <v>94499.09</v>
      </c>
      <c r="F15" s="278">
        <f t="shared" si="4"/>
        <v>96070.27</v>
      </c>
      <c r="G15" s="278">
        <f t="shared" si="4"/>
        <v>96216.700000000012</v>
      </c>
      <c r="H15" s="278">
        <f t="shared" si="4"/>
        <v>96054.33</v>
      </c>
      <c r="I15" s="278">
        <f t="shared" si="4"/>
        <v>96027.37</v>
      </c>
      <c r="J15" s="278">
        <f t="shared" si="4"/>
        <v>95788.78</v>
      </c>
      <c r="K15" s="278">
        <f t="shared" si="4"/>
        <v>95891.790000000008</v>
      </c>
      <c r="L15" s="278">
        <f t="shared" si="4"/>
        <v>95711.31</v>
      </c>
      <c r="M15" s="278">
        <f t="shared" si="4"/>
        <v>95393.76999999999</v>
      </c>
      <c r="N15" s="278">
        <f t="shared" si="4"/>
        <v>95874.17</v>
      </c>
      <c r="O15" s="278">
        <f t="shared" si="4"/>
        <v>91360.22</v>
      </c>
      <c r="P15" s="278">
        <f>SUM(P16:P30)</f>
        <v>1141986.5699999998</v>
      </c>
    </row>
    <row r="16" spans="2:16" x14ac:dyDescent="0.25">
      <c r="B16" s="330">
        <v>12105</v>
      </c>
      <c r="C16" s="189" t="s">
        <v>29</v>
      </c>
      <c r="D16" s="277">
        <v>1620</v>
      </c>
      <c r="E16" s="277">
        <v>1620</v>
      </c>
      <c r="F16" s="277">
        <v>1440</v>
      </c>
      <c r="G16" s="277">
        <v>1350</v>
      </c>
      <c r="H16" s="277">
        <v>1395</v>
      </c>
      <c r="I16" s="277">
        <v>1305</v>
      </c>
      <c r="J16" s="277">
        <v>1260</v>
      </c>
      <c r="K16" s="277">
        <v>1242</v>
      </c>
      <c r="L16" s="277">
        <v>1215</v>
      </c>
      <c r="M16" s="277">
        <v>900</v>
      </c>
      <c r="N16" s="277">
        <v>1440</v>
      </c>
      <c r="O16" s="277">
        <v>810</v>
      </c>
      <c r="P16" s="278">
        <f t="shared" ref="P16:P30" si="5">SUM(D16:O16)</f>
        <v>15597</v>
      </c>
    </row>
    <row r="17" spans="2:18" ht="30" x14ac:dyDescent="0.25">
      <c r="B17" s="330">
        <v>12106</v>
      </c>
      <c r="C17" s="189" t="s">
        <v>28</v>
      </c>
      <c r="D17" s="277">
        <v>78.75</v>
      </c>
      <c r="E17" s="277">
        <v>88.2</v>
      </c>
      <c r="F17" s="277">
        <v>63</v>
      </c>
      <c r="G17" s="277">
        <v>69.3</v>
      </c>
      <c r="H17" s="277">
        <v>59.85</v>
      </c>
      <c r="I17" s="277">
        <v>56.7</v>
      </c>
      <c r="J17" s="277">
        <v>53.85</v>
      </c>
      <c r="K17" s="277">
        <v>47.25</v>
      </c>
      <c r="L17" s="277">
        <v>37.799999999999997</v>
      </c>
      <c r="M17" s="277">
        <v>56.7</v>
      </c>
      <c r="N17" s="277">
        <v>6</v>
      </c>
      <c r="O17" s="277">
        <v>47.25</v>
      </c>
      <c r="P17" s="278">
        <f t="shared" si="5"/>
        <v>664.65000000000009</v>
      </c>
    </row>
    <row r="18" spans="2:18" x14ac:dyDescent="0.25">
      <c r="B18" s="330">
        <v>12107</v>
      </c>
      <c r="C18" s="189" t="s">
        <v>27</v>
      </c>
      <c r="D18" s="277">
        <v>700</v>
      </c>
      <c r="E18" s="277">
        <v>650</v>
      </c>
      <c r="F18" s="277">
        <v>650</v>
      </c>
      <c r="G18" s="277">
        <v>700</v>
      </c>
      <c r="H18" s="277">
        <v>650</v>
      </c>
      <c r="I18" s="277">
        <v>650</v>
      </c>
      <c r="J18" s="277">
        <v>650</v>
      </c>
      <c r="K18" s="277">
        <v>700</v>
      </c>
      <c r="L18" s="277">
        <v>650</v>
      </c>
      <c r="M18" s="277">
        <v>650</v>
      </c>
      <c r="N18" s="277">
        <v>650</v>
      </c>
      <c r="O18" s="277">
        <v>700</v>
      </c>
      <c r="P18" s="278">
        <f t="shared" si="5"/>
        <v>8000</v>
      </c>
    </row>
    <row r="19" spans="2:18" x14ac:dyDescent="0.25">
      <c r="B19" s="330">
        <v>12108</v>
      </c>
      <c r="C19" s="189" t="s">
        <v>26</v>
      </c>
      <c r="D19" s="277">
        <v>4600</v>
      </c>
      <c r="E19" s="277">
        <v>4600</v>
      </c>
      <c r="F19" s="277">
        <v>4600</v>
      </c>
      <c r="G19" s="277">
        <v>4600</v>
      </c>
      <c r="H19" s="277">
        <v>4600</v>
      </c>
      <c r="I19" s="277">
        <v>4600</v>
      </c>
      <c r="J19" s="277">
        <v>4600</v>
      </c>
      <c r="K19" s="277">
        <v>4600</v>
      </c>
      <c r="L19" s="277">
        <v>4600</v>
      </c>
      <c r="M19" s="277">
        <v>4600</v>
      </c>
      <c r="N19" s="277">
        <v>4600</v>
      </c>
      <c r="O19" s="277">
        <v>4200</v>
      </c>
      <c r="P19" s="278">
        <f>SUM(D19:O19)</f>
        <v>54800</v>
      </c>
    </row>
    <row r="20" spans="2:18" x14ac:dyDescent="0.25">
      <c r="B20" s="330">
        <v>12109</v>
      </c>
      <c r="C20" s="189" t="s">
        <v>25</v>
      </c>
      <c r="D20" s="277">
        <v>26000</v>
      </c>
      <c r="E20" s="277">
        <v>26000</v>
      </c>
      <c r="F20" s="277">
        <v>26000</v>
      </c>
      <c r="G20" s="277">
        <v>26000</v>
      </c>
      <c r="H20" s="277">
        <v>26000</v>
      </c>
      <c r="I20" s="277">
        <v>26000</v>
      </c>
      <c r="J20" s="277">
        <v>26000</v>
      </c>
      <c r="K20" s="277">
        <v>26000</v>
      </c>
      <c r="L20" s="277">
        <v>26000</v>
      </c>
      <c r="M20" s="277">
        <v>26000</v>
      </c>
      <c r="N20" s="277">
        <v>26000</v>
      </c>
      <c r="O20" s="277">
        <v>26000</v>
      </c>
      <c r="P20" s="461">
        <f t="shared" si="5"/>
        <v>312000</v>
      </c>
      <c r="R20" s="371">
        <f>P20+P21+P22</f>
        <v>316770</v>
      </c>
    </row>
    <row r="21" spans="2:18" x14ac:dyDescent="0.25">
      <c r="B21" s="330">
        <v>1210902</v>
      </c>
      <c r="C21" s="189" t="s">
        <v>390</v>
      </c>
      <c r="D21" s="277">
        <v>275</v>
      </c>
      <c r="E21" s="277">
        <v>275</v>
      </c>
      <c r="F21" s="277">
        <v>275</v>
      </c>
      <c r="G21" s="277">
        <v>275</v>
      </c>
      <c r="H21" s="277">
        <v>275</v>
      </c>
      <c r="I21" s="277">
        <v>275</v>
      </c>
      <c r="J21" s="277">
        <v>275</v>
      </c>
      <c r="K21" s="277">
        <v>275</v>
      </c>
      <c r="L21" s="277">
        <v>275</v>
      </c>
      <c r="M21" s="277">
        <v>275</v>
      </c>
      <c r="N21" s="277">
        <v>275</v>
      </c>
      <c r="O21" s="277">
        <v>275</v>
      </c>
      <c r="P21" s="461">
        <f t="shared" si="5"/>
        <v>3300</v>
      </c>
    </row>
    <row r="22" spans="2:18" x14ac:dyDescent="0.25">
      <c r="B22" s="330">
        <v>1210903</v>
      </c>
      <c r="C22" s="189" t="s">
        <v>391</v>
      </c>
      <c r="D22" s="277">
        <v>125</v>
      </c>
      <c r="E22" s="277">
        <v>125</v>
      </c>
      <c r="F22" s="277">
        <v>125</v>
      </c>
      <c r="G22" s="277">
        <v>115</v>
      </c>
      <c r="H22" s="277">
        <v>125</v>
      </c>
      <c r="I22" s="277">
        <v>125</v>
      </c>
      <c r="J22" s="277">
        <v>125</v>
      </c>
      <c r="K22" s="277">
        <v>115</v>
      </c>
      <c r="L22" s="277">
        <v>125</v>
      </c>
      <c r="M22" s="277">
        <v>125</v>
      </c>
      <c r="N22" s="277">
        <v>125</v>
      </c>
      <c r="O22" s="277">
        <v>115</v>
      </c>
      <c r="P22" s="461">
        <f t="shared" si="5"/>
        <v>1470</v>
      </c>
    </row>
    <row r="23" spans="2:18" x14ac:dyDescent="0.25">
      <c r="B23" s="330">
        <v>12110</v>
      </c>
      <c r="C23" s="189" t="s">
        <v>24</v>
      </c>
      <c r="D23" s="277">
        <v>80.010000000000005</v>
      </c>
      <c r="E23" s="277">
        <v>80.010000000000005</v>
      </c>
      <c r="F23" s="277">
        <v>80.010000000000005</v>
      </c>
      <c r="G23" s="277">
        <v>80.010000000000005</v>
      </c>
      <c r="H23" s="277">
        <v>80.010000000000005</v>
      </c>
      <c r="I23" s="277">
        <v>80.010000000000005</v>
      </c>
      <c r="J23" s="277">
        <v>80.010000000000005</v>
      </c>
      <c r="K23" s="277">
        <v>80.010000000000005</v>
      </c>
      <c r="L23" s="277">
        <v>80.010000000000005</v>
      </c>
      <c r="M23" s="277">
        <v>80.010000000000005</v>
      </c>
      <c r="N23" s="277">
        <v>80.010000000000005</v>
      </c>
      <c r="O23" s="277">
        <v>80.010000000000005</v>
      </c>
      <c r="P23" s="278">
        <f t="shared" si="5"/>
        <v>960.12</v>
      </c>
    </row>
    <row r="24" spans="2:18" x14ac:dyDescent="0.25">
      <c r="B24" s="330">
        <v>12111</v>
      </c>
      <c r="C24" s="189" t="s">
        <v>23</v>
      </c>
      <c r="D24" s="277">
        <v>1200</v>
      </c>
      <c r="E24" s="277">
        <v>700</v>
      </c>
      <c r="F24" s="277">
        <v>500</v>
      </c>
      <c r="G24" s="277">
        <v>700</v>
      </c>
      <c r="H24" s="277">
        <v>500</v>
      </c>
      <c r="I24" s="277">
        <v>600</v>
      </c>
      <c r="J24" s="277">
        <v>500</v>
      </c>
      <c r="K24" s="277">
        <v>600</v>
      </c>
      <c r="L24" s="277">
        <v>500</v>
      </c>
      <c r="M24" s="277">
        <v>500</v>
      </c>
      <c r="N24" s="277">
        <v>500</v>
      </c>
      <c r="O24" s="277">
        <v>300</v>
      </c>
      <c r="P24" s="278">
        <f t="shared" si="5"/>
        <v>7100</v>
      </c>
    </row>
    <row r="25" spans="2:18" x14ac:dyDescent="0.25">
      <c r="B25" s="330">
        <v>12112</v>
      </c>
      <c r="C25" s="189" t="s">
        <v>22</v>
      </c>
      <c r="D25" s="277">
        <v>9500</v>
      </c>
      <c r="E25" s="277">
        <v>9500</v>
      </c>
      <c r="F25" s="277">
        <v>9500</v>
      </c>
      <c r="G25" s="277">
        <v>9500</v>
      </c>
      <c r="H25" s="277">
        <v>9500</v>
      </c>
      <c r="I25" s="277">
        <v>9500</v>
      </c>
      <c r="J25" s="277">
        <v>9500</v>
      </c>
      <c r="K25" s="277">
        <v>9500</v>
      </c>
      <c r="L25" s="277">
        <v>9500</v>
      </c>
      <c r="M25" s="277">
        <v>9500</v>
      </c>
      <c r="N25" s="277">
        <v>9500</v>
      </c>
      <c r="O25" s="277">
        <v>8000</v>
      </c>
      <c r="P25" s="278">
        <f t="shared" si="5"/>
        <v>112500</v>
      </c>
    </row>
    <row r="26" spans="2:18" s="360" customFormat="1" x14ac:dyDescent="0.25">
      <c r="B26" s="356">
        <v>12114</v>
      </c>
      <c r="C26" s="357" t="s">
        <v>21</v>
      </c>
      <c r="D26" s="358">
        <f>5747.22+87.79</f>
        <v>5835.01</v>
      </c>
      <c r="E26" s="358">
        <f>5688.47+87.41</f>
        <v>5775.88</v>
      </c>
      <c r="F26" s="358">
        <f>5675.97+76.29</f>
        <v>5752.26</v>
      </c>
      <c r="G26" s="358">
        <f>5671.57+73.82</f>
        <v>5745.3899999999994</v>
      </c>
      <c r="H26" s="358">
        <f>5709.72+74.75</f>
        <v>5784.47</v>
      </c>
      <c r="I26" s="358">
        <f>5679.72+70.94</f>
        <v>5750.66</v>
      </c>
      <c r="J26" s="358">
        <f>5692.22+67.7</f>
        <v>5759.92</v>
      </c>
      <c r="K26" s="358">
        <f>5684.07+66.46</f>
        <v>5750.53</v>
      </c>
      <c r="L26" s="358">
        <f>5679.72+63.78</f>
        <v>5743.5</v>
      </c>
      <c r="M26" s="358">
        <f>5672.22+49.84</f>
        <v>5722.06</v>
      </c>
      <c r="N26" s="358">
        <f>5639.72+73.44</f>
        <v>5713.16</v>
      </c>
      <c r="O26" s="358">
        <f>5460.22+44.29</f>
        <v>5504.51</v>
      </c>
      <c r="P26" s="359">
        <f>SUM(D26:O26)</f>
        <v>68837.349999999991</v>
      </c>
    </row>
    <row r="27" spans="2:18" s="360" customFormat="1" x14ac:dyDescent="0.25">
      <c r="B27" s="356">
        <v>12115</v>
      </c>
      <c r="C27" s="357" t="s">
        <v>418</v>
      </c>
      <c r="D27" s="358">
        <v>200</v>
      </c>
      <c r="E27" s="358">
        <v>200</v>
      </c>
      <c r="F27" s="358">
        <v>200</v>
      </c>
      <c r="G27" s="358">
        <v>200</v>
      </c>
      <c r="H27" s="358">
        <v>200</v>
      </c>
      <c r="I27" s="358">
        <v>200</v>
      </c>
      <c r="J27" s="358">
        <v>200</v>
      </c>
      <c r="K27" s="358">
        <v>200</v>
      </c>
      <c r="L27" s="358">
        <v>200</v>
      </c>
      <c r="M27" s="358">
        <v>200</v>
      </c>
      <c r="N27" s="358">
        <v>200</v>
      </c>
      <c r="O27" s="358">
        <v>200</v>
      </c>
      <c r="P27" s="359">
        <f>SUM(D27:O27)</f>
        <v>2400</v>
      </c>
    </row>
    <row r="28" spans="2:18" x14ac:dyDescent="0.25">
      <c r="B28" s="330">
        <v>12117</v>
      </c>
      <c r="C28" s="189" t="s">
        <v>20</v>
      </c>
      <c r="D28" s="277">
        <v>2600</v>
      </c>
      <c r="E28" s="277">
        <v>2600</v>
      </c>
      <c r="F28" s="277">
        <v>2600</v>
      </c>
      <c r="G28" s="277">
        <v>2600</v>
      </c>
      <c r="H28" s="277">
        <v>2600</v>
      </c>
      <c r="I28" s="277">
        <v>2600</v>
      </c>
      <c r="J28" s="277">
        <v>2500</v>
      </c>
      <c r="K28" s="277">
        <v>2500</v>
      </c>
      <c r="L28" s="277">
        <v>2500</v>
      </c>
      <c r="M28" s="277">
        <v>2500</v>
      </c>
      <c r="N28" s="277">
        <v>2500</v>
      </c>
      <c r="O28" s="277">
        <v>1500</v>
      </c>
      <c r="P28" s="278">
        <f t="shared" si="5"/>
        <v>29600</v>
      </c>
    </row>
    <row r="29" spans="2:18" x14ac:dyDescent="0.25">
      <c r="B29" s="330">
        <v>12118</v>
      </c>
      <c r="C29" s="189" t="s">
        <v>19</v>
      </c>
      <c r="D29" s="277">
        <v>40279</v>
      </c>
      <c r="E29" s="277">
        <v>42279</v>
      </c>
      <c r="F29" s="277">
        <v>44279</v>
      </c>
      <c r="G29" s="277">
        <v>44279</v>
      </c>
      <c r="H29" s="277">
        <v>44279</v>
      </c>
      <c r="I29" s="277">
        <v>44279</v>
      </c>
      <c r="J29" s="277">
        <v>44279</v>
      </c>
      <c r="K29" s="277">
        <v>44279</v>
      </c>
      <c r="L29" s="277">
        <v>44279</v>
      </c>
      <c r="M29" s="277">
        <v>44279</v>
      </c>
      <c r="N29" s="277">
        <v>44279</v>
      </c>
      <c r="O29" s="277">
        <v>43622.45</v>
      </c>
      <c r="P29" s="278">
        <f t="shared" si="5"/>
        <v>524691.44999999995</v>
      </c>
    </row>
    <row r="30" spans="2:18" x14ac:dyDescent="0.25">
      <c r="B30" s="330">
        <v>12119</v>
      </c>
      <c r="C30" s="189" t="s">
        <v>18</v>
      </c>
      <c r="D30" s="277">
        <v>6</v>
      </c>
      <c r="E30" s="277">
        <v>6</v>
      </c>
      <c r="F30" s="277">
        <v>6</v>
      </c>
      <c r="G30" s="277">
        <v>3</v>
      </c>
      <c r="H30" s="277">
        <v>6</v>
      </c>
      <c r="I30" s="277">
        <v>6</v>
      </c>
      <c r="J30" s="277">
        <v>6</v>
      </c>
      <c r="K30" s="277">
        <v>3</v>
      </c>
      <c r="L30" s="277">
        <v>6</v>
      </c>
      <c r="M30" s="277">
        <v>6</v>
      </c>
      <c r="N30" s="277">
        <v>6</v>
      </c>
      <c r="O30" s="277">
        <v>6</v>
      </c>
      <c r="P30" s="278">
        <f t="shared" si="5"/>
        <v>66</v>
      </c>
    </row>
    <row r="31" spans="2:18" x14ac:dyDescent="0.25">
      <c r="B31" s="279">
        <v>122</v>
      </c>
      <c r="C31" s="351" t="s">
        <v>17</v>
      </c>
      <c r="D31" s="278">
        <f>SUM(D32:D32)</f>
        <v>2000</v>
      </c>
      <c r="E31" s="278">
        <f t="shared" ref="E31:O31" si="6">SUM(E32:E32)</f>
        <v>1000</v>
      </c>
      <c r="F31" s="278">
        <f t="shared" si="6"/>
        <v>1000</v>
      </c>
      <c r="G31" s="278">
        <f t="shared" si="6"/>
        <v>1000</v>
      </c>
      <c r="H31" s="278">
        <f>SUM(H32:H32)</f>
        <v>1000</v>
      </c>
      <c r="I31" s="278">
        <f t="shared" si="6"/>
        <v>1000</v>
      </c>
      <c r="J31" s="278">
        <f t="shared" si="6"/>
        <v>1000</v>
      </c>
      <c r="K31" s="278">
        <f t="shared" si="6"/>
        <v>1000</v>
      </c>
      <c r="L31" s="278">
        <f t="shared" si="6"/>
        <v>1000</v>
      </c>
      <c r="M31" s="278">
        <f t="shared" si="6"/>
        <v>1000</v>
      </c>
      <c r="N31" s="278">
        <f t="shared" si="6"/>
        <v>500</v>
      </c>
      <c r="O31" s="278">
        <f t="shared" si="6"/>
        <v>500</v>
      </c>
      <c r="P31" s="278">
        <f>SUM(P32:P32)</f>
        <v>12000</v>
      </c>
    </row>
    <row r="32" spans="2:18" ht="30" x14ac:dyDescent="0.25">
      <c r="B32" s="330">
        <v>12210</v>
      </c>
      <c r="C32" s="189" t="s">
        <v>16</v>
      </c>
      <c r="D32" s="277">
        <v>2000</v>
      </c>
      <c r="E32" s="277">
        <v>1000</v>
      </c>
      <c r="F32" s="277">
        <v>1000</v>
      </c>
      <c r="G32" s="277">
        <v>1000</v>
      </c>
      <c r="H32" s="277">
        <v>1000</v>
      </c>
      <c r="I32" s="277">
        <v>1000</v>
      </c>
      <c r="J32" s="277">
        <v>1000</v>
      </c>
      <c r="K32" s="277">
        <v>1000</v>
      </c>
      <c r="L32" s="277">
        <v>1000</v>
      </c>
      <c r="M32" s="277">
        <v>1000</v>
      </c>
      <c r="N32" s="277">
        <v>500</v>
      </c>
      <c r="O32" s="277">
        <v>500</v>
      </c>
      <c r="P32" s="278">
        <f>SUM(D32:O32)</f>
        <v>12000</v>
      </c>
    </row>
    <row r="33" spans="2:16" ht="31.5" x14ac:dyDescent="0.25">
      <c r="B33" s="279">
        <v>14</v>
      </c>
      <c r="C33" s="351" t="s">
        <v>59</v>
      </c>
      <c r="D33" s="278">
        <f>SUM(D34:D34)</f>
        <v>150</v>
      </c>
      <c r="E33" s="278">
        <f t="shared" ref="E33:O33" si="7">SUM(E34:E34)</f>
        <v>150</v>
      </c>
      <c r="F33" s="278">
        <f t="shared" si="7"/>
        <v>150</v>
      </c>
      <c r="G33" s="278">
        <f t="shared" si="7"/>
        <v>150</v>
      </c>
      <c r="H33" s="278">
        <f t="shared" si="7"/>
        <v>150</v>
      </c>
      <c r="I33" s="278">
        <f t="shared" si="7"/>
        <v>150</v>
      </c>
      <c r="J33" s="278">
        <f t="shared" si="7"/>
        <v>150</v>
      </c>
      <c r="K33" s="278">
        <f t="shared" si="7"/>
        <v>150</v>
      </c>
      <c r="L33" s="278">
        <f t="shared" si="7"/>
        <v>150</v>
      </c>
      <c r="M33" s="278">
        <f t="shared" si="7"/>
        <v>150</v>
      </c>
      <c r="N33" s="278">
        <f t="shared" si="7"/>
        <v>150</v>
      </c>
      <c r="O33" s="278">
        <f t="shared" si="7"/>
        <v>150</v>
      </c>
      <c r="P33" s="278">
        <f>+P34</f>
        <v>1800</v>
      </c>
    </row>
    <row r="34" spans="2:16" ht="31.5" x14ac:dyDescent="0.25">
      <c r="B34" s="279">
        <v>142</v>
      </c>
      <c r="C34" s="351" t="s">
        <v>57</v>
      </c>
      <c r="D34" s="278">
        <f>SUM(D35:D35)</f>
        <v>150</v>
      </c>
      <c r="E34" s="278">
        <f t="shared" ref="E34:O34" si="8">SUM(E35:E35)</f>
        <v>150</v>
      </c>
      <c r="F34" s="278">
        <f t="shared" si="8"/>
        <v>150</v>
      </c>
      <c r="G34" s="278">
        <f t="shared" si="8"/>
        <v>150</v>
      </c>
      <c r="H34" s="278">
        <f t="shared" si="8"/>
        <v>150</v>
      </c>
      <c r="I34" s="278">
        <f t="shared" si="8"/>
        <v>150</v>
      </c>
      <c r="J34" s="278">
        <f t="shared" si="8"/>
        <v>150</v>
      </c>
      <c r="K34" s="278">
        <f t="shared" si="8"/>
        <v>150</v>
      </c>
      <c r="L34" s="278">
        <f t="shared" si="8"/>
        <v>150</v>
      </c>
      <c r="M34" s="278">
        <f t="shared" si="8"/>
        <v>150</v>
      </c>
      <c r="N34" s="278">
        <f t="shared" si="8"/>
        <v>150</v>
      </c>
      <c r="O34" s="278">
        <f t="shared" si="8"/>
        <v>150</v>
      </c>
      <c r="P34" s="278">
        <f>+P35</f>
        <v>1800</v>
      </c>
    </row>
    <row r="35" spans="2:16" x14ac:dyDescent="0.25">
      <c r="B35" s="330">
        <v>14201</v>
      </c>
      <c r="C35" s="189" t="s">
        <v>58</v>
      </c>
      <c r="D35" s="277">
        <v>150</v>
      </c>
      <c r="E35" s="277">
        <v>150</v>
      </c>
      <c r="F35" s="277">
        <v>150</v>
      </c>
      <c r="G35" s="277">
        <v>150</v>
      </c>
      <c r="H35" s="277">
        <v>150</v>
      </c>
      <c r="I35" s="277">
        <v>150</v>
      </c>
      <c r="J35" s="277">
        <v>150</v>
      </c>
      <c r="K35" s="277">
        <v>150</v>
      </c>
      <c r="L35" s="277">
        <v>150</v>
      </c>
      <c r="M35" s="277">
        <v>150</v>
      </c>
      <c r="N35" s="277">
        <v>150</v>
      </c>
      <c r="O35" s="277">
        <v>150</v>
      </c>
      <c r="P35" s="278">
        <f>SUM(D35:O35)</f>
        <v>1800</v>
      </c>
    </row>
    <row r="36" spans="2:16" x14ac:dyDescent="0.25">
      <c r="B36" s="279">
        <v>15</v>
      </c>
      <c r="C36" s="351" t="s">
        <v>15</v>
      </c>
      <c r="D36" s="278">
        <f>SUM(D37+D44+D46)</f>
        <v>2011.3899999999999</v>
      </c>
      <c r="E36" s="278">
        <f t="shared" ref="E36:O36" si="9">SUM(E37+E44+E46)</f>
        <v>1894.36</v>
      </c>
      <c r="F36" s="278">
        <f t="shared" si="9"/>
        <v>2232.13</v>
      </c>
      <c r="G36" s="278">
        <f t="shared" si="9"/>
        <v>2214.96</v>
      </c>
      <c r="H36" s="278">
        <f t="shared" si="9"/>
        <v>2314.36</v>
      </c>
      <c r="I36" s="278">
        <f t="shared" si="9"/>
        <v>2356.39</v>
      </c>
      <c r="J36" s="278">
        <f t="shared" si="9"/>
        <v>2339.36</v>
      </c>
      <c r="K36" s="278">
        <f t="shared" si="9"/>
        <v>2542.83</v>
      </c>
      <c r="L36" s="278">
        <f t="shared" si="9"/>
        <v>2622.13</v>
      </c>
      <c r="M36" s="278">
        <f t="shared" si="9"/>
        <v>2014.36</v>
      </c>
      <c r="N36" s="278">
        <f t="shared" si="9"/>
        <v>1797.13</v>
      </c>
      <c r="O36" s="278">
        <f t="shared" si="9"/>
        <v>1481.41</v>
      </c>
      <c r="P36" s="278">
        <f>SUM(P37+P44+P46)</f>
        <v>25820.809999999998</v>
      </c>
    </row>
    <row r="37" spans="2:16" x14ac:dyDescent="0.25">
      <c r="B37" s="279">
        <v>153</v>
      </c>
      <c r="C37" s="351" t="s">
        <v>14</v>
      </c>
      <c r="D37" s="278">
        <f>SUM(D38:D43)</f>
        <v>111.38999999999999</v>
      </c>
      <c r="E37" s="278">
        <f>SUM(E38:E43)</f>
        <v>94.36</v>
      </c>
      <c r="F37" s="278">
        <f>SUM(F38:F43)</f>
        <v>632.13</v>
      </c>
      <c r="G37" s="278">
        <f>SUM(G38:G43)</f>
        <v>564.96</v>
      </c>
      <c r="H37" s="278">
        <f t="shared" ref="H37:O37" si="10">SUM(H38:H43)</f>
        <v>639.36</v>
      </c>
      <c r="I37" s="278">
        <f t="shared" si="10"/>
        <v>656.39</v>
      </c>
      <c r="J37" s="278">
        <f t="shared" si="10"/>
        <v>639.36</v>
      </c>
      <c r="K37" s="278">
        <f t="shared" si="10"/>
        <v>542.83000000000004</v>
      </c>
      <c r="L37" s="278">
        <f t="shared" si="10"/>
        <v>622.13</v>
      </c>
      <c r="M37" s="278">
        <f t="shared" si="10"/>
        <v>114.35999999999999</v>
      </c>
      <c r="N37" s="278">
        <f t="shared" si="10"/>
        <v>97.13</v>
      </c>
      <c r="O37" s="278">
        <f t="shared" si="10"/>
        <v>81.41</v>
      </c>
      <c r="P37" s="278">
        <f>SUM(P38:P43)</f>
        <v>4795.8099999999995</v>
      </c>
    </row>
    <row r="38" spans="2:16" x14ac:dyDescent="0.25">
      <c r="B38" s="330">
        <v>15301</v>
      </c>
      <c r="C38" s="189" t="s">
        <v>13</v>
      </c>
      <c r="D38" s="277">
        <v>0</v>
      </c>
      <c r="E38" s="277">
        <v>0</v>
      </c>
      <c r="F38" s="277">
        <v>250</v>
      </c>
      <c r="G38" s="277">
        <v>200</v>
      </c>
      <c r="H38" s="277">
        <v>250</v>
      </c>
      <c r="I38" s="277">
        <v>250</v>
      </c>
      <c r="J38" s="277">
        <v>250</v>
      </c>
      <c r="K38" s="277">
        <v>200</v>
      </c>
      <c r="L38" s="277">
        <v>250</v>
      </c>
      <c r="M38" s="277">
        <v>0</v>
      </c>
      <c r="N38" s="277">
        <v>0</v>
      </c>
      <c r="O38" s="277">
        <v>0</v>
      </c>
      <c r="P38" s="278">
        <f t="shared" ref="P38:P43" si="11">SUM(D38:O38)</f>
        <v>1650</v>
      </c>
    </row>
    <row r="39" spans="2:16" x14ac:dyDescent="0.25">
      <c r="B39" s="330">
        <v>15302</v>
      </c>
      <c r="C39" s="189" t="s">
        <v>12</v>
      </c>
      <c r="D39" s="277">
        <v>0</v>
      </c>
      <c r="E39" s="277">
        <v>0</v>
      </c>
      <c r="F39" s="277">
        <v>275</v>
      </c>
      <c r="G39" s="277">
        <v>250</v>
      </c>
      <c r="H39" s="277">
        <v>275</v>
      </c>
      <c r="I39" s="277">
        <v>275</v>
      </c>
      <c r="J39" s="277">
        <v>275</v>
      </c>
      <c r="K39" s="277">
        <v>250</v>
      </c>
      <c r="L39" s="277">
        <v>275</v>
      </c>
      <c r="M39" s="277">
        <v>0</v>
      </c>
      <c r="N39" s="277">
        <v>0</v>
      </c>
      <c r="O39" s="277">
        <v>0</v>
      </c>
      <c r="P39" s="278">
        <f t="shared" si="11"/>
        <v>1875</v>
      </c>
    </row>
    <row r="40" spans="2:16" ht="30" x14ac:dyDescent="0.25">
      <c r="B40" s="330">
        <v>15310</v>
      </c>
      <c r="C40" s="189" t="s">
        <v>11</v>
      </c>
      <c r="D40" s="277">
        <v>0</v>
      </c>
      <c r="E40" s="277">
        <v>0</v>
      </c>
      <c r="F40" s="277">
        <v>30</v>
      </c>
      <c r="G40" s="277">
        <v>20</v>
      </c>
      <c r="H40" s="277">
        <v>20</v>
      </c>
      <c r="I40" s="277">
        <v>20</v>
      </c>
      <c r="J40" s="277">
        <v>20</v>
      </c>
      <c r="K40" s="277">
        <v>15</v>
      </c>
      <c r="L40" s="277">
        <v>20</v>
      </c>
      <c r="M40" s="277">
        <v>20</v>
      </c>
      <c r="N40" s="277">
        <v>20</v>
      </c>
      <c r="O40" s="277">
        <v>15</v>
      </c>
      <c r="P40" s="278">
        <f t="shared" si="11"/>
        <v>200</v>
      </c>
    </row>
    <row r="41" spans="2:16" x14ac:dyDescent="0.25">
      <c r="B41" s="330">
        <v>15312</v>
      </c>
      <c r="C41" s="189" t="s">
        <v>10</v>
      </c>
      <c r="D41" s="277">
        <v>57.1</v>
      </c>
      <c r="E41" s="277">
        <v>40.07</v>
      </c>
      <c r="F41" s="277">
        <v>22.84</v>
      </c>
      <c r="G41" s="277">
        <v>57.1</v>
      </c>
      <c r="H41" s="277">
        <v>40.07</v>
      </c>
      <c r="I41" s="277">
        <v>57.1</v>
      </c>
      <c r="J41" s="277">
        <v>40.07</v>
      </c>
      <c r="K41" s="277">
        <v>39.97</v>
      </c>
      <c r="L41" s="277">
        <v>22.84</v>
      </c>
      <c r="M41" s="277">
        <v>40.07</v>
      </c>
      <c r="N41" s="277">
        <v>22.84</v>
      </c>
      <c r="O41" s="277">
        <v>28.55</v>
      </c>
      <c r="P41" s="278">
        <f t="shared" si="11"/>
        <v>468.62</v>
      </c>
    </row>
    <row r="42" spans="2:16" x14ac:dyDescent="0.25">
      <c r="B42" s="330">
        <v>15313</v>
      </c>
      <c r="C42" s="189" t="s">
        <v>9</v>
      </c>
      <c r="D42" s="277">
        <v>20</v>
      </c>
      <c r="E42" s="277">
        <v>20</v>
      </c>
      <c r="F42" s="277">
        <v>20</v>
      </c>
      <c r="G42" s="277">
        <v>15</v>
      </c>
      <c r="H42" s="277">
        <v>20</v>
      </c>
      <c r="I42" s="277">
        <v>20</v>
      </c>
      <c r="J42" s="277">
        <v>20</v>
      </c>
      <c r="K42" s="277">
        <v>15</v>
      </c>
      <c r="L42" s="277">
        <v>20</v>
      </c>
      <c r="M42" s="277">
        <v>20</v>
      </c>
      <c r="N42" s="277">
        <v>20</v>
      </c>
      <c r="O42" s="277">
        <v>15</v>
      </c>
      <c r="P42" s="278">
        <f t="shared" si="11"/>
        <v>225</v>
      </c>
    </row>
    <row r="43" spans="2:16" x14ac:dyDescent="0.25">
      <c r="B43" s="330">
        <v>15314</v>
      </c>
      <c r="C43" s="189" t="s">
        <v>8</v>
      </c>
      <c r="D43" s="277">
        <v>34.29</v>
      </c>
      <c r="E43" s="277">
        <v>34.29</v>
      </c>
      <c r="F43" s="277">
        <v>34.29</v>
      </c>
      <c r="G43" s="277">
        <v>22.86</v>
      </c>
      <c r="H43" s="277">
        <v>34.29</v>
      </c>
      <c r="I43" s="277">
        <v>34.29</v>
      </c>
      <c r="J43" s="277">
        <v>34.29</v>
      </c>
      <c r="K43" s="277">
        <v>22.86</v>
      </c>
      <c r="L43" s="277">
        <v>34.29</v>
      </c>
      <c r="M43" s="277">
        <v>34.29</v>
      </c>
      <c r="N43" s="277">
        <v>34.29</v>
      </c>
      <c r="O43" s="277">
        <v>22.86</v>
      </c>
      <c r="P43" s="278">
        <f t="shared" si="11"/>
        <v>377.19000000000005</v>
      </c>
    </row>
    <row r="44" spans="2:16" x14ac:dyDescent="0.25">
      <c r="B44" s="279">
        <v>154</v>
      </c>
      <c r="C44" s="351" t="s">
        <v>7</v>
      </c>
      <c r="D44" s="278">
        <f>SUM(D45:D45)</f>
        <v>1400</v>
      </c>
      <c r="E44" s="278">
        <f t="shared" ref="E44:O44" si="12">SUM(E45:E45)</f>
        <v>1400</v>
      </c>
      <c r="F44" s="278">
        <f t="shared" si="12"/>
        <v>1400</v>
      </c>
      <c r="G44" s="278">
        <f t="shared" si="12"/>
        <v>1400</v>
      </c>
      <c r="H44" s="278">
        <f t="shared" si="12"/>
        <v>1400</v>
      </c>
      <c r="I44" s="278">
        <f t="shared" si="12"/>
        <v>1400</v>
      </c>
      <c r="J44" s="278">
        <f t="shared" si="12"/>
        <v>1400</v>
      </c>
      <c r="K44" s="278">
        <f t="shared" si="12"/>
        <v>1400</v>
      </c>
      <c r="L44" s="278">
        <f t="shared" si="12"/>
        <v>1400</v>
      </c>
      <c r="M44" s="278">
        <f t="shared" si="12"/>
        <v>1400</v>
      </c>
      <c r="N44" s="278">
        <f t="shared" si="12"/>
        <v>1300</v>
      </c>
      <c r="O44" s="278">
        <f t="shared" si="12"/>
        <v>1100</v>
      </c>
      <c r="P44" s="278">
        <f>SUM(P45:P45)</f>
        <v>16400</v>
      </c>
    </row>
    <row r="45" spans="2:16" ht="30" x14ac:dyDescent="0.25">
      <c r="B45" s="330">
        <v>15402</v>
      </c>
      <c r="C45" s="189" t="s">
        <v>6</v>
      </c>
      <c r="D45" s="277">
        <v>1400</v>
      </c>
      <c r="E45" s="277">
        <v>1400</v>
      </c>
      <c r="F45" s="277">
        <v>1400</v>
      </c>
      <c r="G45" s="277">
        <v>1400</v>
      </c>
      <c r="H45" s="277">
        <v>1400</v>
      </c>
      <c r="I45" s="277">
        <v>1400</v>
      </c>
      <c r="J45" s="277">
        <v>1400</v>
      </c>
      <c r="K45" s="277">
        <v>1400</v>
      </c>
      <c r="L45" s="277">
        <v>1400</v>
      </c>
      <c r="M45" s="277">
        <v>1400</v>
      </c>
      <c r="N45" s="277">
        <v>1300</v>
      </c>
      <c r="O45" s="277">
        <v>1100</v>
      </c>
      <c r="P45" s="278">
        <f>SUM(D45:O45)</f>
        <v>16400</v>
      </c>
    </row>
    <row r="46" spans="2:16" ht="15.75" customHeight="1" x14ac:dyDescent="0.25">
      <c r="B46" s="279">
        <v>157</v>
      </c>
      <c r="C46" s="351" t="s">
        <v>5</v>
      </c>
      <c r="D46" s="278">
        <f>SUM(D47:D47)</f>
        <v>500</v>
      </c>
      <c r="E46" s="278">
        <f t="shared" ref="E46:O46" si="13">SUM(E47:E47)</f>
        <v>400</v>
      </c>
      <c r="F46" s="278">
        <f t="shared" si="13"/>
        <v>200</v>
      </c>
      <c r="G46" s="278">
        <f t="shared" si="13"/>
        <v>250</v>
      </c>
      <c r="H46" s="278">
        <f t="shared" si="13"/>
        <v>275</v>
      </c>
      <c r="I46" s="278">
        <f t="shared" si="13"/>
        <v>300</v>
      </c>
      <c r="J46" s="278">
        <f t="shared" si="13"/>
        <v>300</v>
      </c>
      <c r="K46" s="278">
        <f>SUM(K47:K47)</f>
        <v>600</v>
      </c>
      <c r="L46" s="278">
        <f t="shared" si="13"/>
        <v>600</v>
      </c>
      <c r="M46" s="278">
        <f t="shared" si="13"/>
        <v>500</v>
      </c>
      <c r="N46" s="278">
        <f t="shared" si="13"/>
        <v>400</v>
      </c>
      <c r="O46" s="278">
        <f t="shared" si="13"/>
        <v>300</v>
      </c>
      <c r="P46" s="278">
        <f>SUM(P47:P47)</f>
        <v>4625</v>
      </c>
    </row>
    <row r="47" spans="2:16" x14ac:dyDescent="0.25">
      <c r="B47" s="330">
        <v>15799</v>
      </c>
      <c r="C47" s="189" t="s">
        <v>4</v>
      </c>
      <c r="D47" s="277">
        <v>500</v>
      </c>
      <c r="E47" s="277">
        <v>400</v>
      </c>
      <c r="F47" s="277">
        <v>200</v>
      </c>
      <c r="G47" s="277">
        <v>250</v>
      </c>
      <c r="H47" s="277">
        <v>275</v>
      </c>
      <c r="I47" s="277">
        <v>300</v>
      </c>
      <c r="J47" s="277">
        <v>300</v>
      </c>
      <c r="K47" s="277">
        <v>600</v>
      </c>
      <c r="L47" s="277">
        <v>600</v>
      </c>
      <c r="M47" s="277">
        <v>500</v>
      </c>
      <c r="N47" s="277">
        <v>400</v>
      </c>
      <c r="O47" s="277">
        <v>300</v>
      </c>
      <c r="P47" s="278">
        <f>SUM(D47:O47)</f>
        <v>4625</v>
      </c>
    </row>
    <row r="48" spans="2:16" x14ac:dyDescent="0.25">
      <c r="B48" s="353">
        <v>32</v>
      </c>
      <c r="C48" s="354" t="s">
        <v>3</v>
      </c>
      <c r="D48" s="278">
        <f>SUM(D49:D49)</f>
        <v>22000</v>
      </c>
      <c r="E48" s="278">
        <f t="shared" ref="E48:O48" si="14">SUM(E49:E49)</f>
        <v>25000</v>
      </c>
      <c r="F48" s="278">
        <f t="shared" si="14"/>
        <v>25000</v>
      </c>
      <c r="G48" s="278">
        <f t="shared" si="14"/>
        <v>25000</v>
      </c>
      <c r="H48" s="278">
        <f t="shared" si="14"/>
        <v>23000</v>
      </c>
      <c r="I48" s="278">
        <f t="shared" si="14"/>
        <v>22000</v>
      </c>
      <c r="J48" s="278">
        <f t="shared" si="14"/>
        <v>22000</v>
      </c>
      <c r="K48" s="278">
        <f t="shared" si="14"/>
        <v>22000</v>
      </c>
      <c r="L48" s="278">
        <f t="shared" si="14"/>
        <v>22000</v>
      </c>
      <c r="M48" s="278">
        <f t="shared" si="14"/>
        <v>22000</v>
      </c>
      <c r="N48" s="278">
        <f t="shared" si="14"/>
        <v>22000</v>
      </c>
      <c r="O48" s="278">
        <f t="shared" si="14"/>
        <v>20000</v>
      </c>
      <c r="P48" s="278">
        <f>+P49</f>
        <v>272000</v>
      </c>
    </row>
    <row r="49" spans="2:16" ht="31.5" x14ac:dyDescent="0.25">
      <c r="B49" s="353">
        <v>322</v>
      </c>
      <c r="C49" s="354" t="s">
        <v>2</v>
      </c>
      <c r="D49" s="278">
        <f>SUM(D50:D50)</f>
        <v>22000</v>
      </c>
      <c r="E49" s="278">
        <f t="shared" ref="E49:O49" si="15">SUM(E50:E50)</f>
        <v>25000</v>
      </c>
      <c r="F49" s="278">
        <f t="shared" si="15"/>
        <v>25000</v>
      </c>
      <c r="G49" s="278">
        <f t="shared" si="15"/>
        <v>25000</v>
      </c>
      <c r="H49" s="278">
        <f t="shared" si="15"/>
        <v>23000</v>
      </c>
      <c r="I49" s="278">
        <f t="shared" si="15"/>
        <v>22000</v>
      </c>
      <c r="J49" s="278">
        <f t="shared" si="15"/>
        <v>22000</v>
      </c>
      <c r="K49" s="278">
        <f t="shared" si="15"/>
        <v>22000</v>
      </c>
      <c r="L49" s="278">
        <f t="shared" si="15"/>
        <v>22000</v>
      </c>
      <c r="M49" s="278">
        <f t="shared" si="15"/>
        <v>22000</v>
      </c>
      <c r="N49" s="278">
        <f t="shared" si="15"/>
        <v>22000</v>
      </c>
      <c r="O49" s="278">
        <f t="shared" si="15"/>
        <v>20000</v>
      </c>
      <c r="P49" s="278">
        <f>+P50</f>
        <v>272000</v>
      </c>
    </row>
    <row r="50" spans="2:16" ht="30" x14ac:dyDescent="0.25">
      <c r="B50" s="330">
        <v>32201</v>
      </c>
      <c r="C50" s="189" t="s">
        <v>1</v>
      </c>
      <c r="D50" s="277">
        <v>22000</v>
      </c>
      <c r="E50" s="277">
        <v>25000</v>
      </c>
      <c r="F50" s="277">
        <v>25000</v>
      </c>
      <c r="G50" s="277">
        <v>25000</v>
      </c>
      <c r="H50" s="277">
        <v>23000</v>
      </c>
      <c r="I50" s="277">
        <v>22000</v>
      </c>
      <c r="J50" s="277">
        <v>22000</v>
      </c>
      <c r="K50" s="277">
        <v>22000</v>
      </c>
      <c r="L50" s="277">
        <v>22000</v>
      </c>
      <c r="M50" s="277">
        <v>22000</v>
      </c>
      <c r="N50" s="277">
        <v>22000</v>
      </c>
      <c r="O50" s="277">
        <v>20000</v>
      </c>
      <c r="P50" s="278">
        <f>SUM(D50:O50)</f>
        <v>272000</v>
      </c>
    </row>
    <row r="51" spans="2:16" x14ac:dyDescent="0.25">
      <c r="B51" s="275"/>
      <c r="C51" s="276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8"/>
    </row>
    <row r="52" spans="2:16" x14ac:dyDescent="0.25">
      <c r="B52" s="385" t="s">
        <v>0</v>
      </c>
      <c r="C52" s="386"/>
      <c r="D52" s="280">
        <f t="shared" ref="D52:O52" si="16">SUM(D8+D14+D33+D36+D48)</f>
        <v>124085.28</v>
      </c>
      <c r="E52" s="280">
        <f t="shared" si="16"/>
        <v>127293.56999999999</v>
      </c>
      <c r="F52" s="280">
        <f t="shared" si="16"/>
        <v>129152.52</v>
      </c>
      <c r="G52" s="280">
        <f t="shared" si="16"/>
        <v>129156.78000000001</v>
      </c>
      <c r="H52" s="280">
        <f t="shared" si="16"/>
        <v>127818.81</v>
      </c>
      <c r="I52" s="280">
        <f t="shared" si="16"/>
        <v>126208.87999999999</v>
      </c>
      <c r="J52" s="280">
        <f t="shared" si="16"/>
        <v>126303.26</v>
      </c>
      <c r="K52" s="280">
        <f t="shared" si="16"/>
        <v>126159.74</v>
      </c>
      <c r="L52" s="280">
        <f t="shared" si="16"/>
        <v>125958.56</v>
      </c>
      <c r="M52" s="280">
        <f t="shared" si="16"/>
        <v>124983.24999999999</v>
      </c>
      <c r="N52" s="280">
        <f t="shared" si="16"/>
        <v>124796.42</v>
      </c>
      <c r="O52" s="280">
        <f t="shared" si="16"/>
        <v>117586.75</v>
      </c>
      <c r="P52" s="281">
        <f>SUM(P8+P14+P36+P33+P48)</f>
        <v>1509503.8199999998</v>
      </c>
    </row>
    <row r="53" spans="2:16" x14ac:dyDescent="0.25">
      <c r="B53" s="279"/>
      <c r="C53" s="279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1"/>
    </row>
    <row r="54" spans="2:16" x14ac:dyDescent="0.25">
      <c r="B54" s="279"/>
      <c r="C54" s="355" t="s">
        <v>60</v>
      </c>
      <c r="D54" s="280">
        <f t="shared" ref="D54:O54" si="17">SUM(D8+D14+D33+D36+D48)</f>
        <v>124085.28</v>
      </c>
      <c r="E54" s="280">
        <f t="shared" si="17"/>
        <v>127293.56999999999</v>
      </c>
      <c r="F54" s="280">
        <f t="shared" si="17"/>
        <v>129152.52</v>
      </c>
      <c r="G54" s="280">
        <f t="shared" si="17"/>
        <v>129156.78000000001</v>
      </c>
      <c r="H54" s="280">
        <f t="shared" si="17"/>
        <v>127818.81</v>
      </c>
      <c r="I54" s="280">
        <f t="shared" si="17"/>
        <v>126208.87999999999</v>
      </c>
      <c r="J54" s="280">
        <f t="shared" si="17"/>
        <v>126303.26</v>
      </c>
      <c r="K54" s="280">
        <f t="shared" si="17"/>
        <v>126159.74</v>
      </c>
      <c r="L54" s="280">
        <f t="shared" si="17"/>
        <v>125958.56</v>
      </c>
      <c r="M54" s="280">
        <f t="shared" si="17"/>
        <v>124983.24999999999</v>
      </c>
      <c r="N54" s="280">
        <f t="shared" si="17"/>
        <v>124796.42</v>
      </c>
      <c r="O54" s="280">
        <f t="shared" si="17"/>
        <v>117586.75</v>
      </c>
      <c r="P54" s="281">
        <f>SUM(D54:O54)</f>
        <v>1509503.8199999998</v>
      </c>
    </row>
    <row r="55" spans="2:16" x14ac:dyDescent="0.25">
      <c r="B55" s="279"/>
      <c r="C55" s="355" t="s">
        <v>61</v>
      </c>
      <c r="D55" s="280">
        <f t="shared" ref="D55:O55" si="18">SUM(D9+D15+D31+D34+D37+D44+D46+D49)</f>
        <v>124085.28</v>
      </c>
      <c r="E55" s="280">
        <f t="shared" si="18"/>
        <v>127293.56999999999</v>
      </c>
      <c r="F55" s="280">
        <f t="shared" si="18"/>
        <v>129152.52</v>
      </c>
      <c r="G55" s="280">
        <f t="shared" si="18"/>
        <v>129156.78000000001</v>
      </c>
      <c r="H55" s="280">
        <f t="shared" si="18"/>
        <v>127818.81</v>
      </c>
      <c r="I55" s="280">
        <f t="shared" si="18"/>
        <v>126208.87999999999</v>
      </c>
      <c r="J55" s="280">
        <f t="shared" si="18"/>
        <v>126303.26</v>
      </c>
      <c r="K55" s="280">
        <f t="shared" si="18"/>
        <v>126159.74</v>
      </c>
      <c r="L55" s="280">
        <f t="shared" si="18"/>
        <v>125958.56</v>
      </c>
      <c r="M55" s="280">
        <f t="shared" si="18"/>
        <v>124983.24999999999</v>
      </c>
      <c r="N55" s="280">
        <f t="shared" si="18"/>
        <v>124796.42</v>
      </c>
      <c r="O55" s="280">
        <f t="shared" si="18"/>
        <v>117586.75</v>
      </c>
      <c r="P55" s="281">
        <f>SUM(D55:O55)</f>
        <v>1509503.8199999998</v>
      </c>
    </row>
    <row r="56" spans="2:16" ht="16.5" customHeight="1" x14ac:dyDescent="0.25">
      <c r="B56" s="279"/>
      <c r="C56" s="355" t="s">
        <v>62</v>
      </c>
      <c r="D56" s="280">
        <f t="shared" ref="D56:O56" si="19">SUM(D10+D11+D12+D13+D16+D17+D18+D19+D20+D21+D22+D23+D24+D25+D26+D27+D28+D29+D30+D32+D35+D38+D39+D40+D41+D42+D43+D45+D47+D50)</f>
        <v>124085.28</v>
      </c>
      <c r="E56" s="280">
        <f t="shared" si="19"/>
        <v>127293.56999999999</v>
      </c>
      <c r="F56" s="280">
        <f t="shared" si="19"/>
        <v>129152.51999999999</v>
      </c>
      <c r="G56" s="280">
        <f t="shared" si="19"/>
        <v>129156.78000000001</v>
      </c>
      <c r="H56" s="280">
        <f t="shared" si="19"/>
        <v>127818.81000000001</v>
      </c>
      <c r="I56" s="280">
        <f t="shared" si="19"/>
        <v>126208.88</v>
      </c>
      <c r="J56" s="280">
        <f t="shared" si="19"/>
        <v>126303.26</v>
      </c>
      <c r="K56" s="280">
        <f t="shared" si="19"/>
        <v>126159.74</v>
      </c>
      <c r="L56" s="280">
        <f t="shared" si="19"/>
        <v>125958.55999999998</v>
      </c>
      <c r="M56" s="280">
        <f t="shared" si="19"/>
        <v>124983.25</v>
      </c>
      <c r="N56" s="280">
        <f t="shared" si="19"/>
        <v>124796.41999999998</v>
      </c>
      <c r="O56" s="280">
        <f t="shared" si="19"/>
        <v>117586.75</v>
      </c>
      <c r="P56" s="281">
        <f>SUM(D56:O56)</f>
        <v>1509503.82</v>
      </c>
    </row>
  </sheetData>
  <mergeCells count="5">
    <mergeCell ref="B2:P2"/>
    <mergeCell ref="B3:P3"/>
    <mergeCell ref="B4:P4"/>
    <mergeCell ref="B5:P5"/>
    <mergeCell ref="B52:C52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F17"/>
  <sheetViews>
    <sheetView workbookViewId="0">
      <selection activeCell="F13" sqref="F13"/>
    </sheetView>
  </sheetViews>
  <sheetFormatPr baseColWidth="10" defaultRowHeight="15" x14ac:dyDescent="0.25"/>
  <cols>
    <col min="1" max="2" width="5" style="1" customWidth="1"/>
    <col min="3" max="3" width="74.5703125" style="1" customWidth="1"/>
    <col min="4" max="4" width="18.7109375" style="1" customWidth="1"/>
    <col min="5" max="5" width="12" style="1" bestFit="1" customWidth="1"/>
    <col min="6" max="6" width="14.7109375" style="1" customWidth="1"/>
    <col min="7" max="16384" width="11.42578125" style="1"/>
  </cols>
  <sheetData>
    <row r="3" spans="2:6" ht="15.75" x14ac:dyDescent="0.25">
      <c r="B3" s="411" t="s">
        <v>435</v>
      </c>
      <c r="C3" s="412"/>
      <c r="D3" s="413"/>
    </row>
    <row r="4" spans="2:6" ht="15.75" x14ac:dyDescent="0.25">
      <c r="B4" s="10"/>
      <c r="C4" s="21" t="s">
        <v>215</v>
      </c>
      <c r="D4" s="12">
        <f>'PRESU INGRESOS'!E53</f>
        <v>2370312.4500000002</v>
      </c>
    </row>
    <row r="5" spans="2:6" ht="15.75" x14ac:dyDescent="0.25">
      <c r="B5" s="10"/>
      <c r="C5" s="11" t="s">
        <v>216</v>
      </c>
      <c r="D5" s="192">
        <f>+'PRESU INGRESOS'!E60+'PRESU INGRESOS'!E62</f>
        <v>297721.82999999996</v>
      </c>
    </row>
    <row r="6" spans="2:6" ht="15.75" x14ac:dyDescent="0.25">
      <c r="B6" s="10"/>
      <c r="C6" s="11" t="s">
        <v>430</v>
      </c>
      <c r="D6" s="12">
        <v>1149139.51</v>
      </c>
    </row>
    <row r="7" spans="2:6" ht="15.75" x14ac:dyDescent="0.25">
      <c r="B7" s="10"/>
      <c r="C7" s="11" t="s">
        <v>200</v>
      </c>
      <c r="D7" s="12">
        <f>SUM(D4:D6)</f>
        <v>3817173.79</v>
      </c>
    </row>
    <row r="8" spans="2:6" ht="15.75" x14ac:dyDescent="0.25">
      <c r="B8" s="13"/>
      <c r="C8" s="14"/>
      <c r="D8" s="13"/>
    </row>
    <row r="9" spans="2:6" ht="15.75" x14ac:dyDescent="0.25">
      <c r="B9" s="5" t="s">
        <v>201</v>
      </c>
      <c r="C9" s="5" t="s">
        <v>217</v>
      </c>
      <c r="D9" s="5" t="s">
        <v>218</v>
      </c>
    </row>
    <row r="10" spans="2:6" s="316" customFormat="1" ht="15.75" x14ac:dyDescent="0.25">
      <c r="B10" s="314">
        <v>1</v>
      </c>
      <c r="C10" s="315" t="s">
        <v>219</v>
      </c>
      <c r="D10" s="313">
        <f>'FODES 75% GASTO'!D43</f>
        <v>3165904.25</v>
      </c>
    </row>
    <row r="11" spans="2:6" ht="46.5" customHeight="1" x14ac:dyDescent="0.25">
      <c r="B11" s="170">
        <v>2</v>
      </c>
      <c r="C11" s="171" t="s">
        <v>462</v>
      </c>
      <c r="D11" s="345">
        <v>437351.61</v>
      </c>
      <c r="F11" s="455">
        <f>D11+D12+D13</f>
        <v>651269.54</v>
      </c>
    </row>
    <row r="12" spans="2:6" ht="31.5" x14ac:dyDescent="0.25">
      <c r="B12" s="314">
        <v>4</v>
      </c>
      <c r="C12" s="171" t="s">
        <v>464</v>
      </c>
      <c r="D12" s="313">
        <v>127108.18</v>
      </c>
    </row>
    <row r="13" spans="2:6" ht="31.5" x14ac:dyDescent="0.25">
      <c r="B13" s="170">
        <v>5</v>
      </c>
      <c r="C13" s="171" t="s">
        <v>463</v>
      </c>
      <c r="D13" s="313">
        <v>86809.75</v>
      </c>
    </row>
    <row r="14" spans="2:6" ht="15.75" x14ac:dyDescent="0.25">
      <c r="B14" s="170"/>
      <c r="C14" s="171"/>
      <c r="D14" s="313"/>
    </row>
    <row r="15" spans="2:6" ht="18.75" x14ac:dyDescent="0.3">
      <c r="B15" s="172"/>
      <c r="C15" s="173"/>
      <c r="D15" s="174">
        <f>SUM(D10:D14)</f>
        <v>3817173.79</v>
      </c>
    </row>
    <row r="17" spans="6:6" x14ac:dyDescent="0.25">
      <c r="F17" s="334">
        <f>+D7-D15</f>
        <v>0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F13"/>
  <sheetViews>
    <sheetView workbookViewId="0">
      <selection activeCell="C19" sqref="C19"/>
    </sheetView>
  </sheetViews>
  <sheetFormatPr baseColWidth="10" defaultRowHeight="15" x14ac:dyDescent="0.25"/>
  <cols>
    <col min="1" max="2" width="5" style="1" customWidth="1"/>
    <col min="3" max="3" width="74.5703125" style="1" customWidth="1"/>
    <col min="4" max="4" width="18.7109375" style="1" customWidth="1"/>
    <col min="5" max="16384" width="11.42578125" style="1"/>
  </cols>
  <sheetData>
    <row r="3" spans="2:6" ht="15.75" x14ac:dyDescent="0.25">
      <c r="B3" s="411" t="s">
        <v>431</v>
      </c>
      <c r="C3" s="412"/>
      <c r="D3" s="413"/>
    </row>
    <row r="4" spans="2:6" ht="15.75" x14ac:dyDescent="0.25">
      <c r="B4" s="10"/>
      <c r="C4" s="21" t="s">
        <v>407</v>
      </c>
      <c r="D4" s="12">
        <f>'PRESU INGRESOS'!E54</f>
        <v>790104.2300000001</v>
      </c>
    </row>
    <row r="5" spans="2:6" ht="15.75" x14ac:dyDescent="0.25">
      <c r="B5" s="10"/>
      <c r="C5" s="11" t="s">
        <v>408</v>
      </c>
      <c r="D5" s="192">
        <f>'PRESU INGRESOS'!E63</f>
        <v>251246.31</v>
      </c>
    </row>
    <row r="6" spans="2:6" ht="15.75" x14ac:dyDescent="0.25">
      <c r="B6" s="10"/>
      <c r="C6" s="11" t="s">
        <v>430</v>
      </c>
      <c r="D6" s="12">
        <v>414449.42</v>
      </c>
    </row>
    <row r="7" spans="2:6" ht="15.75" x14ac:dyDescent="0.25">
      <c r="B7" s="10"/>
      <c r="C7" s="11" t="s">
        <v>200</v>
      </c>
      <c r="D7" s="12">
        <f>SUM(D4:D6)</f>
        <v>1455799.96</v>
      </c>
    </row>
    <row r="8" spans="2:6" ht="15.75" x14ac:dyDescent="0.25">
      <c r="B8" s="13"/>
      <c r="C8" s="14"/>
      <c r="D8" s="13"/>
    </row>
    <row r="9" spans="2:6" ht="15.75" x14ac:dyDescent="0.25">
      <c r="B9" s="5" t="s">
        <v>201</v>
      </c>
      <c r="C9" s="5" t="s">
        <v>217</v>
      </c>
      <c r="D9" s="5" t="s">
        <v>218</v>
      </c>
    </row>
    <row r="10" spans="2:6" s="316" customFormat="1" ht="15.75" x14ac:dyDescent="0.25">
      <c r="B10" s="314">
        <v>1</v>
      </c>
      <c r="C10" s="315" t="s">
        <v>409</v>
      </c>
      <c r="D10" s="313">
        <f>'FODES 2% GASTO'!D34</f>
        <v>1455799.96</v>
      </c>
    </row>
    <row r="11" spans="2:6" ht="18.75" x14ac:dyDescent="0.3">
      <c r="B11" s="172"/>
      <c r="C11" s="173"/>
      <c r="D11" s="174">
        <f>SUM(D10:D10)</f>
        <v>1455799.96</v>
      </c>
    </row>
    <row r="13" spans="2:6" x14ac:dyDescent="0.25">
      <c r="F13" s="334">
        <f>+D7-D11</f>
        <v>0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E11" sqref="E11"/>
    </sheetView>
  </sheetViews>
  <sheetFormatPr baseColWidth="10" defaultRowHeight="15" x14ac:dyDescent="0.25"/>
  <cols>
    <col min="1" max="2" width="11.42578125" style="19"/>
    <col min="3" max="3" width="46" style="19" customWidth="1"/>
    <col min="4" max="4" width="16.140625" style="19" customWidth="1"/>
    <col min="5" max="16384" width="11.42578125" style="19"/>
  </cols>
  <sheetData>
    <row r="2" spans="2:7" ht="15.75" x14ac:dyDescent="0.25">
      <c r="B2" s="411" t="s">
        <v>436</v>
      </c>
      <c r="C2" s="412"/>
      <c r="D2" s="413"/>
    </row>
    <row r="3" spans="2:7" ht="15.75" x14ac:dyDescent="0.25">
      <c r="B3" s="10"/>
      <c r="C3" s="21" t="s">
        <v>378</v>
      </c>
      <c r="D3" s="12"/>
    </row>
    <row r="4" spans="2:7" ht="15.75" x14ac:dyDescent="0.25">
      <c r="B4" s="10"/>
      <c r="C4" s="11" t="s">
        <v>379</v>
      </c>
      <c r="D4" s="192">
        <f>+'PRESU INGRESOS'!E64</f>
        <v>50008.14</v>
      </c>
    </row>
    <row r="5" spans="2:7" ht="15.75" x14ac:dyDescent="0.25">
      <c r="B5" s="10"/>
      <c r="C5" s="11" t="s">
        <v>200</v>
      </c>
      <c r="D5" s="12">
        <f>SUM(D3:D4)</f>
        <v>50008.14</v>
      </c>
    </row>
    <row r="6" spans="2:7" ht="15.75" x14ac:dyDescent="0.25">
      <c r="B6" s="13"/>
      <c r="C6" s="14"/>
      <c r="D6" s="13"/>
    </row>
    <row r="7" spans="2:7" ht="15.75" x14ac:dyDescent="0.25">
      <c r="B7" s="5" t="s">
        <v>201</v>
      </c>
      <c r="C7" s="5" t="s">
        <v>387</v>
      </c>
      <c r="D7" s="5" t="s">
        <v>218</v>
      </c>
    </row>
    <row r="8" spans="2:7" ht="15.75" x14ac:dyDescent="0.25">
      <c r="B8" s="346">
        <v>2</v>
      </c>
      <c r="C8" s="347" t="s">
        <v>377</v>
      </c>
      <c r="D8" s="12">
        <f>+'GASTO FISDL'!D31</f>
        <v>50008.14</v>
      </c>
    </row>
    <row r="9" spans="2:7" x14ac:dyDescent="0.25">
      <c r="G9" s="332">
        <f>+D5-D8</f>
        <v>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workbookViewId="0">
      <selection activeCell="Q34" sqref="Q34"/>
    </sheetView>
  </sheetViews>
  <sheetFormatPr baseColWidth="10" defaultRowHeight="15.75" x14ac:dyDescent="0.25"/>
  <cols>
    <col min="1" max="2" width="11.42578125" style="51"/>
    <col min="3" max="3" width="36.5703125" style="51" customWidth="1"/>
    <col min="4" max="4" width="18.85546875" style="51" customWidth="1"/>
    <col min="5" max="16384" width="11.42578125" style="51"/>
  </cols>
  <sheetData>
    <row r="3" spans="2:7" x14ac:dyDescent="0.25">
      <c r="B3" s="414" t="s">
        <v>437</v>
      </c>
      <c r="C3" s="415"/>
      <c r="D3" s="416"/>
    </row>
    <row r="4" spans="2:7" ht="31.5" x14ac:dyDescent="0.25">
      <c r="B4" s="43"/>
      <c r="C4" s="50" t="s">
        <v>381</v>
      </c>
      <c r="D4" s="45">
        <v>0</v>
      </c>
    </row>
    <row r="5" spans="2:7" ht="31.5" x14ac:dyDescent="0.25">
      <c r="B5" s="43"/>
      <c r="C5" s="44" t="s">
        <v>382</v>
      </c>
      <c r="D5" s="308">
        <f>+'PRESU INGRESOS'!F59</f>
        <v>45905.97</v>
      </c>
    </row>
    <row r="6" spans="2:7" x14ac:dyDescent="0.25">
      <c r="B6" s="43"/>
      <c r="C6" s="44" t="s">
        <v>200</v>
      </c>
      <c r="D6" s="45">
        <f>SUM(D4:D5)</f>
        <v>45905.97</v>
      </c>
    </row>
    <row r="7" spans="2:7" x14ac:dyDescent="0.25">
      <c r="B7" s="46"/>
      <c r="C7" s="47"/>
      <c r="D7" s="46"/>
    </row>
    <row r="8" spans="2:7" x14ac:dyDescent="0.25">
      <c r="B8" s="48" t="s">
        <v>201</v>
      </c>
      <c r="C8" s="48" t="s">
        <v>386</v>
      </c>
      <c r="D8" s="48" t="s">
        <v>218</v>
      </c>
    </row>
    <row r="9" spans="2:7" x14ac:dyDescent="0.25">
      <c r="B9" s="348">
        <v>1</v>
      </c>
      <c r="C9" s="349" t="s">
        <v>385</v>
      </c>
      <c r="D9" s="52">
        <f>'GASTO DONACION'!D25</f>
        <v>45905.969999999994</v>
      </c>
    </row>
    <row r="11" spans="2:7" x14ac:dyDescent="0.25">
      <c r="G11" s="372">
        <f>D6-D9</f>
        <v>0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workbookViewId="0">
      <selection activeCell="K31" sqref="K31"/>
    </sheetView>
  </sheetViews>
  <sheetFormatPr baseColWidth="10" defaultRowHeight="15.75" x14ac:dyDescent="0.25"/>
  <cols>
    <col min="1" max="1" width="5.85546875" style="51" customWidth="1"/>
    <col min="2" max="2" width="11.42578125" style="51"/>
    <col min="3" max="3" width="36.5703125" style="51" customWidth="1"/>
    <col min="4" max="4" width="18.85546875" style="51" customWidth="1"/>
    <col min="5" max="16384" width="11.42578125" style="51"/>
  </cols>
  <sheetData>
    <row r="3" spans="2:4" x14ac:dyDescent="0.25">
      <c r="B3" s="414" t="s">
        <v>444</v>
      </c>
      <c r="C3" s="415"/>
      <c r="D3" s="416"/>
    </row>
    <row r="4" spans="2:4" ht="31.5" x14ac:dyDescent="0.25">
      <c r="B4" s="43"/>
      <c r="C4" s="50" t="s">
        <v>447</v>
      </c>
      <c r="D4" s="45">
        <v>0</v>
      </c>
    </row>
    <row r="5" spans="2:4" ht="31.5" x14ac:dyDescent="0.25">
      <c r="B5" s="43"/>
      <c r="C5" s="44" t="s">
        <v>445</v>
      </c>
      <c r="D5" s="308">
        <f>'PRESU INGRESOS'!E65</f>
        <v>283958.07</v>
      </c>
    </row>
    <row r="6" spans="2:4" x14ac:dyDescent="0.25">
      <c r="B6" s="43"/>
      <c r="C6" s="44" t="s">
        <v>200</v>
      </c>
      <c r="D6" s="45">
        <f>SUM(D4:D5)</f>
        <v>283958.07</v>
      </c>
    </row>
    <row r="7" spans="2:4" x14ac:dyDescent="0.25">
      <c r="B7" s="46"/>
      <c r="C7" s="47"/>
      <c r="D7" s="46"/>
    </row>
    <row r="8" spans="2:4" x14ac:dyDescent="0.25">
      <c r="B8" s="48" t="s">
        <v>201</v>
      </c>
      <c r="C8" s="48" t="s">
        <v>386</v>
      </c>
      <c r="D8" s="48" t="s">
        <v>218</v>
      </c>
    </row>
    <row r="9" spans="2:4" x14ac:dyDescent="0.25">
      <c r="B9" s="348">
        <v>1</v>
      </c>
      <c r="C9" s="349" t="s">
        <v>446</v>
      </c>
      <c r="D9" s="52">
        <f>'FONDO DE EMERGENCIA'!D25</f>
        <v>283958.07</v>
      </c>
    </row>
    <row r="10" spans="2:4" x14ac:dyDescent="0.25">
      <c r="D10" s="372">
        <f>D6-D9</f>
        <v>0</v>
      </c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workbookViewId="0">
      <selection activeCell="C15" sqref="C15"/>
    </sheetView>
  </sheetViews>
  <sheetFormatPr baseColWidth="10" defaultRowHeight="15.75" x14ac:dyDescent="0.25"/>
  <cols>
    <col min="1" max="2" width="11.42578125" style="51"/>
    <col min="3" max="3" width="36.5703125" style="51" customWidth="1"/>
    <col min="4" max="4" width="18.85546875" style="51" customWidth="1"/>
    <col min="5" max="16384" width="11.42578125" style="51"/>
  </cols>
  <sheetData>
    <row r="3" spans="2:4" x14ac:dyDescent="0.25">
      <c r="B3" s="414" t="s">
        <v>460</v>
      </c>
      <c r="C3" s="415"/>
      <c r="D3" s="416"/>
    </row>
    <row r="4" spans="2:4" x14ac:dyDescent="0.25">
      <c r="B4" s="43"/>
      <c r="C4" s="50" t="s">
        <v>466</v>
      </c>
      <c r="D4" s="45">
        <v>0</v>
      </c>
    </row>
    <row r="5" spans="2:4" ht="31.5" x14ac:dyDescent="0.25">
      <c r="B5" s="43"/>
      <c r="C5" s="44" t="s">
        <v>445</v>
      </c>
      <c r="D5" s="308">
        <f>'PRESU INGRESOS'!E67</f>
        <v>136700</v>
      </c>
    </row>
    <row r="6" spans="2:4" x14ac:dyDescent="0.25">
      <c r="B6" s="43"/>
      <c r="C6" s="44" t="s">
        <v>200</v>
      </c>
      <c r="D6" s="45">
        <f>SUM(D4:D5)</f>
        <v>136700</v>
      </c>
    </row>
    <row r="7" spans="2:4" x14ac:dyDescent="0.25">
      <c r="B7" s="46"/>
      <c r="C7" s="47"/>
      <c r="D7" s="46"/>
    </row>
    <row r="8" spans="2:4" x14ac:dyDescent="0.25">
      <c r="B8" s="48" t="s">
        <v>201</v>
      </c>
      <c r="C8" s="48" t="s">
        <v>386</v>
      </c>
      <c r="D8" s="48" t="s">
        <v>218</v>
      </c>
    </row>
    <row r="9" spans="2:4" x14ac:dyDescent="0.25">
      <c r="B9" s="348">
        <v>1</v>
      </c>
      <c r="C9" s="349" t="s">
        <v>446</v>
      </c>
      <c r="D9" s="52">
        <f>PRESTAMO!D19</f>
        <v>136700</v>
      </c>
    </row>
    <row r="10" spans="2:4" x14ac:dyDescent="0.25">
      <c r="D10" s="372">
        <f>D6-D9</f>
        <v>0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workbookViewId="0">
      <selection activeCell="C5" sqref="C5"/>
    </sheetView>
  </sheetViews>
  <sheetFormatPr baseColWidth="10" defaultRowHeight="15.75" x14ac:dyDescent="0.25"/>
  <cols>
    <col min="1" max="2" width="11.42578125" style="51"/>
    <col min="3" max="3" width="36.5703125" style="51" customWidth="1"/>
    <col min="4" max="4" width="18.85546875" style="51" customWidth="1"/>
    <col min="5" max="16384" width="11.42578125" style="51"/>
  </cols>
  <sheetData>
    <row r="3" spans="2:4" x14ac:dyDescent="0.25">
      <c r="B3" s="414" t="s">
        <v>461</v>
      </c>
      <c r="C3" s="415"/>
      <c r="D3" s="416"/>
    </row>
    <row r="4" spans="2:4" x14ac:dyDescent="0.25">
      <c r="B4" s="43"/>
      <c r="C4" s="50" t="s">
        <v>465</v>
      </c>
      <c r="D4" s="45">
        <v>0</v>
      </c>
    </row>
    <row r="5" spans="2:4" ht="31.5" x14ac:dyDescent="0.25">
      <c r="B5" s="43"/>
      <c r="C5" s="44" t="s">
        <v>445</v>
      </c>
      <c r="D5" s="308">
        <f>'PRESU INGRESOS'!E66</f>
        <v>2195.98</v>
      </c>
    </row>
    <row r="6" spans="2:4" x14ac:dyDescent="0.25">
      <c r="B6" s="43"/>
      <c r="C6" s="44" t="s">
        <v>200</v>
      </c>
      <c r="D6" s="45">
        <f>SUM(D4:D5)</f>
        <v>2195.98</v>
      </c>
    </row>
    <row r="7" spans="2:4" x14ac:dyDescent="0.25">
      <c r="B7" s="46"/>
      <c r="C7" s="47"/>
      <c r="D7" s="46"/>
    </row>
    <row r="8" spans="2:4" x14ac:dyDescent="0.25">
      <c r="B8" s="48" t="s">
        <v>201</v>
      </c>
      <c r="C8" s="48" t="s">
        <v>386</v>
      </c>
      <c r="D8" s="48" t="s">
        <v>218</v>
      </c>
    </row>
    <row r="9" spans="2:4" x14ac:dyDescent="0.25">
      <c r="B9" s="348">
        <v>1</v>
      </c>
      <c r="C9" s="349" t="s">
        <v>446</v>
      </c>
      <c r="D9" s="52">
        <f>MJSP!D19</f>
        <v>2195.98</v>
      </c>
    </row>
    <row r="10" spans="2:4" x14ac:dyDescent="0.25">
      <c r="D10" s="372">
        <f>D6-D9</f>
        <v>0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6"/>
  <sheetViews>
    <sheetView workbookViewId="0">
      <pane ySplit="10" topLeftCell="A11" activePane="bottomLeft" state="frozen"/>
      <selection pane="bottomLeft" activeCell="J23" sqref="J23"/>
    </sheetView>
  </sheetViews>
  <sheetFormatPr baseColWidth="10" defaultRowHeight="15" x14ac:dyDescent="0.25"/>
  <cols>
    <col min="1" max="1" width="3.5703125" style="67" customWidth="1"/>
    <col min="2" max="2" width="9.7109375" style="67" customWidth="1"/>
    <col min="3" max="3" width="50.140625" style="67" customWidth="1"/>
    <col min="4" max="4" width="14.85546875" style="67" customWidth="1"/>
    <col min="5" max="5" width="15.85546875" style="67" customWidth="1"/>
    <col min="6" max="6" width="15.140625" style="67" customWidth="1"/>
    <col min="7" max="16384" width="11.42578125" style="67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222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5.75" x14ac:dyDescent="0.25">
      <c r="B7" s="424" t="s">
        <v>413</v>
      </c>
      <c r="C7" s="424"/>
      <c r="D7" s="424"/>
      <c r="E7" s="424"/>
      <c r="F7" s="424"/>
    </row>
    <row r="8" spans="2:6" ht="15.75" thickBot="1" x14ac:dyDescent="0.3">
      <c r="B8" s="29"/>
      <c r="C8" s="29"/>
      <c r="D8" s="29"/>
      <c r="E8" s="30"/>
      <c r="F8" s="29"/>
    </row>
    <row r="9" spans="2:6" x14ac:dyDescent="0.25">
      <c r="B9" s="417" t="s">
        <v>225</v>
      </c>
      <c r="C9" s="419" t="s">
        <v>226</v>
      </c>
      <c r="D9" s="68" t="s">
        <v>227</v>
      </c>
      <c r="E9" s="69" t="s">
        <v>228</v>
      </c>
      <c r="F9" s="421" t="s">
        <v>0</v>
      </c>
    </row>
    <row r="10" spans="2:6" ht="26.25" thickBot="1" x14ac:dyDescent="0.3">
      <c r="B10" s="418"/>
      <c r="C10" s="420"/>
      <c r="D10" s="70" t="s">
        <v>229</v>
      </c>
      <c r="E10" s="322" t="s">
        <v>230</v>
      </c>
      <c r="F10" s="421"/>
    </row>
    <row r="11" spans="2:6" x14ac:dyDescent="0.25">
      <c r="B11" s="71">
        <v>51</v>
      </c>
      <c r="C11" s="72" t="s">
        <v>127</v>
      </c>
      <c r="D11" s="73">
        <f>SUM(D12+D16+D18+D20)</f>
        <v>126343.75</v>
      </c>
      <c r="E11" s="74">
        <f>+E12+E16+E18</f>
        <v>66960</v>
      </c>
      <c r="F11" s="75">
        <f>SUM(F12+F16+F18+F20)</f>
        <v>193303.75</v>
      </c>
    </row>
    <row r="12" spans="2:6" x14ac:dyDescent="0.25">
      <c r="B12" s="76">
        <v>511</v>
      </c>
      <c r="C12" s="77" t="s">
        <v>231</v>
      </c>
      <c r="D12" s="75">
        <f>SUM(D13:D15)</f>
        <v>74400</v>
      </c>
      <c r="E12" s="78">
        <f>SUM(E13:E15)</f>
        <v>57600</v>
      </c>
      <c r="F12" s="75">
        <f>D12+E12</f>
        <v>132000</v>
      </c>
    </row>
    <row r="13" spans="2:6" x14ac:dyDescent="0.25">
      <c r="B13" s="79">
        <v>51101</v>
      </c>
      <c r="C13" s="80" t="s">
        <v>232</v>
      </c>
      <c r="D13" s="81">
        <f>+'GESTION Y COOPERACION'!D15</f>
        <v>15900</v>
      </c>
      <c r="E13" s="81">
        <f>+'GESTION Y COOPERACION'!E15</f>
        <v>0</v>
      </c>
      <c r="F13" s="81">
        <f>SUM(D13:E13)</f>
        <v>15900</v>
      </c>
    </row>
    <row r="14" spans="2:6" x14ac:dyDescent="0.25">
      <c r="B14" s="79">
        <v>51103</v>
      </c>
      <c r="C14" s="82" t="s">
        <v>233</v>
      </c>
      <c r="D14" s="81">
        <f>+'GESTION Y COOPERACION'!D16</f>
        <v>900</v>
      </c>
      <c r="E14" s="81">
        <f>+'GESTION Y COOPERACION'!E16</f>
        <v>0</v>
      </c>
      <c r="F14" s="81">
        <f>SUM(D14:E14)</f>
        <v>900</v>
      </c>
    </row>
    <row r="15" spans="2:6" x14ac:dyDescent="0.25">
      <c r="B15" s="79">
        <v>51105</v>
      </c>
      <c r="C15" s="83" t="s">
        <v>234</v>
      </c>
      <c r="D15" s="81">
        <f>+'CONCEJO MPAL'!D13</f>
        <v>57600</v>
      </c>
      <c r="E15" s="84">
        <f>+'CONCEJO MPAL'!E13</f>
        <v>57600</v>
      </c>
      <c r="F15" s="81">
        <f>SUM(D15:E15)</f>
        <v>115200</v>
      </c>
    </row>
    <row r="16" spans="2:6" x14ac:dyDescent="0.25">
      <c r="B16" s="76">
        <v>514</v>
      </c>
      <c r="C16" s="72" t="s">
        <v>236</v>
      </c>
      <c r="D16" s="75">
        <f>SUM(D17:D17)</f>
        <v>6247.5</v>
      </c>
      <c r="E16" s="78">
        <f>SUM(E17:E17)</f>
        <v>4896</v>
      </c>
      <c r="F16" s="75">
        <f>SUM(F17:F17)</f>
        <v>11143.5</v>
      </c>
    </row>
    <row r="17" spans="2:6" x14ac:dyDescent="0.25">
      <c r="B17" s="85">
        <v>51401</v>
      </c>
      <c r="C17" s="82" t="s">
        <v>237</v>
      </c>
      <c r="D17" s="81">
        <f>+'CONCEJO MPAL'!D15+'GESTION Y COOPERACION'!D18</f>
        <v>6247.5</v>
      </c>
      <c r="E17" s="84">
        <f>+'CONCEJO MPAL'!E15+'GESTION Y COOPERACION'!E18</f>
        <v>4896</v>
      </c>
      <c r="F17" s="81">
        <f>SUM(D17:E17)</f>
        <v>11143.5</v>
      </c>
    </row>
    <row r="18" spans="2:6" x14ac:dyDescent="0.25">
      <c r="B18" s="76">
        <v>515</v>
      </c>
      <c r="C18" s="86" t="s">
        <v>238</v>
      </c>
      <c r="D18" s="75">
        <f>SUM(D19:D19)</f>
        <v>5696.25</v>
      </c>
      <c r="E18" s="78">
        <f>SUM(E19:E19)</f>
        <v>4464</v>
      </c>
      <c r="F18" s="75">
        <f>SUM(F19:F19)</f>
        <v>10160.25</v>
      </c>
    </row>
    <row r="19" spans="2:6" x14ac:dyDescent="0.25">
      <c r="B19" s="85">
        <v>51501</v>
      </c>
      <c r="C19" s="82" t="s">
        <v>237</v>
      </c>
      <c r="D19" s="81">
        <f>+'CONCEJO MPAL'!D17+'GESTION Y COOPERACION'!D20</f>
        <v>5696.25</v>
      </c>
      <c r="E19" s="84">
        <f>+'CONCEJO MPAL'!E17+'GESTION Y COOPERACION'!E20</f>
        <v>4464</v>
      </c>
      <c r="F19" s="81">
        <f>SUM(D19:E19)</f>
        <v>10160.25</v>
      </c>
    </row>
    <row r="20" spans="2:6" x14ac:dyDescent="0.25">
      <c r="B20" s="76">
        <v>517</v>
      </c>
      <c r="C20" s="86" t="s">
        <v>239</v>
      </c>
      <c r="D20" s="75">
        <f>SUM(D21:D21)</f>
        <v>40000</v>
      </c>
      <c r="E20" s="78">
        <f>SUM(E21:E21)</f>
        <v>0</v>
      </c>
      <c r="F20" s="75">
        <f>SUM(F21:F21)</f>
        <v>40000</v>
      </c>
    </row>
    <row r="21" spans="2:6" x14ac:dyDescent="0.25">
      <c r="B21" s="85">
        <v>51701</v>
      </c>
      <c r="C21" s="82" t="s">
        <v>240</v>
      </c>
      <c r="D21" s="81">
        <f>+'CONCEJO MPAL'!D19</f>
        <v>40000</v>
      </c>
      <c r="E21" s="84">
        <f>+'CONCEJO MPAL'!E19</f>
        <v>0</v>
      </c>
      <c r="F21" s="81">
        <f>SUM(D21:E21)</f>
        <v>40000</v>
      </c>
    </row>
    <row r="22" spans="2:6" x14ac:dyDescent="0.25">
      <c r="B22" s="76">
        <v>54</v>
      </c>
      <c r="C22" s="86" t="s">
        <v>241</v>
      </c>
      <c r="D22" s="75">
        <f>+D23+D33+D40+D44</f>
        <v>56421.4</v>
      </c>
      <c r="E22" s="78">
        <f>+E23+E33+E40+E44</f>
        <v>61842.719999999994</v>
      </c>
      <c r="F22" s="75">
        <f>SUM(F23+F33+F40+F44)</f>
        <v>118264.12</v>
      </c>
    </row>
    <row r="23" spans="2:6" x14ac:dyDescent="0.25">
      <c r="B23" s="76">
        <v>541</v>
      </c>
      <c r="C23" s="86" t="s">
        <v>242</v>
      </c>
      <c r="D23" s="75">
        <f>SUM(D24:D32)</f>
        <v>13721.4</v>
      </c>
      <c r="E23" s="78">
        <f>SUM(E24:E32)</f>
        <v>30872.87</v>
      </c>
      <c r="F23" s="75">
        <f>SUM(F24:F32)</f>
        <v>44594.270000000004</v>
      </c>
    </row>
    <row r="24" spans="2:6" x14ac:dyDescent="0.25">
      <c r="B24" s="85">
        <v>54101</v>
      </c>
      <c r="C24" s="82" t="s">
        <v>243</v>
      </c>
      <c r="D24" s="81">
        <f>+'CONCEJO MPAL'!D22+'GESTION Y COOPERACION'!D23</f>
        <v>5000</v>
      </c>
      <c r="E24" s="84">
        <f>+'CONCEJO MPAL'!E22+'GESTION Y COOPERACION'!E23</f>
        <v>11500</v>
      </c>
      <c r="F24" s="81">
        <f t="shared" ref="F24:F32" si="0">SUM(D24:E24)</f>
        <v>16500</v>
      </c>
    </row>
    <row r="25" spans="2:6" x14ac:dyDescent="0.25">
      <c r="B25" s="85">
        <v>54104</v>
      </c>
      <c r="C25" s="82" t="s">
        <v>245</v>
      </c>
      <c r="D25" s="81">
        <f>+'CONCEJO MPAL'!D23</f>
        <v>1300</v>
      </c>
      <c r="E25" s="84">
        <f>+'CONCEJO MPAL'!E23</f>
        <v>0</v>
      </c>
      <c r="F25" s="81">
        <f t="shared" si="0"/>
        <v>1300</v>
      </c>
    </row>
    <row r="26" spans="2:6" x14ac:dyDescent="0.25">
      <c r="B26" s="85">
        <v>54105</v>
      </c>
      <c r="C26" s="82" t="s">
        <v>246</v>
      </c>
      <c r="D26" s="81">
        <f>+'CONCEJO MPAL'!D24+'GESTION Y COOPERACION'!D24</f>
        <v>155</v>
      </c>
      <c r="E26" s="84">
        <f>+'CONCEJO MPAL'!E24+'GESTION Y COOPERACION'!E24</f>
        <v>0</v>
      </c>
      <c r="F26" s="81">
        <f t="shared" si="0"/>
        <v>155</v>
      </c>
    </row>
    <row r="27" spans="2:6" x14ac:dyDescent="0.25">
      <c r="B27" s="85">
        <v>54106</v>
      </c>
      <c r="C27" s="82" t="s">
        <v>247</v>
      </c>
      <c r="D27" s="81">
        <f>+'CONCEJO MPAL'!D25</f>
        <v>300</v>
      </c>
      <c r="E27" s="84">
        <f>+'CONCEJO MPAL'!E25</f>
        <v>0</v>
      </c>
      <c r="F27" s="81">
        <f t="shared" si="0"/>
        <v>300</v>
      </c>
    </row>
    <row r="28" spans="2:6" x14ac:dyDescent="0.25">
      <c r="B28" s="85">
        <v>54111</v>
      </c>
      <c r="C28" s="82" t="s">
        <v>248</v>
      </c>
      <c r="D28" s="81">
        <f>+'CONCEJO MPAL'!D26</f>
        <v>2000</v>
      </c>
      <c r="E28" s="84">
        <f>+'CONCEJO MPAL'!E26</f>
        <v>8877.34</v>
      </c>
      <c r="F28" s="81">
        <f t="shared" si="0"/>
        <v>10877.34</v>
      </c>
    </row>
    <row r="29" spans="2:6" x14ac:dyDescent="0.25">
      <c r="B29" s="85">
        <v>54112</v>
      </c>
      <c r="C29" s="82" t="s">
        <v>249</v>
      </c>
      <c r="D29" s="81">
        <f>+'CONCEJO MPAL'!D27</f>
        <v>2346.4</v>
      </c>
      <c r="E29" s="84">
        <f>+'CONCEJO MPAL'!E27</f>
        <v>10377.34</v>
      </c>
      <c r="F29" s="81">
        <f t="shared" si="0"/>
        <v>12723.74</v>
      </c>
    </row>
    <row r="30" spans="2:6" x14ac:dyDescent="0.25">
      <c r="B30" s="85">
        <v>54114</v>
      </c>
      <c r="C30" s="82" t="s">
        <v>250</v>
      </c>
      <c r="D30" s="81">
        <f>+'CONCEJO MPAL'!D28+'GESTION Y COOPERACION'!D25</f>
        <v>500</v>
      </c>
      <c r="E30" s="84">
        <f>+'CONCEJO MPAL'!E28+'GESTION Y COOPERACION'!E25</f>
        <v>0</v>
      </c>
      <c r="F30" s="81">
        <f t="shared" si="0"/>
        <v>500</v>
      </c>
    </row>
    <row r="31" spans="2:6" x14ac:dyDescent="0.25">
      <c r="B31" s="85">
        <v>54115</v>
      </c>
      <c r="C31" s="82" t="s">
        <v>251</v>
      </c>
      <c r="D31" s="81">
        <f>+'CONCEJO MPAL'!D29+'GESTION Y COOPERACION'!D26</f>
        <v>120</v>
      </c>
      <c r="E31" s="84">
        <f>+'CONCEJO MPAL'!E29+'GESTION Y COOPERACION'!E26</f>
        <v>0</v>
      </c>
      <c r="F31" s="81">
        <f t="shared" si="0"/>
        <v>120</v>
      </c>
    </row>
    <row r="32" spans="2:6" x14ac:dyDescent="0.25">
      <c r="B32" s="85">
        <v>54199</v>
      </c>
      <c r="C32" s="82" t="s">
        <v>253</v>
      </c>
      <c r="D32" s="81">
        <f>+'CONCEJO MPAL'!D30</f>
        <v>2000</v>
      </c>
      <c r="E32" s="84">
        <f>+'CONCEJO MPAL'!E30</f>
        <v>118.19</v>
      </c>
      <c r="F32" s="81">
        <f t="shared" si="0"/>
        <v>2118.19</v>
      </c>
    </row>
    <row r="33" spans="2:6" x14ac:dyDescent="0.25">
      <c r="B33" s="76">
        <v>543</v>
      </c>
      <c r="C33" s="86" t="s">
        <v>254</v>
      </c>
      <c r="D33" s="75">
        <f>SUM(D34:D39)</f>
        <v>21500</v>
      </c>
      <c r="E33" s="78">
        <f>SUM(E34:E39)</f>
        <v>18000</v>
      </c>
      <c r="F33" s="75">
        <f>SUM(F34:F39)</f>
        <v>39500</v>
      </c>
    </row>
    <row r="34" spans="2:6" x14ac:dyDescent="0.25">
      <c r="B34" s="85">
        <v>54301</v>
      </c>
      <c r="C34" s="82" t="s">
        <v>255</v>
      </c>
      <c r="D34" s="81">
        <f>+'CONCEJO MPAL'!D32</f>
        <v>1500</v>
      </c>
      <c r="E34" s="84">
        <f>+'CONCEJO MPAL'!E32</f>
        <v>7000</v>
      </c>
      <c r="F34" s="81">
        <f t="shared" ref="F34:F39" si="1">SUM(D34:E34)</f>
        <v>8500</v>
      </c>
    </row>
    <row r="35" spans="2:6" x14ac:dyDescent="0.25">
      <c r="B35" s="85">
        <v>54303</v>
      </c>
      <c r="C35" s="82" t="s">
        <v>256</v>
      </c>
      <c r="D35" s="81">
        <f>+'CONCEJO MPAL'!D33</f>
        <v>5000</v>
      </c>
      <c r="E35" s="84">
        <f>+'CONCEJO MPAL'!E33</f>
        <v>5000</v>
      </c>
      <c r="F35" s="81">
        <f t="shared" si="1"/>
        <v>10000</v>
      </c>
    </row>
    <row r="36" spans="2:6" x14ac:dyDescent="0.25">
      <c r="B36" s="85">
        <v>54304</v>
      </c>
      <c r="C36" s="82" t="s">
        <v>257</v>
      </c>
      <c r="D36" s="81">
        <f>+'CONCEJO MPAL'!D34</f>
        <v>3000</v>
      </c>
      <c r="E36" s="84">
        <f>+'CONCEJO MPAL'!E34</f>
        <v>6000</v>
      </c>
      <c r="F36" s="81">
        <f t="shared" si="1"/>
        <v>9000</v>
      </c>
    </row>
    <row r="37" spans="2:6" x14ac:dyDescent="0.25">
      <c r="B37" s="87">
        <v>54313</v>
      </c>
      <c r="C37" s="88" t="s">
        <v>258</v>
      </c>
      <c r="D37" s="89">
        <f>+'CONCEJO MPAL'!D35</f>
        <v>1500</v>
      </c>
      <c r="E37" s="90">
        <f>+'CONCEJO MPAL'!E35</f>
        <v>0</v>
      </c>
      <c r="F37" s="81">
        <f t="shared" si="1"/>
        <v>1500</v>
      </c>
    </row>
    <row r="38" spans="2:6" x14ac:dyDescent="0.25">
      <c r="B38" s="87">
        <v>54314</v>
      </c>
      <c r="C38" s="88" t="s">
        <v>259</v>
      </c>
      <c r="D38" s="89">
        <f>+'CONCEJO MPAL'!D36</f>
        <v>10000</v>
      </c>
      <c r="E38" s="90">
        <f>+'CONCEJO MPAL'!E36</f>
        <v>0</v>
      </c>
      <c r="F38" s="81">
        <f>SUM(D38:E38)</f>
        <v>10000</v>
      </c>
    </row>
    <row r="39" spans="2:6" x14ac:dyDescent="0.25">
      <c r="B39" s="87">
        <v>54399</v>
      </c>
      <c r="C39" s="88" t="s">
        <v>260</v>
      </c>
      <c r="D39" s="89">
        <f>+'CONCEJO MPAL'!D37</f>
        <v>500</v>
      </c>
      <c r="E39" s="90">
        <f>+'CONCEJO MPAL'!E37</f>
        <v>0</v>
      </c>
      <c r="F39" s="81">
        <f t="shared" si="1"/>
        <v>500</v>
      </c>
    </row>
    <row r="40" spans="2:6" x14ac:dyDescent="0.25">
      <c r="B40" s="71">
        <v>544</v>
      </c>
      <c r="C40" s="72" t="s">
        <v>261</v>
      </c>
      <c r="D40" s="73">
        <f>SUM(D41:D43)</f>
        <v>4000</v>
      </c>
      <c r="E40" s="74">
        <f>SUM(E41:E43)</f>
        <v>12969.85</v>
      </c>
      <c r="F40" s="75">
        <f>SUM(F41:F43)</f>
        <v>16969.849999999999</v>
      </c>
    </row>
    <row r="41" spans="2:6" x14ac:dyDescent="0.25">
      <c r="B41" s="85">
        <v>54401</v>
      </c>
      <c r="C41" s="82" t="s">
        <v>262</v>
      </c>
      <c r="D41" s="81">
        <f>+'CONCEJO MPAL'!D39</f>
        <v>500</v>
      </c>
      <c r="E41" s="84">
        <f>+'CONCEJO MPAL'!E39</f>
        <v>0</v>
      </c>
      <c r="F41" s="81">
        <f>SUM(D41:E41)</f>
        <v>500</v>
      </c>
    </row>
    <row r="42" spans="2:6" x14ac:dyDescent="0.25">
      <c r="B42" s="85">
        <v>54402</v>
      </c>
      <c r="C42" s="82" t="s">
        <v>263</v>
      </c>
      <c r="D42" s="81">
        <f>+'CONCEJO MPAL'!D40</f>
        <v>2000</v>
      </c>
      <c r="E42" s="84">
        <f>+'CONCEJO MPAL'!E40</f>
        <v>6769.85</v>
      </c>
      <c r="F42" s="81">
        <f>SUM(D42:E42)</f>
        <v>8769.85</v>
      </c>
    </row>
    <row r="43" spans="2:6" x14ac:dyDescent="0.25">
      <c r="B43" s="85">
        <v>54404</v>
      </c>
      <c r="C43" s="82" t="s">
        <v>264</v>
      </c>
      <c r="D43" s="81">
        <f>+'CONCEJO MPAL'!D41</f>
        <v>1500</v>
      </c>
      <c r="E43" s="84">
        <f>+'CONCEJO MPAL'!E41</f>
        <v>6200</v>
      </c>
      <c r="F43" s="81">
        <f>SUM(D43:E43)</f>
        <v>7700</v>
      </c>
    </row>
    <row r="44" spans="2:6" x14ac:dyDescent="0.25">
      <c r="B44" s="76">
        <v>545</v>
      </c>
      <c r="C44" s="86" t="s">
        <v>265</v>
      </c>
      <c r="D44" s="75">
        <f>SUM(D45:D46)</f>
        <v>17200</v>
      </c>
      <c r="E44" s="78">
        <f>SUM(E45:E46)</f>
        <v>0</v>
      </c>
      <c r="F44" s="75">
        <f>SUM(F45:F46)</f>
        <v>17200</v>
      </c>
    </row>
    <row r="45" spans="2:6" x14ac:dyDescent="0.25">
      <c r="B45" s="85">
        <v>54503</v>
      </c>
      <c r="C45" s="82" t="s">
        <v>266</v>
      </c>
      <c r="D45" s="81">
        <f>+'CONCEJO MPAL'!D43</f>
        <v>1200</v>
      </c>
      <c r="E45" s="84">
        <f>+'CONCEJO MPAL'!E43</f>
        <v>0</v>
      </c>
      <c r="F45" s="81">
        <f>SUM(D45:E45)</f>
        <v>1200</v>
      </c>
    </row>
    <row r="46" spans="2:6" x14ac:dyDescent="0.25">
      <c r="B46" s="85">
        <v>54599</v>
      </c>
      <c r="C46" s="82" t="s">
        <v>267</v>
      </c>
      <c r="D46" s="81">
        <f>+'CONCEJO MPAL'!D44</f>
        <v>16000</v>
      </c>
      <c r="E46" s="84">
        <f>+'CONCEJO MPAL'!E44</f>
        <v>0</v>
      </c>
      <c r="F46" s="81">
        <f>SUM(D46:E46)</f>
        <v>16000</v>
      </c>
    </row>
    <row r="47" spans="2:6" x14ac:dyDescent="0.25">
      <c r="B47" s="76">
        <v>55</v>
      </c>
      <c r="C47" s="86" t="s">
        <v>129</v>
      </c>
      <c r="D47" s="75">
        <f>+D48</f>
        <v>31278</v>
      </c>
      <c r="E47" s="78">
        <f>+E48</f>
        <v>0</v>
      </c>
      <c r="F47" s="75">
        <f>SUM(F48)</f>
        <v>31278</v>
      </c>
    </row>
    <row r="48" spans="2:6" x14ac:dyDescent="0.25">
      <c r="B48" s="76">
        <v>556</v>
      </c>
      <c r="C48" s="86" t="s">
        <v>268</v>
      </c>
      <c r="D48" s="75">
        <f>SUM(D49:D50)</f>
        <v>31278</v>
      </c>
      <c r="E48" s="78">
        <f>SUM(E49:E50)</f>
        <v>0</v>
      </c>
      <c r="F48" s="75">
        <f>SUM(F49:F50)</f>
        <v>31278</v>
      </c>
    </row>
    <row r="49" spans="2:6" x14ac:dyDescent="0.25">
      <c r="B49" s="85">
        <v>55601</v>
      </c>
      <c r="C49" s="82" t="s">
        <v>269</v>
      </c>
      <c r="D49" s="81">
        <f>+'CONCEJO MPAL'!D47</f>
        <v>16278</v>
      </c>
      <c r="E49" s="84">
        <f>+'CONCEJO MPAL'!E47</f>
        <v>0</v>
      </c>
      <c r="F49" s="81">
        <f>SUM(D49:E49)</f>
        <v>16278</v>
      </c>
    </row>
    <row r="50" spans="2:6" x14ac:dyDescent="0.25">
      <c r="B50" s="85">
        <v>55602</v>
      </c>
      <c r="C50" s="82" t="s">
        <v>270</v>
      </c>
      <c r="D50" s="81">
        <f>+'CONCEJO MPAL'!D48</f>
        <v>15000</v>
      </c>
      <c r="E50" s="84">
        <f>+'CONCEJO MPAL'!E48</f>
        <v>0</v>
      </c>
      <c r="F50" s="81">
        <f>SUM(D50:E50)</f>
        <v>15000</v>
      </c>
    </row>
    <row r="51" spans="2:6" x14ac:dyDescent="0.25">
      <c r="B51" s="76">
        <v>56</v>
      </c>
      <c r="C51" s="86" t="s">
        <v>104</v>
      </c>
      <c r="D51" s="75">
        <f>+D52+D56</f>
        <v>1500</v>
      </c>
      <c r="E51" s="78">
        <f>+E52+E56</f>
        <v>7200</v>
      </c>
      <c r="F51" s="75">
        <f>SUM(F52+F56)</f>
        <v>8700</v>
      </c>
    </row>
    <row r="52" spans="2:6" x14ac:dyDescent="0.25">
      <c r="B52" s="76">
        <v>562</v>
      </c>
      <c r="C52" s="86" t="s">
        <v>271</v>
      </c>
      <c r="D52" s="75">
        <f>SUM(D53:D55)</f>
        <v>0</v>
      </c>
      <c r="E52" s="78">
        <f>SUM(E53:E55)</f>
        <v>7200</v>
      </c>
      <c r="F52" s="75">
        <f>SUM(F53:F55)</f>
        <v>7200</v>
      </c>
    </row>
    <row r="53" spans="2:6" x14ac:dyDescent="0.25">
      <c r="B53" s="85">
        <v>5629501</v>
      </c>
      <c r="C53" s="82" t="s">
        <v>272</v>
      </c>
      <c r="D53" s="81">
        <f>+'CONCEJO MPAL'!D51</f>
        <v>0</v>
      </c>
      <c r="E53" s="84">
        <f>+'CONCEJO MPAL'!E51</f>
        <v>900</v>
      </c>
      <c r="F53" s="81">
        <f>SUM(D53:E53)</f>
        <v>900</v>
      </c>
    </row>
    <row r="54" spans="2:6" x14ac:dyDescent="0.25">
      <c r="B54" s="85">
        <v>56201</v>
      </c>
      <c r="C54" s="82" t="s">
        <v>450</v>
      </c>
      <c r="D54" s="81">
        <f>+'CONCEJO MPAL'!D52</f>
        <v>0</v>
      </c>
      <c r="E54" s="84">
        <f>+'CONCEJO MPAL'!E52</f>
        <v>2700</v>
      </c>
      <c r="F54" s="81">
        <f>SUM(D54:E54)</f>
        <v>2700</v>
      </c>
    </row>
    <row r="55" spans="2:6" x14ac:dyDescent="0.25">
      <c r="B55" s="85">
        <v>5629586</v>
      </c>
      <c r="C55" s="82" t="s">
        <v>274</v>
      </c>
      <c r="D55" s="81">
        <f>+'CONCEJO MPAL'!D53</f>
        <v>0</v>
      </c>
      <c r="E55" s="84">
        <f>+'CONCEJO MPAL'!E53</f>
        <v>3600</v>
      </c>
      <c r="F55" s="81">
        <f>SUM(D55:E55)</f>
        <v>3600</v>
      </c>
    </row>
    <row r="56" spans="2:6" x14ac:dyDescent="0.25">
      <c r="B56" s="76">
        <v>563</v>
      </c>
      <c r="C56" s="86" t="s">
        <v>275</v>
      </c>
      <c r="D56" s="75">
        <f>SUM(D57:D57)</f>
        <v>1500</v>
      </c>
      <c r="E56" s="78">
        <f>SUM(E57:E57)</f>
        <v>0</v>
      </c>
      <c r="F56" s="75">
        <f>SUM(F57)</f>
        <v>1500</v>
      </c>
    </row>
    <row r="57" spans="2:6" x14ac:dyDescent="0.25">
      <c r="B57" s="85">
        <v>56304</v>
      </c>
      <c r="C57" s="82" t="s">
        <v>276</v>
      </c>
      <c r="D57" s="81">
        <f>+'CONCEJO MPAL'!D55</f>
        <v>1500</v>
      </c>
      <c r="E57" s="84">
        <f>+'CONCEJO MPAL'!E55</f>
        <v>0</v>
      </c>
      <c r="F57" s="81">
        <f>SUM(D57:E57)</f>
        <v>1500</v>
      </c>
    </row>
    <row r="58" spans="2:6" x14ac:dyDescent="0.25">
      <c r="B58" s="76">
        <v>61</v>
      </c>
      <c r="C58" s="86" t="s">
        <v>277</v>
      </c>
      <c r="D58" s="75">
        <f>+D59</f>
        <v>800</v>
      </c>
      <c r="E58" s="78">
        <f>+E59</f>
        <v>0</v>
      </c>
      <c r="F58" s="75">
        <f t="shared" ref="F58" si="2">SUM(F59)</f>
        <v>800</v>
      </c>
    </row>
    <row r="59" spans="2:6" x14ac:dyDescent="0.25">
      <c r="B59" s="76">
        <v>611</v>
      </c>
      <c r="C59" s="86" t="s">
        <v>278</v>
      </c>
      <c r="D59" s="75">
        <f>SUM(D60:D60)</f>
        <v>800</v>
      </c>
      <c r="E59" s="78">
        <f>SUM(E60:E60)</f>
        <v>0</v>
      </c>
      <c r="F59" s="75">
        <f>SUM(F60:F60)</f>
        <v>800</v>
      </c>
    </row>
    <row r="60" spans="2:6" x14ac:dyDescent="0.25">
      <c r="B60" s="85">
        <v>61101</v>
      </c>
      <c r="C60" s="82" t="s">
        <v>279</v>
      </c>
      <c r="D60" s="81">
        <f>+'CONCEJO MPAL'!D58</f>
        <v>800</v>
      </c>
      <c r="E60" s="84">
        <f>+'CONCEJO MPAL'!E58</f>
        <v>0</v>
      </c>
      <c r="F60" s="81">
        <f>SUM(D60:E60)</f>
        <v>800</v>
      </c>
    </row>
    <row r="61" spans="2:6" x14ac:dyDescent="0.25">
      <c r="B61" s="85"/>
      <c r="C61" s="82"/>
      <c r="D61" s="81"/>
      <c r="E61" s="84"/>
      <c r="F61" s="81"/>
    </row>
    <row r="62" spans="2:6" x14ac:dyDescent="0.25">
      <c r="B62" s="85"/>
      <c r="C62" s="86" t="s">
        <v>69</v>
      </c>
      <c r="D62" s="75">
        <f>SUM(D11+D22+D47+D51+D58)</f>
        <v>216343.15</v>
      </c>
      <c r="E62" s="78">
        <f>SUM(E11+E22+E47+E51+E58)</f>
        <v>136002.72</v>
      </c>
      <c r="F62" s="75">
        <f>SUM(D62:E62)</f>
        <v>352345.87</v>
      </c>
    </row>
    <row r="63" spans="2:6" x14ac:dyDescent="0.25">
      <c r="B63" s="85"/>
      <c r="C63" s="82"/>
      <c r="D63" s="81"/>
      <c r="E63" s="84"/>
      <c r="F63" s="81"/>
    </row>
    <row r="64" spans="2:6" x14ac:dyDescent="0.25">
      <c r="B64" s="76"/>
      <c r="C64" s="86" t="s">
        <v>60</v>
      </c>
      <c r="D64" s="75">
        <f>SUM(D11+D22+D47+D51+D58)</f>
        <v>216343.15</v>
      </c>
      <c r="E64" s="78">
        <f>SUM(E11+E22+E47+E51+E58)</f>
        <v>136002.72</v>
      </c>
      <c r="F64" s="75">
        <f>SUM(F11+F22+F47+F51+F58)</f>
        <v>352345.87</v>
      </c>
    </row>
    <row r="65" spans="2:6" x14ac:dyDescent="0.25">
      <c r="B65" s="76"/>
      <c r="C65" s="86" t="s">
        <v>61</v>
      </c>
      <c r="D65" s="75">
        <f>SUM(D12+D16+D18+D20+D23+D33+D40+D44+D48+D52+D56+D59)</f>
        <v>216343.15</v>
      </c>
      <c r="E65" s="78">
        <f>SUM(E12+E16+E18+E20+E23+E33+E40+E44+E48+E52+E56+E59)</f>
        <v>136002.72</v>
      </c>
      <c r="F65" s="75">
        <f>SUM(F12+F16+F18+F20+F23+F33+F40+F44+F48+F52+F56+F59)</f>
        <v>352345.87</v>
      </c>
    </row>
    <row r="66" spans="2:6" x14ac:dyDescent="0.25">
      <c r="B66" s="76"/>
      <c r="C66" s="86" t="s">
        <v>62</v>
      </c>
      <c r="D66" s="75">
        <f>SUM(D13+D14+D15+D17+D19+D21+D24+D25+D26+D27+D28+D29+D30+D31+D32+D34+D35+D36+D37+D38+D39+D41+D42+D43+D45+D46+D49+D50+D53++D54+D55+D57+D60)</f>
        <v>216343.15</v>
      </c>
      <c r="E66" s="78">
        <f>SUM(E15+E17+E19+E21+E24+E26+E27+E28+E29+E30+E31+E32+E34+E35+E36+E37+E38+E41+E42+E43+E46+E49+E50+E53++E54+E55+E57+E60)</f>
        <v>136002.72</v>
      </c>
      <c r="F66" s="75">
        <f>SUM(F13+F14+F15+F17+F19+F21+F24+F25+F26+F27+F28+F29+F30+F31+F32+F34+F35+F36+F37+F38+F39+F41+F42+F43+F45+F46+F49+F50+F53++F54+F55+F57+F60)</f>
        <v>352345.87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64"/>
  <sheetViews>
    <sheetView zoomScaleNormal="100" workbookViewId="0">
      <pane ySplit="10" topLeftCell="A17" activePane="bottomLeft" state="frozen"/>
      <selection pane="bottomLeft" activeCell="C46" sqref="C46"/>
    </sheetView>
  </sheetViews>
  <sheetFormatPr baseColWidth="10" defaultRowHeight="15" x14ac:dyDescent="0.25"/>
  <cols>
    <col min="1" max="1" width="2.5703125" style="67" customWidth="1"/>
    <col min="2" max="2" width="8" style="67" customWidth="1"/>
    <col min="3" max="3" width="50.140625" style="67" customWidth="1"/>
    <col min="4" max="4" width="14.140625" style="67" customWidth="1"/>
    <col min="5" max="5" width="17.5703125" style="67" customWidth="1"/>
    <col min="6" max="6" width="19" style="67" customWidth="1"/>
    <col min="7" max="16384" width="11.42578125" style="67"/>
  </cols>
  <sheetData>
    <row r="2" spans="2:6" ht="15" customHeight="1" x14ac:dyDescent="0.25">
      <c r="B2" s="422" t="s">
        <v>425</v>
      </c>
      <c r="C2" s="422"/>
      <c r="D2" s="422"/>
      <c r="E2" s="422"/>
      <c r="F2" s="422"/>
    </row>
    <row r="3" spans="2:6" ht="15" customHeight="1" x14ac:dyDescent="0.25">
      <c r="B3" s="422" t="s">
        <v>220</v>
      </c>
      <c r="C3" s="422"/>
      <c r="D3" s="422"/>
      <c r="E3" s="422"/>
      <c r="F3" s="422"/>
    </row>
    <row r="4" spans="2:6" ht="15" customHeight="1" x14ac:dyDescent="0.25">
      <c r="B4" s="423" t="s">
        <v>221</v>
      </c>
      <c r="C4" s="423"/>
      <c r="D4" s="423"/>
      <c r="E4" s="423"/>
      <c r="F4" s="423"/>
    </row>
    <row r="5" spans="2:6" ht="15" customHeight="1" x14ac:dyDescent="0.25">
      <c r="B5" s="423" t="s">
        <v>222</v>
      </c>
      <c r="C5" s="423"/>
      <c r="D5" s="423"/>
      <c r="E5" s="423"/>
      <c r="F5" s="423"/>
    </row>
    <row r="6" spans="2:6" ht="15" customHeight="1" x14ac:dyDescent="0.25">
      <c r="B6" s="423" t="s">
        <v>223</v>
      </c>
      <c r="C6" s="423"/>
      <c r="D6" s="423"/>
      <c r="E6" s="423"/>
      <c r="F6" s="423"/>
    </row>
    <row r="7" spans="2:6" ht="15" customHeight="1" x14ac:dyDescent="0.25">
      <c r="B7" s="424" t="s">
        <v>224</v>
      </c>
      <c r="C7" s="424"/>
      <c r="D7" s="424"/>
      <c r="E7" s="424"/>
      <c r="F7" s="424"/>
    </row>
    <row r="8" spans="2:6" ht="15.75" thickBot="1" x14ac:dyDescent="0.3">
      <c r="B8" s="29"/>
      <c r="C8" s="29"/>
      <c r="D8" s="29"/>
      <c r="E8" s="30"/>
      <c r="F8" s="29"/>
    </row>
    <row r="9" spans="2:6" x14ac:dyDescent="0.25">
      <c r="B9" s="417" t="s">
        <v>225</v>
      </c>
      <c r="C9" s="419" t="s">
        <v>226</v>
      </c>
      <c r="D9" s="68" t="s">
        <v>227</v>
      </c>
      <c r="E9" s="69" t="s">
        <v>228</v>
      </c>
      <c r="F9" s="452" t="s">
        <v>0</v>
      </c>
    </row>
    <row r="10" spans="2:6" ht="15.75" thickBot="1" x14ac:dyDescent="0.3">
      <c r="B10" s="418"/>
      <c r="C10" s="420"/>
      <c r="D10" s="70" t="s">
        <v>229</v>
      </c>
      <c r="E10" s="322" t="s">
        <v>230</v>
      </c>
      <c r="F10" s="452"/>
    </row>
    <row r="11" spans="2:6" x14ac:dyDescent="0.25">
      <c r="B11" s="71">
        <v>51</v>
      </c>
      <c r="C11" s="72" t="s">
        <v>127</v>
      </c>
      <c r="D11" s="73">
        <f>SUM(D12+D14+D16+D18)</f>
        <v>106960</v>
      </c>
      <c r="E11" s="74">
        <f>SUM(E12+E14+E16+E18)</f>
        <v>66960</v>
      </c>
      <c r="F11" s="75">
        <f>SUM(F12+F14+F16+F18)</f>
        <v>173920</v>
      </c>
    </row>
    <row r="12" spans="2:6" x14ac:dyDescent="0.25">
      <c r="B12" s="76">
        <v>511</v>
      </c>
      <c r="C12" s="77" t="s">
        <v>231</v>
      </c>
      <c r="D12" s="75">
        <f>SUM(D13:D13)</f>
        <v>57600</v>
      </c>
      <c r="E12" s="78">
        <f>SUM(E13:E13)</f>
        <v>57600</v>
      </c>
      <c r="F12" s="75">
        <f>D12+E12</f>
        <v>115200</v>
      </c>
    </row>
    <row r="13" spans="2:6" x14ac:dyDescent="0.25">
      <c r="B13" s="79">
        <v>51105</v>
      </c>
      <c r="C13" s="83" t="s">
        <v>234</v>
      </c>
      <c r="D13" s="81">
        <v>57600</v>
      </c>
      <c r="E13" s="84">
        <v>57600</v>
      </c>
      <c r="F13" s="81">
        <f>SUM(D13:E13)</f>
        <v>115200</v>
      </c>
    </row>
    <row r="14" spans="2:6" x14ac:dyDescent="0.25">
      <c r="B14" s="76">
        <v>514</v>
      </c>
      <c r="C14" s="72" t="s">
        <v>236</v>
      </c>
      <c r="D14" s="75">
        <f>SUM(D15:D15)</f>
        <v>4896</v>
      </c>
      <c r="E14" s="78">
        <f>SUM(E15:E15)</f>
        <v>4896</v>
      </c>
      <c r="F14" s="75">
        <f>SUM(F15:F15)</f>
        <v>9792</v>
      </c>
    </row>
    <row r="15" spans="2:6" x14ac:dyDescent="0.25">
      <c r="B15" s="85">
        <v>51401</v>
      </c>
      <c r="C15" s="82" t="s">
        <v>237</v>
      </c>
      <c r="D15" s="81">
        <f>D13*8.5%</f>
        <v>4896</v>
      </c>
      <c r="E15" s="84">
        <f>E13*8.5%</f>
        <v>4896</v>
      </c>
      <c r="F15" s="81">
        <f>SUM(D15:E15)</f>
        <v>9792</v>
      </c>
    </row>
    <row r="16" spans="2:6" x14ac:dyDescent="0.25">
      <c r="B16" s="76">
        <v>515</v>
      </c>
      <c r="C16" s="86" t="s">
        <v>238</v>
      </c>
      <c r="D16" s="75">
        <f>SUM(D17:D17)</f>
        <v>4464</v>
      </c>
      <c r="E16" s="78">
        <f>SUM(E17:E17)</f>
        <v>4464</v>
      </c>
      <c r="F16" s="75">
        <f>SUM(F17:F17)</f>
        <v>8928</v>
      </c>
    </row>
    <row r="17" spans="2:6" x14ac:dyDescent="0.25">
      <c r="B17" s="85">
        <v>51501</v>
      </c>
      <c r="C17" s="82" t="s">
        <v>237</v>
      </c>
      <c r="D17" s="81">
        <f>D13*7.75%</f>
        <v>4464</v>
      </c>
      <c r="E17" s="84">
        <f>E13*7.75%</f>
        <v>4464</v>
      </c>
      <c r="F17" s="81">
        <f>SUM(D17:E17)</f>
        <v>8928</v>
      </c>
    </row>
    <row r="18" spans="2:6" x14ac:dyDescent="0.25">
      <c r="B18" s="76">
        <v>517</v>
      </c>
      <c r="C18" s="86" t="s">
        <v>239</v>
      </c>
      <c r="D18" s="75">
        <f>SUM(D19:D19)</f>
        <v>40000</v>
      </c>
      <c r="E18" s="78">
        <f>SUM(E19:E19)</f>
        <v>0</v>
      </c>
      <c r="F18" s="75">
        <f>SUM(F19:F19)</f>
        <v>40000</v>
      </c>
    </row>
    <row r="19" spans="2:6" x14ac:dyDescent="0.25">
      <c r="B19" s="85">
        <v>51701</v>
      </c>
      <c r="C19" s="82" t="s">
        <v>240</v>
      </c>
      <c r="D19" s="81">
        <v>40000</v>
      </c>
      <c r="E19" s="84">
        <v>0</v>
      </c>
      <c r="F19" s="81">
        <f>SUM(D19:E19)</f>
        <v>40000</v>
      </c>
    </row>
    <row r="20" spans="2:6" x14ac:dyDescent="0.25">
      <c r="B20" s="76">
        <v>54</v>
      </c>
      <c r="C20" s="86" t="s">
        <v>241</v>
      </c>
      <c r="D20" s="75">
        <f>SUM(D21+D31+D38+D42)</f>
        <v>55546.400000000001</v>
      </c>
      <c r="E20" s="78">
        <f>SUM(E21+E31+E38+E42)</f>
        <v>61842.719999999994</v>
      </c>
      <c r="F20" s="75">
        <f>SUM(F21+F31+F38+F42)</f>
        <v>117389.12</v>
      </c>
    </row>
    <row r="21" spans="2:6" x14ac:dyDescent="0.25">
      <c r="B21" s="76">
        <v>541</v>
      </c>
      <c r="C21" s="86" t="s">
        <v>242</v>
      </c>
      <c r="D21" s="75">
        <f>SUM(D22:D30)</f>
        <v>12846.4</v>
      </c>
      <c r="E21" s="78">
        <f>SUM(E22:E30)</f>
        <v>30872.87</v>
      </c>
      <c r="F21" s="75">
        <f>SUM(F22:F30)</f>
        <v>43719.270000000004</v>
      </c>
    </row>
    <row r="22" spans="2:6" x14ac:dyDescent="0.25">
      <c r="B22" s="85">
        <v>54101</v>
      </c>
      <c r="C22" s="82" t="s">
        <v>243</v>
      </c>
      <c r="D22" s="244">
        <v>4500</v>
      </c>
      <c r="E22" s="84">
        <v>11500</v>
      </c>
      <c r="F22" s="81">
        <f t="shared" ref="F22:F30" si="0">SUM(D22:E22)</f>
        <v>16000</v>
      </c>
    </row>
    <row r="23" spans="2:6" x14ac:dyDescent="0.25">
      <c r="B23" s="85">
        <v>54104</v>
      </c>
      <c r="C23" s="82" t="s">
        <v>245</v>
      </c>
      <c r="D23" s="244">
        <v>1300</v>
      </c>
      <c r="E23" s="78">
        <v>0</v>
      </c>
      <c r="F23" s="81">
        <f t="shared" si="0"/>
        <v>1300</v>
      </c>
    </row>
    <row r="24" spans="2:6" x14ac:dyDescent="0.25">
      <c r="B24" s="85">
        <v>54105</v>
      </c>
      <c r="C24" s="82" t="s">
        <v>246</v>
      </c>
      <c r="D24" s="244">
        <v>100</v>
      </c>
      <c r="E24" s="84">
        <v>0</v>
      </c>
      <c r="F24" s="81">
        <f t="shared" si="0"/>
        <v>100</v>
      </c>
    </row>
    <row r="25" spans="2:6" x14ac:dyDescent="0.25">
      <c r="B25" s="85">
        <v>54106</v>
      </c>
      <c r="C25" s="82" t="s">
        <v>247</v>
      </c>
      <c r="D25" s="244">
        <v>300</v>
      </c>
      <c r="E25" s="84">
        <v>0</v>
      </c>
      <c r="F25" s="81">
        <f t="shared" si="0"/>
        <v>300</v>
      </c>
    </row>
    <row r="26" spans="2:6" x14ac:dyDescent="0.25">
      <c r="B26" s="85">
        <v>54111</v>
      </c>
      <c r="C26" s="82" t="s">
        <v>248</v>
      </c>
      <c r="D26" s="244">
        <v>2000</v>
      </c>
      <c r="E26" s="84">
        <v>8877.34</v>
      </c>
      <c r="F26" s="81">
        <f t="shared" si="0"/>
        <v>10877.34</v>
      </c>
    </row>
    <row r="27" spans="2:6" x14ac:dyDescent="0.25">
      <c r="B27" s="85">
        <v>54112</v>
      </c>
      <c r="C27" s="82" t="s">
        <v>249</v>
      </c>
      <c r="D27" s="244">
        <v>2346.4</v>
      </c>
      <c r="E27" s="84">
        <v>10377.34</v>
      </c>
      <c r="F27" s="81">
        <f t="shared" si="0"/>
        <v>12723.74</v>
      </c>
    </row>
    <row r="28" spans="2:6" x14ac:dyDescent="0.25">
      <c r="B28" s="85">
        <v>54114</v>
      </c>
      <c r="C28" s="82" t="s">
        <v>250</v>
      </c>
      <c r="D28" s="244">
        <v>200</v>
      </c>
      <c r="E28" s="84">
        <v>0</v>
      </c>
      <c r="F28" s="81">
        <f t="shared" si="0"/>
        <v>200</v>
      </c>
    </row>
    <row r="29" spans="2:6" x14ac:dyDescent="0.25">
      <c r="B29" s="85">
        <v>54115</v>
      </c>
      <c r="C29" s="82" t="s">
        <v>251</v>
      </c>
      <c r="D29" s="244">
        <v>100</v>
      </c>
      <c r="E29" s="84">
        <v>0</v>
      </c>
      <c r="F29" s="81">
        <f t="shared" si="0"/>
        <v>100</v>
      </c>
    </row>
    <row r="30" spans="2:6" x14ac:dyDescent="0.25">
      <c r="B30" s="85">
        <v>54199</v>
      </c>
      <c r="C30" s="82" t="s">
        <v>253</v>
      </c>
      <c r="D30" s="244">
        <v>2000</v>
      </c>
      <c r="E30" s="84">
        <v>118.19</v>
      </c>
      <c r="F30" s="81">
        <f t="shared" si="0"/>
        <v>2118.19</v>
      </c>
    </row>
    <row r="31" spans="2:6" x14ac:dyDescent="0.25">
      <c r="B31" s="76">
        <v>543</v>
      </c>
      <c r="C31" s="86" t="s">
        <v>254</v>
      </c>
      <c r="D31" s="241">
        <f>SUM(D32:D37)</f>
        <v>21500</v>
      </c>
      <c r="E31" s="78">
        <f>SUM(E32:E37)</f>
        <v>18000</v>
      </c>
      <c r="F31" s="75">
        <f>SUM(F32:F37)</f>
        <v>39500</v>
      </c>
    </row>
    <row r="32" spans="2:6" x14ac:dyDescent="0.25">
      <c r="B32" s="85">
        <v>54301</v>
      </c>
      <c r="C32" s="82" t="s">
        <v>255</v>
      </c>
      <c r="D32" s="244">
        <v>1500</v>
      </c>
      <c r="E32" s="84">
        <v>7000</v>
      </c>
      <c r="F32" s="81">
        <f t="shared" ref="F32:F37" si="1">SUM(D32:E32)</f>
        <v>8500</v>
      </c>
    </row>
    <row r="33" spans="2:6" x14ac:dyDescent="0.25">
      <c r="B33" s="85">
        <v>54303</v>
      </c>
      <c r="C33" s="82" t="s">
        <v>256</v>
      </c>
      <c r="D33" s="244">
        <v>5000</v>
      </c>
      <c r="E33" s="84">
        <v>5000</v>
      </c>
      <c r="F33" s="81">
        <f t="shared" si="1"/>
        <v>10000</v>
      </c>
    </row>
    <row r="34" spans="2:6" x14ac:dyDescent="0.25">
      <c r="B34" s="85">
        <v>54304</v>
      </c>
      <c r="C34" s="82" t="s">
        <v>257</v>
      </c>
      <c r="D34" s="244">
        <v>3000</v>
      </c>
      <c r="E34" s="84">
        <v>6000</v>
      </c>
      <c r="F34" s="81">
        <f t="shared" si="1"/>
        <v>9000</v>
      </c>
    </row>
    <row r="35" spans="2:6" x14ac:dyDescent="0.25">
      <c r="B35" s="87">
        <v>54313</v>
      </c>
      <c r="C35" s="88" t="s">
        <v>258</v>
      </c>
      <c r="D35" s="250">
        <v>1500</v>
      </c>
      <c r="E35" s="90">
        <v>0</v>
      </c>
      <c r="F35" s="81">
        <f t="shared" si="1"/>
        <v>1500</v>
      </c>
    </row>
    <row r="36" spans="2:6" x14ac:dyDescent="0.25">
      <c r="B36" s="87">
        <v>54314</v>
      </c>
      <c r="C36" s="88" t="s">
        <v>259</v>
      </c>
      <c r="D36" s="250">
        <v>10000</v>
      </c>
      <c r="E36" s="90">
        <v>0</v>
      </c>
      <c r="F36" s="81">
        <f>SUM(D36:E36)</f>
        <v>10000</v>
      </c>
    </row>
    <row r="37" spans="2:6" x14ac:dyDescent="0.25">
      <c r="B37" s="87">
        <v>54399</v>
      </c>
      <c r="C37" s="88" t="s">
        <v>260</v>
      </c>
      <c r="D37" s="250">
        <v>500</v>
      </c>
      <c r="E37" s="90">
        <v>0</v>
      </c>
      <c r="F37" s="81">
        <f t="shared" si="1"/>
        <v>500</v>
      </c>
    </row>
    <row r="38" spans="2:6" x14ac:dyDescent="0.25">
      <c r="B38" s="71">
        <v>544</v>
      </c>
      <c r="C38" s="72" t="s">
        <v>261</v>
      </c>
      <c r="D38" s="246">
        <f>SUM(D39:D41)</f>
        <v>4000</v>
      </c>
      <c r="E38" s="74">
        <f>SUM(E39:E41)</f>
        <v>12969.85</v>
      </c>
      <c r="F38" s="75">
        <f>SUM(F39:F41)</f>
        <v>16969.849999999999</v>
      </c>
    </row>
    <row r="39" spans="2:6" x14ac:dyDescent="0.25">
      <c r="B39" s="85">
        <v>54401</v>
      </c>
      <c r="C39" s="82" t="s">
        <v>262</v>
      </c>
      <c r="D39" s="244">
        <v>500</v>
      </c>
      <c r="E39" s="84">
        <v>0</v>
      </c>
      <c r="F39" s="81">
        <f>SUM(D39:E39)</f>
        <v>500</v>
      </c>
    </row>
    <row r="40" spans="2:6" x14ac:dyDescent="0.25">
      <c r="B40" s="85">
        <v>54402</v>
      </c>
      <c r="C40" s="82" t="s">
        <v>263</v>
      </c>
      <c r="D40" s="244">
        <v>2000</v>
      </c>
      <c r="E40" s="233">
        <v>6769.85</v>
      </c>
      <c r="F40" s="81">
        <f>SUM(D40:E40)</f>
        <v>8769.85</v>
      </c>
    </row>
    <row r="41" spans="2:6" x14ac:dyDescent="0.25">
      <c r="B41" s="85">
        <v>54404</v>
      </c>
      <c r="C41" s="82" t="s">
        <v>264</v>
      </c>
      <c r="D41" s="244">
        <v>1500</v>
      </c>
      <c r="E41" s="84">
        <v>6200</v>
      </c>
      <c r="F41" s="81">
        <f>SUM(D41:E41)</f>
        <v>7700</v>
      </c>
    </row>
    <row r="42" spans="2:6" x14ac:dyDescent="0.25">
      <c r="B42" s="76">
        <v>545</v>
      </c>
      <c r="C42" s="86" t="s">
        <v>265</v>
      </c>
      <c r="D42" s="241">
        <f>SUM(D43:D44)</f>
        <v>17200</v>
      </c>
      <c r="E42" s="78">
        <f>SUM(E43:E44)</f>
        <v>0</v>
      </c>
      <c r="F42" s="75">
        <f>SUM(F43:F44)</f>
        <v>17200</v>
      </c>
    </row>
    <row r="43" spans="2:6" x14ac:dyDescent="0.25">
      <c r="B43" s="85">
        <v>54503</v>
      </c>
      <c r="C43" s="82" t="s">
        <v>266</v>
      </c>
      <c r="D43" s="244">
        <v>1200</v>
      </c>
      <c r="E43" s="84">
        <v>0</v>
      </c>
      <c r="F43" s="81">
        <f>SUM(D43:E43)</f>
        <v>1200</v>
      </c>
    </row>
    <row r="44" spans="2:6" x14ac:dyDescent="0.25">
      <c r="B44" s="85">
        <v>54599</v>
      </c>
      <c r="C44" s="82" t="s">
        <v>267</v>
      </c>
      <c r="D44" s="244">
        <v>16000</v>
      </c>
      <c r="E44" s="84">
        <v>0</v>
      </c>
      <c r="F44" s="81">
        <f>SUM(D44:E44)</f>
        <v>16000</v>
      </c>
    </row>
    <row r="45" spans="2:6" x14ac:dyDescent="0.25">
      <c r="B45" s="76">
        <v>55</v>
      </c>
      <c r="C45" s="86" t="s">
        <v>129</v>
      </c>
      <c r="D45" s="75">
        <f>SUM(D46)</f>
        <v>31278</v>
      </c>
      <c r="E45" s="78">
        <f>SUM(E46)</f>
        <v>0</v>
      </c>
      <c r="F45" s="75">
        <f>SUM(F46)</f>
        <v>31278</v>
      </c>
    </row>
    <row r="46" spans="2:6" x14ac:dyDescent="0.25">
      <c r="B46" s="76">
        <v>556</v>
      </c>
      <c r="C46" s="86" t="s">
        <v>268</v>
      </c>
      <c r="D46" s="75">
        <f>SUM(D47:D48)</f>
        <v>31278</v>
      </c>
      <c r="E46" s="78">
        <f>SUM(E47:E48)</f>
        <v>0</v>
      </c>
      <c r="F46" s="75">
        <f>SUM(F47:F48)</f>
        <v>31278</v>
      </c>
    </row>
    <row r="47" spans="2:6" x14ac:dyDescent="0.25">
      <c r="B47" s="85">
        <v>55601</v>
      </c>
      <c r="C47" s="82" t="s">
        <v>269</v>
      </c>
      <c r="D47" s="81">
        <v>16278</v>
      </c>
      <c r="E47" s="84">
        <v>0</v>
      </c>
      <c r="F47" s="81">
        <f>SUM(D47:E47)</f>
        <v>16278</v>
      </c>
    </row>
    <row r="48" spans="2:6" x14ac:dyDescent="0.25">
      <c r="B48" s="85">
        <v>55602</v>
      </c>
      <c r="C48" s="82" t="s">
        <v>270</v>
      </c>
      <c r="D48" s="81">
        <v>15000</v>
      </c>
      <c r="E48" s="84">
        <v>0</v>
      </c>
      <c r="F48" s="81">
        <f>SUM(D48:E48)</f>
        <v>15000</v>
      </c>
    </row>
    <row r="49" spans="2:6" x14ac:dyDescent="0.25">
      <c r="B49" s="76">
        <v>56</v>
      </c>
      <c r="C49" s="86" t="s">
        <v>104</v>
      </c>
      <c r="D49" s="75">
        <f>SUM(D50+D54)</f>
        <v>1500</v>
      </c>
      <c r="E49" s="78">
        <f>SUM(E50+E54)</f>
        <v>7200</v>
      </c>
      <c r="F49" s="75">
        <f>SUM(F50+F54)</f>
        <v>8700</v>
      </c>
    </row>
    <row r="50" spans="2:6" ht="15.75" customHeight="1" x14ac:dyDescent="0.25">
      <c r="B50" s="76">
        <v>562</v>
      </c>
      <c r="C50" s="86" t="s">
        <v>271</v>
      </c>
      <c r="D50" s="75">
        <f>SUM(D51:D53)</f>
        <v>0</v>
      </c>
      <c r="E50" s="78">
        <f>SUM(E51:E53)</f>
        <v>7200</v>
      </c>
      <c r="F50" s="75">
        <f>SUM(F51:F53)</f>
        <v>7200</v>
      </c>
    </row>
    <row r="51" spans="2:6" x14ac:dyDescent="0.25">
      <c r="B51" s="85">
        <v>5629501</v>
      </c>
      <c r="C51" s="82" t="s">
        <v>272</v>
      </c>
      <c r="D51" s="81">
        <v>0</v>
      </c>
      <c r="E51" s="84">
        <v>900</v>
      </c>
      <c r="F51" s="81">
        <f>SUM(D51:E51)</f>
        <v>900</v>
      </c>
    </row>
    <row r="52" spans="2:6" x14ac:dyDescent="0.25">
      <c r="B52" s="85">
        <v>56201</v>
      </c>
      <c r="C52" s="82" t="s">
        <v>273</v>
      </c>
      <c r="D52" s="81">
        <v>0</v>
      </c>
      <c r="E52" s="84">
        <v>2700</v>
      </c>
      <c r="F52" s="81">
        <f>SUM(D52:E52)</f>
        <v>2700</v>
      </c>
    </row>
    <row r="53" spans="2:6" x14ac:dyDescent="0.25">
      <c r="B53" s="85">
        <v>5629586</v>
      </c>
      <c r="C53" s="82" t="s">
        <v>274</v>
      </c>
      <c r="D53" s="81">
        <v>0</v>
      </c>
      <c r="E53" s="233">
        <v>3600</v>
      </c>
      <c r="F53" s="81">
        <f>SUM(D53:E53)</f>
        <v>3600</v>
      </c>
    </row>
    <row r="54" spans="2:6" ht="13.5" customHeight="1" x14ac:dyDescent="0.25">
      <c r="B54" s="76">
        <v>563</v>
      </c>
      <c r="C54" s="86" t="s">
        <v>275</v>
      </c>
      <c r="D54" s="75">
        <f>SUM(D55)</f>
        <v>1500</v>
      </c>
      <c r="E54" s="78">
        <f>SUM(E55)</f>
        <v>0</v>
      </c>
      <c r="F54" s="75">
        <f>SUM(F55)</f>
        <v>1500</v>
      </c>
    </row>
    <row r="55" spans="2:6" x14ac:dyDescent="0.25">
      <c r="B55" s="85">
        <v>56304</v>
      </c>
      <c r="C55" s="82" t="s">
        <v>276</v>
      </c>
      <c r="D55" s="81">
        <v>1500</v>
      </c>
      <c r="E55" s="84">
        <v>0</v>
      </c>
      <c r="F55" s="81">
        <f>SUM(D55:E55)</f>
        <v>1500</v>
      </c>
    </row>
    <row r="56" spans="2:6" x14ac:dyDescent="0.25">
      <c r="B56" s="76">
        <v>61</v>
      </c>
      <c r="C56" s="86" t="s">
        <v>277</v>
      </c>
      <c r="D56" s="75">
        <f>SUM(D57)</f>
        <v>800</v>
      </c>
      <c r="E56" s="78">
        <f t="shared" ref="E56:F56" si="2">SUM(E57)</f>
        <v>0</v>
      </c>
      <c r="F56" s="75">
        <f t="shared" si="2"/>
        <v>800</v>
      </c>
    </row>
    <row r="57" spans="2:6" x14ac:dyDescent="0.25">
      <c r="B57" s="76">
        <v>611</v>
      </c>
      <c r="C57" s="86" t="s">
        <v>278</v>
      </c>
      <c r="D57" s="75">
        <f>SUM(D58:D58)</f>
        <v>800</v>
      </c>
      <c r="E57" s="78">
        <f>SUM(E58:E58)</f>
        <v>0</v>
      </c>
      <c r="F57" s="75">
        <f>SUM(F58:F58)</f>
        <v>800</v>
      </c>
    </row>
    <row r="58" spans="2:6" x14ac:dyDescent="0.25">
      <c r="B58" s="85">
        <v>61101</v>
      </c>
      <c r="C58" s="82" t="s">
        <v>279</v>
      </c>
      <c r="D58" s="244">
        <v>800</v>
      </c>
      <c r="E58" s="84">
        <v>0</v>
      </c>
      <c r="F58" s="81">
        <f>SUM(D58:E58)</f>
        <v>800</v>
      </c>
    </row>
    <row r="59" spans="2:6" x14ac:dyDescent="0.25">
      <c r="B59" s="85"/>
      <c r="C59" s="82"/>
      <c r="D59" s="81"/>
      <c r="E59" s="84"/>
      <c r="F59" s="81"/>
    </row>
    <row r="60" spans="2:6" x14ac:dyDescent="0.25">
      <c r="B60" s="85"/>
      <c r="C60" s="86" t="s">
        <v>69</v>
      </c>
      <c r="D60" s="75">
        <f>SUM(D11+D20+D45+D49+D56)</f>
        <v>196084.4</v>
      </c>
      <c r="E60" s="78">
        <f>SUM(E11+E20+E45+E49+E56)</f>
        <v>136002.72</v>
      </c>
      <c r="F60" s="75">
        <f>SUM(D60:E60)</f>
        <v>332087.12</v>
      </c>
    </row>
    <row r="61" spans="2:6" x14ac:dyDescent="0.25">
      <c r="B61" s="85"/>
      <c r="C61" s="82"/>
      <c r="D61" s="81"/>
      <c r="E61" s="84"/>
      <c r="F61" s="81"/>
    </row>
    <row r="62" spans="2:6" x14ac:dyDescent="0.25">
      <c r="B62" s="76"/>
      <c r="C62" s="86" t="s">
        <v>60</v>
      </c>
      <c r="D62" s="75">
        <f>SUM(D11+D20+D45+D49+D56)</f>
        <v>196084.4</v>
      </c>
      <c r="E62" s="78">
        <f>SUM(E11+E20+E45+E49+E56)</f>
        <v>136002.72</v>
      </c>
      <c r="F62" s="75">
        <f>SUM(F11+F20+F45+F49+F56)</f>
        <v>332087.12</v>
      </c>
    </row>
    <row r="63" spans="2:6" x14ac:dyDescent="0.25">
      <c r="B63" s="76"/>
      <c r="C63" s="86" t="s">
        <v>61</v>
      </c>
      <c r="D63" s="75">
        <f>SUM(D12+D14+D16+D18+D21+D31+D38+D42+D46+D50+D54+D57)</f>
        <v>196084.4</v>
      </c>
      <c r="E63" s="78">
        <f>SUM(E12+E14+E16+E18+E21+E31+E38+E42+E46+E50+E54+E57)</f>
        <v>136002.72</v>
      </c>
      <c r="F63" s="75">
        <f>SUM(F12+F14+F16+F18+F21+F31+F38+F42+F46+F50+F54+F57)</f>
        <v>332087.12</v>
      </c>
    </row>
    <row r="64" spans="2:6" x14ac:dyDescent="0.25">
      <c r="B64" s="76"/>
      <c r="C64" s="86" t="s">
        <v>62</v>
      </c>
      <c r="D64" s="75">
        <f>SUM(D13+D15+D17+D19+D22+D23+D24+D25+D26+D27+D28+D29+D30+D32+D33+D34+D35+D36+D37+D39+D40+D41+D43+D44+D47+D48+D51++D52+D53+D55+D58)</f>
        <v>196084.4</v>
      </c>
      <c r="E64" s="78">
        <f>SUM(E13+E15+E17+E19+E22+E24+E25+E26+E27+E28+E29+E30+E32+E33+E34+E35+E36+E39+E40+E41+E44+E47+E48+E51++E52+E53+E55+E58)</f>
        <v>136002.72</v>
      </c>
      <c r="F64" s="75">
        <f>SUM(F13+F15+F17+F19+F22+F23+F24+F25+F26+F27+F28+F29+F30+F32+F33+F34+F35+F36+F37+F39+F40+F41+F43+F44+F47+F48+F51++F52+F53+F55+F58)</f>
        <v>332087.12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68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3"/>
  <sheetViews>
    <sheetView workbookViewId="0">
      <pane ySplit="12" topLeftCell="A13" activePane="bottomLeft" state="frozen"/>
      <selection pane="bottomLeft" activeCell="G37" sqref="G37"/>
    </sheetView>
  </sheetViews>
  <sheetFormatPr baseColWidth="10" defaultRowHeight="15" x14ac:dyDescent="0.25"/>
  <cols>
    <col min="1" max="1" width="3.28515625" style="67" customWidth="1"/>
    <col min="2" max="2" width="7.85546875" style="67" customWidth="1"/>
    <col min="3" max="3" width="40.5703125" style="67" customWidth="1"/>
    <col min="4" max="4" width="14.85546875" style="67" customWidth="1"/>
    <col min="5" max="5" width="16.140625" style="67" customWidth="1"/>
    <col min="6" max="6" width="14.7109375" style="67" customWidth="1"/>
    <col min="7" max="16384" width="11.42578125" style="67"/>
  </cols>
  <sheetData>
    <row r="3" spans="2:6" ht="15.75" x14ac:dyDescent="0.25">
      <c r="B3" s="425" t="s">
        <v>425</v>
      </c>
      <c r="C3" s="425"/>
      <c r="D3" s="425"/>
      <c r="E3" s="425"/>
      <c r="F3" s="425"/>
    </row>
    <row r="4" spans="2:6" ht="15.75" x14ac:dyDescent="0.25">
      <c r="B4" s="425" t="s">
        <v>220</v>
      </c>
      <c r="C4" s="425"/>
      <c r="D4" s="425"/>
      <c r="E4" s="425"/>
      <c r="F4" s="425"/>
    </row>
    <row r="5" spans="2:6" ht="15.75" x14ac:dyDescent="0.25">
      <c r="B5" s="423" t="s">
        <v>221</v>
      </c>
      <c r="C5" s="423"/>
      <c r="D5" s="423"/>
      <c r="E5" s="423"/>
      <c r="F5" s="423"/>
    </row>
    <row r="6" spans="2:6" ht="15.75" x14ac:dyDescent="0.25">
      <c r="B6" s="423" t="s">
        <v>280</v>
      </c>
      <c r="C6" s="423"/>
      <c r="D6" s="423"/>
      <c r="E6" s="423"/>
      <c r="F6" s="423"/>
    </row>
    <row r="7" spans="2:6" ht="18.75" customHeight="1" x14ac:dyDescent="0.25">
      <c r="B7" s="422" t="s">
        <v>281</v>
      </c>
      <c r="C7" s="422"/>
      <c r="D7" s="422"/>
      <c r="E7" s="422"/>
      <c r="F7" s="422"/>
    </row>
    <row r="8" spans="2:6" ht="15.75" x14ac:dyDescent="0.25">
      <c r="B8" s="423" t="s">
        <v>223</v>
      </c>
      <c r="C8" s="423"/>
      <c r="D8" s="423"/>
      <c r="E8" s="423"/>
      <c r="F8" s="423"/>
    </row>
    <row r="9" spans="2:6" ht="15.75" x14ac:dyDescent="0.25">
      <c r="B9" s="422" t="s">
        <v>182</v>
      </c>
      <c r="C9" s="422"/>
      <c r="D9" s="422"/>
      <c r="E9" s="422"/>
      <c r="F9" s="422"/>
    </row>
    <row r="10" spans="2:6" x14ac:dyDescent="0.25">
      <c r="B10" s="29"/>
      <c r="C10" s="29"/>
      <c r="D10" s="29"/>
      <c r="E10" s="30"/>
      <c r="F10" s="29"/>
    </row>
    <row r="11" spans="2:6" x14ac:dyDescent="0.25">
      <c r="B11" s="421" t="s">
        <v>225</v>
      </c>
      <c r="C11" s="421" t="s">
        <v>226</v>
      </c>
      <c r="D11" s="92" t="s">
        <v>227</v>
      </c>
      <c r="E11" s="92" t="s">
        <v>228</v>
      </c>
      <c r="F11" s="421" t="s">
        <v>0</v>
      </c>
    </row>
    <row r="12" spans="2:6" ht="25.5" x14ac:dyDescent="0.25">
      <c r="B12" s="421"/>
      <c r="C12" s="421"/>
      <c r="D12" s="92" t="s">
        <v>229</v>
      </c>
      <c r="E12" s="323" t="s">
        <v>230</v>
      </c>
      <c r="F12" s="421"/>
    </row>
    <row r="13" spans="2:6" x14ac:dyDescent="0.25">
      <c r="B13" s="71">
        <v>51</v>
      </c>
      <c r="C13" s="72" t="s">
        <v>127</v>
      </c>
      <c r="D13" s="73">
        <f>SUM(D14+D17+D19)</f>
        <v>19383.75</v>
      </c>
      <c r="E13" s="73">
        <f>SUM(E14+E17+E19)</f>
        <v>0</v>
      </c>
      <c r="F13" s="73">
        <f>SUM(F14+F17+F19)</f>
        <v>19383.75</v>
      </c>
    </row>
    <row r="14" spans="2:6" x14ac:dyDescent="0.25">
      <c r="B14" s="76">
        <v>511</v>
      </c>
      <c r="C14" s="77" t="s">
        <v>231</v>
      </c>
      <c r="D14" s="75">
        <f>SUM(D15:D16)</f>
        <v>16800</v>
      </c>
      <c r="E14" s="75">
        <f>SUM(E15:E16)</f>
        <v>0</v>
      </c>
      <c r="F14" s="75">
        <f>SUM(F15:F16)</f>
        <v>16800</v>
      </c>
    </row>
    <row r="15" spans="2:6" x14ac:dyDescent="0.25">
      <c r="B15" s="79">
        <v>51101</v>
      </c>
      <c r="C15" s="80" t="s">
        <v>232</v>
      </c>
      <c r="D15" s="81">
        <v>15900</v>
      </c>
      <c r="E15" s="81"/>
      <c r="F15" s="81">
        <f>SUM(D15:E15)</f>
        <v>15900</v>
      </c>
    </row>
    <row r="16" spans="2:6" x14ac:dyDescent="0.25">
      <c r="B16" s="79">
        <v>51103</v>
      </c>
      <c r="C16" s="82" t="s">
        <v>233</v>
      </c>
      <c r="D16" s="81">
        <v>900</v>
      </c>
      <c r="E16" s="81">
        <v>0</v>
      </c>
      <c r="F16" s="81">
        <f>SUM(D16:E16)</f>
        <v>900</v>
      </c>
    </row>
    <row r="17" spans="2:6" x14ac:dyDescent="0.25">
      <c r="B17" s="76">
        <v>514</v>
      </c>
      <c r="C17" s="72" t="s">
        <v>236</v>
      </c>
      <c r="D17" s="75">
        <f>SUM(D18)</f>
        <v>1351.5</v>
      </c>
      <c r="E17" s="75">
        <f t="shared" ref="E17:F17" si="0">SUM(E18)</f>
        <v>0</v>
      </c>
      <c r="F17" s="75">
        <f t="shared" si="0"/>
        <v>1351.5</v>
      </c>
    </row>
    <row r="18" spans="2:6" x14ac:dyDescent="0.25">
      <c r="B18" s="85">
        <v>51401</v>
      </c>
      <c r="C18" s="82" t="s">
        <v>237</v>
      </c>
      <c r="D18" s="81">
        <f>D15*8.5%</f>
        <v>1351.5</v>
      </c>
      <c r="E18" s="81"/>
      <c r="F18" s="81">
        <f>SUM(D18:E18)</f>
        <v>1351.5</v>
      </c>
    </row>
    <row r="19" spans="2:6" x14ac:dyDescent="0.25">
      <c r="B19" s="76">
        <v>515</v>
      </c>
      <c r="C19" s="86" t="s">
        <v>238</v>
      </c>
      <c r="D19" s="75">
        <f>SUM(D20:D20)</f>
        <v>1232.25</v>
      </c>
      <c r="E19" s="75">
        <f>SUM(E20:E20)</f>
        <v>0</v>
      </c>
      <c r="F19" s="75">
        <f>SUM(F20:F20)</f>
        <v>1232.25</v>
      </c>
    </row>
    <row r="20" spans="2:6" x14ac:dyDescent="0.25">
      <c r="B20" s="85">
        <v>51501</v>
      </c>
      <c r="C20" s="82" t="s">
        <v>237</v>
      </c>
      <c r="D20" s="81">
        <f>D15*7.75%</f>
        <v>1232.25</v>
      </c>
      <c r="E20" s="81"/>
      <c r="F20" s="81">
        <f>SUM(D20:E20)</f>
        <v>1232.25</v>
      </c>
    </row>
    <row r="21" spans="2:6" x14ac:dyDescent="0.25">
      <c r="B21" s="76">
        <v>54</v>
      </c>
      <c r="C21" s="86" t="s">
        <v>282</v>
      </c>
      <c r="D21" s="75">
        <f>SUM(D22)</f>
        <v>875</v>
      </c>
      <c r="E21" s="75">
        <f>SUM(E22)</f>
        <v>0</v>
      </c>
      <c r="F21" s="75">
        <f>SUM(F22)</f>
        <v>875</v>
      </c>
    </row>
    <row r="22" spans="2:6" x14ac:dyDescent="0.25">
      <c r="B22" s="76">
        <v>541</v>
      </c>
      <c r="C22" s="240" t="s">
        <v>283</v>
      </c>
      <c r="D22" s="241">
        <f>SUM(D23:D26)</f>
        <v>875</v>
      </c>
      <c r="E22" s="241">
        <f>SUM(E23:E26)</f>
        <v>0</v>
      </c>
      <c r="F22" s="241">
        <f>SUM(F23:F26)</f>
        <v>875</v>
      </c>
    </row>
    <row r="23" spans="2:6" x14ac:dyDescent="0.25">
      <c r="B23" s="85">
        <v>54101</v>
      </c>
      <c r="C23" s="243" t="s">
        <v>243</v>
      </c>
      <c r="D23" s="244">
        <v>500</v>
      </c>
      <c r="E23" s="244"/>
      <c r="F23" s="244">
        <f>SUM(D23:E23)</f>
        <v>500</v>
      </c>
    </row>
    <row r="24" spans="2:6" x14ac:dyDescent="0.25">
      <c r="B24" s="85">
        <v>54105</v>
      </c>
      <c r="C24" s="243" t="s">
        <v>246</v>
      </c>
      <c r="D24" s="244">
        <v>55</v>
      </c>
      <c r="E24" s="244"/>
      <c r="F24" s="244">
        <f>SUM(D24:E24)</f>
        <v>55</v>
      </c>
    </row>
    <row r="25" spans="2:6" x14ac:dyDescent="0.25">
      <c r="B25" s="85">
        <v>54114</v>
      </c>
      <c r="C25" s="243" t="s">
        <v>250</v>
      </c>
      <c r="D25" s="244">
        <v>300</v>
      </c>
      <c r="E25" s="244"/>
      <c r="F25" s="244">
        <f>SUM(D25:E25)</f>
        <v>300</v>
      </c>
    </row>
    <row r="26" spans="2:6" x14ac:dyDescent="0.25">
      <c r="B26" s="85">
        <v>54115</v>
      </c>
      <c r="C26" s="243" t="s">
        <v>251</v>
      </c>
      <c r="D26" s="244">
        <v>20</v>
      </c>
      <c r="E26" s="244"/>
      <c r="F26" s="244">
        <f>SUM(D26:E26)</f>
        <v>20</v>
      </c>
    </row>
    <row r="27" spans="2:6" x14ac:dyDescent="0.25">
      <c r="B27" s="85"/>
      <c r="C27" s="243"/>
      <c r="D27" s="244"/>
      <c r="E27" s="244"/>
      <c r="F27" s="244"/>
    </row>
    <row r="28" spans="2:6" x14ac:dyDescent="0.25">
      <c r="B28" s="85"/>
      <c r="C28" s="240" t="s">
        <v>69</v>
      </c>
      <c r="D28" s="241">
        <f>SUM(D13+D21)</f>
        <v>20258.75</v>
      </c>
      <c r="E28" s="241">
        <f>SUM(E13+E21)</f>
        <v>0</v>
      </c>
      <c r="F28" s="241">
        <f>SUM(D28:E28)</f>
        <v>20258.75</v>
      </c>
    </row>
    <row r="29" spans="2:6" x14ac:dyDescent="0.25">
      <c r="B29" s="85"/>
      <c r="C29" s="243"/>
      <c r="D29" s="244"/>
      <c r="E29" s="244"/>
      <c r="F29" s="244"/>
    </row>
    <row r="30" spans="2:6" x14ac:dyDescent="0.25">
      <c r="B30" s="76"/>
      <c r="C30" s="240" t="s">
        <v>60</v>
      </c>
      <c r="D30" s="241">
        <f>SUM(D13+D21)</f>
        <v>20258.75</v>
      </c>
      <c r="E30" s="241">
        <f>SUM(E13+E21)</f>
        <v>0</v>
      </c>
      <c r="F30" s="241">
        <f>SUM(F13+F21)</f>
        <v>20258.75</v>
      </c>
    </row>
    <row r="31" spans="2:6" x14ac:dyDescent="0.25">
      <c r="B31" s="76"/>
      <c r="C31" s="240" t="s">
        <v>61</v>
      </c>
      <c r="D31" s="241">
        <f>SUM(D14+D17+D19+D22)</f>
        <v>20258.75</v>
      </c>
      <c r="E31" s="241">
        <f>SUM(E14+E17+E19+E22)</f>
        <v>0</v>
      </c>
      <c r="F31" s="241">
        <f>SUM(F14+F17+F19+F22)</f>
        <v>20258.75</v>
      </c>
    </row>
    <row r="32" spans="2:6" x14ac:dyDescent="0.25">
      <c r="B32" s="76"/>
      <c r="C32" s="240" t="s">
        <v>62</v>
      </c>
      <c r="D32" s="241">
        <f>SUM(D15+D16+D18+D20+D23+D24+D25+D26)</f>
        <v>20258.75</v>
      </c>
      <c r="E32" s="241">
        <f>SUM(E15+E16+E18+E20+E23+E24+E25+E26)</f>
        <v>0</v>
      </c>
      <c r="F32" s="241">
        <f>SUM(F15+F16+F18+F20+F23+F24+F25+F26)</f>
        <v>20258.75</v>
      </c>
    </row>
    <row r="33" spans="3:6" x14ac:dyDescent="0.25">
      <c r="C33" s="242"/>
      <c r="D33" s="242"/>
      <c r="E33" s="242"/>
      <c r="F33" s="242"/>
    </row>
  </sheetData>
  <mergeCells count="10">
    <mergeCell ref="B9:F9"/>
    <mergeCell ref="B11:B12"/>
    <mergeCell ref="C11:C12"/>
    <mergeCell ref="F11:F12"/>
    <mergeCell ref="B3:F3"/>
    <mergeCell ref="B4:F4"/>
    <mergeCell ref="B5:F5"/>
    <mergeCell ref="B6:F6"/>
    <mergeCell ref="B8:F8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R85"/>
  <sheetViews>
    <sheetView topLeftCell="B1" zoomScaleNormal="100" workbookViewId="0">
      <pane ySplit="6" topLeftCell="A61" activePane="bottomLeft" state="frozen"/>
      <selection pane="bottomLeft" activeCell="E85" sqref="E85"/>
    </sheetView>
  </sheetViews>
  <sheetFormatPr baseColWidth="10" defaultRowHeight="15.75" x14ac:dyDescent="0.25"/>
  <cols>
    <col min="1" max="2" width="4.85546875" style="274" customWidth="1"/>
    <col min="3" max="3" width="12.5703125" style="274" customWidth="1"/>
    <col min="4" max="4" width="59.5703125" style="274" customWidth="1"/>
    <col min="5" max="5" width="19.5703125" style="274" customWidth="1"/>
    <col min="6" max="6" width="17" style="274" customWidth="1"/>
    <col min="7" max="7" width="18.42578125" style="274" customWidth="1"/>
    <col min="8" max="8" width="11.42578125" style="274"/>
    <col min="9" max="9" width="15.28515625" style="274" bestFit="1" customWidth="1"/>
    <col min="10" max="10" width="12.85546875" style="274" customWidth="1"/>
    <col min="11" max="11" width="18.42578125" style="274" customWidth="1"/>
    <col min="12" max="16384" width="11.42578125" style="274"/>
  </cols>
  <sheetData>
    <row r="1" spans="3:7" ht="17.25" thickTop="1" thickBot="1" x14ac:dyDescent="0.3">
      <c r="C1" s="390" t="s">
        <v>63</v>
      </c>
      <c r="D1" s="390"/>
      <c r="E1" s="390"/>
      <c r="F1" s="390"/>
      <c r="G1" s="391"/>
    </row>
    <row r="2" spans="3:7" ht="17.25" thickTop="1" thickBot="1" x14ac:dyDescent="0.3">
      <c r="C2" s="392" t="s">
        <v>64</v>
      </c>
      <c r="D2" s="390"/>
      <c r="E2" s="390"/>
      <c r="F2" s="390"/>
      <c r="G2" s="391"/>
    </row>
    <row r="3" spans="3:7" ht="17.25" thickTop="1" thickBot="1" x14ac:dyDescent="0.3">
      <c r="C3" s="392" t="s">
        <v>65</v>
      </c>
      <c r="D3" s="390"/>
      <c r="E3" s="390"/>
      <c r="F3" s="390"/>
      <c r="G3" s="391"/>
    </row>
    <row r="4" spans="3:7" ht="17.25" thickTop="1" thickBot="1" x14ac:dyDescent="0.3">
      <c r="C4" s="392" t="s">
        <v>432</v>
      </c>
      <c r="D4" s="390"/>
      <c r="E4" s="390"/>
      <c r="F4" s="390"/>
      <c r="G4" s="391"/>
    </row>
    <row r="5" spans="3:7" ht="16.5" thickTop="1" x14ac:dyDescent="0.25">
      <c r="C5" s="177"/>
      <c r="D5" s="178"/>
      <c r="E5" s="179"/>
      <c r="F5" s="179"/>
      <c r="G5" s="180"/>
    </row>
    <row r="6" spans="3:7" ht="44.25" customHeight="1" thickTop="1" x14ac:dyDescent="0.25">
      <c r="C6" s="282" t="s">
        <v>66</v>
      </c>
      <c r="D6" s="282" t="s">
        <v>67</v>
      </c>
      <c r="E6" s="282" t="s">
        <v>402</v>
      </c>
      <c r="F6" s="282" t="s">
        <v>68</v>
      </c>
      <c r="G6" s="282" t="s">
        <v>69</v>
      </c>
    </row>
    <row r="7" spans="3:7" x14ac:dyDescent="0.25">
      <c r="C7" s="283">
        <v>11</v>
      </c>
      <c r="D7" s="284" t="s">
        <v>70</v>
      </c>
      <c r="E7" s="285"/>
      <c r="F7" s="286">
        <f>SUM(F8)</f>
        <v>55896.44</v>
      </c>
      <c r="G7" s="285"/>
    </row>
    <row r="8" spans="3:7" x14ac:dyDescent="0.25">
      <c r="C8" s="283">
        <v>118</v>
      </c>
      <c r="D8" s="284" t="s">
        <v>71</v>
      </c>
      <c r="E8" s="285"/>
      <c r="F8" s="286">
        <f>SUM(F9:F12)</f>
        <v>55896.44</v>
      </c>
      <c r="G8" s="285"/>
    </row>
    <row r="9" spans="3:7" x14ac:dyDescent="0.25">
      <c r="C9" s="287">
        <v>11801</v>
      </c>
      <c r="D9" s="288" t="s">
        <v>72</v>
      </c>
      <c r="E9" s="285"/>
      <c r="F9" s="289">
        <f>+'formato de ingresos'!P10</f>
        <v>9775</v>
      </c>
      <c r="G9" s="285"/>
    </row>
    <row r="10" spans="3:7" x14ac:dyDescent="0.25">
      <c r="C10" s="287">
        <v>11802</v>
      </c>
      <c r="D10" s="288" t="s">
        <v>73</v>
      </c>
      <c r="E10" s="285"/>
      <c r="F10" s="285">
        <f>+'formato de ingresos'!P11</f>
        <v>3301.4399999999991</v>
      </c>
      <c r="G10" s="285"/>
    </row>
    <row r="11" spans="3:7" x14ac:dyDescent="0.25">
      <c r="C11" s="287">
        <v>11804</v>
      </c>
      <c r="D11" s="288" t="s">
        <v>74</v>
      </c>
      <c r="E11" s="285"/>
      <c r="F11" s="285">
        <f>+'formato de ingresos'!P12</f>
        <v>39600</v>
      </c>
      <c r="G11" s="285"/>
    </row>
    <row r="12" spans="3:7" x14ac:dyDescent="0.25">
      <c r="C12" s="287">
        <v>11818</v>
      </c>
      <c r="D12" s="288" t="s">
        <v>75</v>
      </c>
      <c r="E12" s="285"/>
      <c r="F12" s="285">
        <f>+'formato de ingresos'!P13</f>
        <v>3220</v>
      </c>
      <c r="G12" s="285"/>
    </row>
    <row r="13" spans="3:7" x14ac:dyDescent="0.25">
      <c r="C13" s="283">
        <v>12</v>
      </c>
      <c r="D13" s="284" t="s">
        <v>76</v>
      </c>
      <c r="E13" s="285"/>
      <c r="F13" s="286">
        <f>SUM(F14+F30)</f>
        <v>1153986.5699999998</v>
      </c>
      <c r="G13" s="285"/>
    </row>
    <row r="14" spans="3:7" x14ac:dyDescent="0.25">
      <c r="C14" s="283">
        <v>121</v>
      </c>
      <c r="D14" s="284" t="s">
        <v>77</v>
      </c>
      <c r="E14" s="285"/>
      <c r="F14" s="286">
        <f>SUM(F15:F29)</f>
        <v>1141986.5699999998</v>
      </c>
      <c r="G14" s="285"/>
    </row>
    <row r="15" spans="3:7" x14ac:dyDescent="0.25">
      <c r="C15" s="287">
        <v>12105</v>
      </c>
      <c r="D15" s="288" t="s">
        <v>78</v>
      </c>
      <c r="E15" s="285"/>
      <c r="F15" s="285">
        <f>+'formato de ingresos'!P16</f>
        <v>15597</v>
      </c>
      <c r="G15" s="285"/>
    </row>
    <row r="16" spans="3:7" ht="15" customHeight="1" x14ac:dyDescent="0.25">
      <c r="C16" s="287">
        <v>12106</v>
      </c>
      <c r="D16" s="288" t="s">
        <v>79</v>
      </c>
      <c r="E16" s="285"/>
      <c r="F16" s="285">
        <f>+'formato de ingresos'!P17</f>
        <v>664.65000000000009</v>
      </c>
      <c r="G16" s="285"/>
    </row>
    <row r="17" spans="3:7" x14ac:dyDescent="0.25">
      <c r="C17" s="287">
        <v>12107</v>
      </c>
      <c r="D17" s="288" t="s">
        <v>80</v>
      </c>
      <c r="E17" s="285"/>
      <c r="F17" s="285">
        <f>+'formato de ingresos'!P18</f>
        <v>8000</v>
      </c>
      <c r="G17" s="285"/>
    </row>
    <row r="18" spans="3:7" x14ac:dyDescent="0.25">
      <c r="C18" s="287">
        <v>12108</v>
      </c>
      <c r="D18" s="288" t="s">
        <v>81</v>
      </c>
      <c r="E18" s="285"/>
      <c r="F18" s="285">
        <f>+'formato de ingresos'!P19</f>
        <v>54800</v>
      </c>
      <c r="G18" s="285"/>
    </row>
    <row r="19" spans="3:7" x14ac:dyDescent="0.25">
      <c r="C19" s="287">
        <v>1210901</v>
      </c>
      <c r="D19" s="288" t="s">
        <v>82</v>
      </c>
      <c r="E19" s="285"/>
      <c r="F19" s="285">
        <f>+'formato de ingresos'!P20</f>
        <v>312000</v>
      </c>
      <c r="G19" s="285"/>
    </row>
    <row r="20" spans="3:7" x14ac:dyDescent="0.25">
      <c r="C20" s="287">
        <v>1210902</v>
      </c>
      <c r="D20" s="288" t="s">
        <v>55</v>
      </c>
      <c r="E20" s="285"/>
      <c r="F20" s="285">
        <f>+'formato de ingresos'!P21</f>
        <v>3300</v>
      </c>
      <c r="G20" s="285"/>
    </row>
    <row r="21" spans="3:7" x14ac:dyDescent="0.25">
      <c r="C21" s="287">
        <v>1210903</v>
      </c>
      <c r="D21" s="288" t="s">
        <v>56</v>
      </c>
      <c r="E21" s="285"/>
      <c r="F21" s="285">
        <f>+'formato de ingresos'!P22</f>
        <v>1470</v>
      </c>
      <c r="G21" s="285"/>
    </row>
    <row r="22" spans="3:7" x14ac:dyDescent="0.25">
      <c r="C22" s="287">
        <v>12110</v>
      </c>
      <c r="D22" s="288" t="s">
        <v>83</v>
      </c>
      <c r="E22" s="285"/>
      <c r="F22" s="285">
        <f>+'formato de ingresos'!P23</f>
        <v>960.12</v>
      </c>
      <c r="G22" s="285"/>
    </row>
    <row r="23" spans="3:7" x14ac:dyDescent="0.25">
      <c r="C23" s="287">
        <v>12111</v>
      </c>
      <c r="D23" s="288" t="s">
        <v>84</v>
      </c>
      <c r="E23" s="285"/>
      <c r="F23" s="285">
        <f>+'formato de ingresos'!P24</f>
        <v>7100</v>
      </c>
      <c r="G23" s="285"/>
    </row>
    <row r="24" spans="3:7" x14ac:dyDescent="0.25">
      <c r="C24" s="287">
        <v>12112</v>
      </c>
      <c r="D24" s="288" t="s">
        <v>85</v>
      </c>
      <c r="E24" s="285"/>
      <c r="F24" s="285">
        <f>+'formato de ingresos'!P25</f>
        <v>112500</v>
      </c>
      <c r="G24" s="285"/>
    </row>
    <row r="25" spans="3:7" x14ac:dyDescent="0.25">
      <c r="C25" s="287">
        <v>12114</v>
      </c>
      <c r="D25" s="288" t="s">
        <v>86</v>
      </c>
      <c r="E25" s="285"/>
      <c r="F25" s="285">
        <f>+'formato de ingresos'!P26</f>
        <v>68837.349999999991</v>
      </c>
      <c r="G25" s="285"/>
    </row>
    <row r="26" spans="3:7" x14ac:dyDescent="0.25">
      <c r="C26" s="287">
        <v>12115</v>
      </c>
      <c r="D26" s="288" t="s">
        <v>174</v>
      </c>
      <c r="E26" s="285"/>
      <c r="F26" s="285">
        <f>+'formato de ingresos'!P27</f>
        <v>2400</v>
      </c>
      <c r="G26" s="285"/>
    </row>
    <row r="27" spans="3:7" x14ac:dyDescent="0.25">
      <c r="C27" s="287">
        <v>12117</v>
      </c>
      <c r="D27" s="288" t="s">
        <v>87</v>
      </c>
      <c r="E27" s="285"/>
      <c r="F27" s="285">
        <f>+'formato de ingresos'!P28</f>
        <v>29600</v>
      </c>
      <c r="G27" s="285"/>
    </row>
    <row r="28" spans="3:7" x14ac:dyDescent="0.25">
      <c r="C28" s="287">
        <v>12118</v>
      </c>
      <c r="D28" s="288" t="s">
        <v>88</v>
      </c>
      <c r="E28" s="285"/>
      <c r="F28" s="285">
        <f>+'formato de ingresos'!P29</f>
        <v>524691.44999999995</v>
      </c>
      <c r="G28" s="285"/>
    </row>
    <row r="29" spans="3:7" x14ac:dyDescent="0.25">
      <c r="C29" s="290">
        <v>12119</v>
      </c>
      <c r="D29" s="291" t="s">
        <v>419</v>
      </c>
      <c r="E29" s="285"/>
      <c r="F29" s="285">
        <f>+'formato de ingresos'!P30</f>
        <v>66</v>
      </c>
      <c r="G29" s="285"/>
    </row>
    <row r="30" spans="3:7" x14ac:dyDescent="0.25">
      <c r="C30" s="283">
        <v>122</v>
      </c>
      <c r="D30" s="284" t="s">
        <v>89</v>
      </c>
      <c r="E30" s="285"/>
      <c r="F30" s="286">
        <f>SUM(F31)</f>
        <v>12000</v>
      </c>
      <c r="G30" s="285"/>
    </row>
    <row r="31" spans="3:7" x14ac:dyDescent="0.25">
      <c r="C31" s="287">
        <v>12210</v>
      </c>
      <c r="D31" s="288" t="s">
        <v>90</v>
      </c>
      <c r="E31" s="285"/>
      <c r="F31" s="285">
        <f>+'formato de ingresos'!P32</f>
        <v>12000</v>
      </c>
      <c r="G31" s="285"/>
    </row>
    <row r="32" spans="3:7" x14ac:dyDescent="0.25">
      <c r="C32" s="283">
        <v>14</v>
      </c>
      <c r="D32" s="284" t="s">
        <v>59</v>
      </c>
      <c r="E32" s="286"/>
      <c r="F32" s="286">
        <f>SUM(F33)</f>
        <v>1800</v>
      </c>
      <c r="G32" s="286"/>
    </row>
    <row r="33" spans="3:7" x14ac:dyDescent="0.25">
      <c r="C33" s="283">
        <v>142</v>
      </c>
      <c r="D33" s="284" t="s">
        <v>57</v>
      </c>
      <c r="E33" s="286"/>
      <c r="F33" s="286">
        <f>SUM(F34)</f>
        <v>1800</v>
      </c>
      <c r="G33" s="286"/>
    </row>
    <row r="34" spans="3:7" x14ac:dyDescent="0.25">
      <c r="C34" s="287">
        <v>14201</v>
      </c>
      <c r="D34" s="288" t="s">
        <v>331</v>
      </c>
      <c r="E34" s="285"/>
      <c r="F34" s="285">
        <f>+'formato de ingresos'!P35</f>
        <v>1800</v>
      </c>
      <c r="G34" s="285"/>
    </row>
    <row r="35" spans="3:7" x14ac:dyDescent="0.25">
      <c r="C35" s="283">
        <v>15</v>
      </c>
      <c r="D35" s="284" t="s">
        <v>91</v>
      </c>
      <c r="E35" s="285"/>
      <c r="F35" s="286">
        <f>SUM(F36+F43+F45)</f>
        <v>25820.809999999998</v>
      </c>
      <c r="G35" s="285"/>
    </row>
    <row r="36" spans="3:7" x14ac:dyDescent="0.25">
      <c r="C36" s="283">
        <v>153</v>
      </c>
      <c r="D36" s="284" t="s">
        <v>92</v>
      </c>
      <c r="E36" s="285"/>
      <c r="F36" s="286">
        <f>SUM(F37:F42)</f>
        <v>4795.8099999999995</v>
      </c>
      <c r="G36" s="285"/>
    </row>
    <row r="37" spans="3:7" x14ac:dyDescent="0.25">
      <c r="C37" s="287">
        <v>15301</v>
      </c>
      <c r="D37" s="288" t="s">
        <v>93</v>
      </c>
      <c r="E37" s="285"/>
      <c r="F37" s="285">
        <f>+'formato de ingresos'!P38</f>
        <v>1650</v>
      </c>
      <c r="G37" s="285"/>
    </row>
    <row r="38" spans="3:7" x14ac:dyDescent="0.25">
      <c r="C38" s="287">
        <v>15302</v>
      </c>
      <c r="D38" s="288" t="s">
        <v>94</v>
      </c>
      <c r="E38" s="285"/>
      <c r="F38" s="285">
        <f>+'formato de ingresos'!P39</f>
        <v>1875</v>
      </c>
      <c r="G38" s="285"/>
    </row>
    <row r="39" spans="3:7" x14ac:dyDescent="0.25">
      <c r="C39" s="287">
        <v>15310</v>
      </c>
      <c r="D39" s="288" t="s">
        <v>95</v>
      </c>
      <c r="E39" s="285"/>
      <c r="F39" s="285">
        <f>+'formato de ingresos'!P40</f>
        <v>200</v>
      </c>
      <c r="G39" s="285"/>
    </row>
    <row r="40" spans="3:7" x14ac:dyDescent="0.25">
      <c r="C40" s="287">
        <v>15312</v>
      </c>
      <c r="D40" s="288" t="s">
        <v>96</v>
      </c>
      <c r="E40" s="285"/>
      <c r="F40" s="285">
        <f>+'formato de ingresos'!P41</f>
        <v>468.62</v>
      </c>
      <c r="G40" s="285"/>
    </row>
    <row r="41" spans="3:7" x14ac:dyDescent="0.25">
      <c r="C41" s="287">
        <v>15313</v>
      </c>
      <c r="D41" s="288" t="s">
        <v>97</v>
      </c>
      <c r="E41" s="285"/>
      <c r="F41" s="285">
        <f>+'formato de ingresos'!P42</f>
        <v>225</v>
      </c>
      <c r="G41" s="285"/>
    </row>
    <row r="42" spans="3:7" x14ac:dyDescent="0.25">
      <c r="C42" s="287">
        <v>15314</v>
      </c>
      <c r="D42" s="288" t="s">
        <v>98</v>
      </c>
      <c r="E42" s="285"/>
      <c r="F42" s="285">
        <f>+'formato de ingresos'!P43</f>
        <v>377.19000000000005</v>
      </c>
      <c r="G42" s="285"/>
    </row>
    <row r="43" spans="3:7" x14ac:dyDescent="0.25">
      <c r="C43" s="283">
        <v>154</v>
      </c>
      <c r="D43" s="284" t="s">
        <v>99</v>
      </c>
      <c r="E43" s="285"/>
      <c r="F43" s="286">
        <f>SUM(F44)</f>
        <v>16400</v>
      </c>
      <c r="G43" s="285"/>
    </row>
    <row r="44" spans="3:7" x14ac:dyDescent="0.25">
      <c r="C44" s="287">
        <v>15402</v>
      </c>
      <c r="D44" s="288" t="s">
        <v>100</v>
      </c>
      <c r="E44" s="285"/>
      <c r="F44" s="285">
        <f>+'formato de ingresos'!P45</f>
        <v>16400</v>
      </c>
      <c r="G44" s="285"/>
    </row>
    <row r="45" spans="3:7" x14ac:dyDescent="0.25">
      <c r="C45" s="283">
        <v>157</v>
      </c>
      <c r="D45" s="284" t="s">
        <v>101</v>
      </c>
      <c r="E45" s="285"/>
      <c r="F45" s="286">
        <f>SUM(F46)</f>
        <v>4625</v>
      </c>
      <c r="G45" s="285"/>
    </row>
    <row r="46" spans="3:7" ht="16.5" thickBot="1" x14ac:dyDescent="0.3">
      <c r="C46" s="292">
        <v>15799</v>
      </c>
      <c r="D46" s="293" t="s">
        <v>102</v>
      </c>
      <c r="E46" s="294"/>
      <c r="F46" s="294">
        <f>+'formato de ingresos'!P47</f>
        <v>4625</v>
      </c>
      <c r="G46" s="294"/>
    </row>
    <row r="47" spans="3:7" ht="17.25" thickTop="1" thickBot="1" x14ac:dyDescent="0.3">
      <c r="C47" s="295"/>
      <c r="D47" s="296" t="s">
        <v>103</v>
      </c>
      <c r="E47" s="297"/>
      <c r="F47" s="298">
        <f>+F7+F13+F32+F35</f>
        <v>1237503.8199999998</v>
      </c>
      <c r="G47" s="299">
        <f>SUM(E47:F47)</f>
        <v>1237503.8199999998</v>
      </c>
    </row>
    <row r="48" spans="3:7" ht="16.5" thickTop="1" x14ac:dyDescent="0.25">
      <c r="C48" s="300">
        <v>16</v>
      </c>
      <c r="D48" s="301" t="s">
        <v>104</v>
      </c>
      <c r="E48" s="302">
        <f>SUM(E50)</f>
        <v>790104.16999999993</v>
      </c>
      <c r="F48" s="302">
        <f>F49</f>
        <v>0</v>
      </c>
      <c r="G48" s="302">
        <f>SUM(E48:F48)</f>
        <v>790104.16999999993</v>
      </c>
    </row>
    <row r="49" spans="3:18" ht="31.5" x14ac:dyDescent="0.25">
      <c r="C49" s="300">
        <v>162</v>
      </c>
      <c r="D49" s="301" t="s">
        <v>105</v>
      </c>
      <c r="E49" s="302">
        <f>SUM(E50)</f>
        <v>790104.16999999993</v>
      </c>
      <c r="F49" s="302"/>
      <c r="G49" s="302"/>
    </row>
    <row r="50" spans="3:18" ht="30.75" x14ac:dyDescent="0.25">
      <c r="C50" s="287">
        <v>16201</v>
      </c>
      <c r="D50" s="288" t="s">
        <v>106</v>
      </c>
      <c r="E50" s="342">
        <f>65842.01*11+65842.06</f>
        <v>790104.16999999993</v>
      </c>
      <c r="F50" s="285"/>
      <c r="G50" s="285"/>
    </row>
    <row r="51" spans="3:18" x14ac:dyDescent="0.25">
      <c r="C51" s="283">
        <v>22</v>
      </c>
      <c r="D51" s="284" t="s">
        <v>107</v>
      </c>
      <c r="E51" s="286">
        <f>SUM(E52)</f>
        <v>3160416.68</v>
      </c>
      <c r="F51" s="286">
        <f>SUM(F52)</f>
        <v>0</v>
      </c>
      <c r="G51" s="302">
        <f>SUM(E51:F51)</f>
        <v>3160416.68</v>
      </c>
    </row>
    <row r="52" spans="3:18" ht="31.5" x14ac:dyDescent="0.25">
      <c r="C52" s="283">
        <v>222</v>
      </c>
      <c r="D52" s="284" t="s">
        <v>108</v>
      </c>
      <c r="E52" s="286">
        <f>SUM(E53:E54)</f>
        <v>3160416.68</v>
      </c>
      <c r="F52" s="286">
        <f>SUM(F53)</f>
        <v>0</v>
      </c>
      <c r="G52" s="286"/>
    </row>
    <row r="53" spans="3:18" ht="30.75" x14ac:dyDescent="0.25">
      <c r="C53" s="287">
        <v>22201</v>
      </c>
      <c r="D53" s="288" t="s">
        <v>403</v>
      </c>
      <c r="E53" s="285">
        <f>197526.04*11+197526.01</f>
        <v>2370312.4500000002</v>
      </c>
      <c r="F53" s="285"/>
      <c r="G53" s="285"/>
    </row>
    <row r="54" spans="3:18" ht="33" customHeight="1" x14ac:dyDescent="0.25">
      <c r="C54" s="287">
        <v>22202</v>
      </c>
      <c r="D54" s="288" t="s">
        <v>404</v>
      </c>
      <c r="E54" s="285">
        <f>65842.02*11+65842.01</f>
        <v>790104.2300000001</v>
      </c>
      <c r="F54" s="285"/>
      <c r="G54" s="285"/>
    </row>
    <row r="55" spans="3:18" x14ac:dyDescent="0.25">
      <c r="C55" s="283">
        <v>32</v>
      </c>
      <c r="D55" s="284" t="s">
        <v>3</v>
      </c>
      <c r="E55" s="286">
        <f>SUM(E56+E68)</f>
        <v>2998117.8099999996</v>
      </c>
      <c r="F55" s="286">
        <f>SUM(F56+F68)</f>
        <v>318204.63</v>
      </c>
      <c r="G55" s="286">
        <f>SUM(E55:F55)</f>
        <v>3316322.4399999995</v>
      </c>
    </row>
    <row r="56" spans="3:18" x14ac:dyDescent="0.25">
      <c r="C56" s="283">
        <v>321</v>
      </c>
      <c r="D56" s="284" t="s">
        <v>109</v>
      </c>
      <c r="E56" s="286">
        <f>SUM(E57:E67)</f>
        <v>1021865.6699999999</v>
      </c>
      <c r="F56" s="286">
        <f>SUM(F57:F67)</f>
        <v>46204.630000000005</v>
      </c>
      <c r="G56" s="286"/>
      <c r="K56" s="371">
        <f>F47+F55</f>
        <v>1555708.4499999997</v>
      </c>
    </row>
    <row r="57" spans="3:18" x14ac:dyDescent="0.25">
      <c r="C57" s="287">
        <v>32101</v>
      </c>
      <c r="D57" s="288" t="s">
        <v>110</v>
      </c>
      <c r="E57" s="285">
        <v>0</v>
      </c>
      <c r="F57" s="342">
        <v>200</v>
      </c>
      <c r="G57" s="285"/>
    </row>
    <row r="58" spans="3:18" ht="30.75" customHeight="1" x14ac:dyDescent="0.25">
      <c r="C58" s="287">
        <v>32102</v>
      </c>
      <c r="D58" s="288" t="s">
        <v>111</v>
      </c>
      <c r="E58" s="285">
        <v>0</v>
      </c>
      <c r="F58" s="343">
        <v>98.66</v>
      </c>
      <c r="G58" s="285"/>
    </row>
    <row r="59" spans="3:18" ht="18.75" customHeight="1" x14ac:dyDescent="0.25">
      <c r="C59" s="287">
        <v>32102</v>
      </c>
      <c r="D59" s="288" t="s">
        <v>380</v>
      </c>
      <c r="E59" s="285">
        <v>0</v>
      </c>
      <c r="F59" s="343">
        <v>45905.97</v>
      </c>
      <c r="G59" s="285"/>
    </row>
    <row r="60" spans="3:18" x14ac:dyDescent="0.25">
      <c r="C60" s="287">
        <v>32102</v>
      </c>
      <c r="D60" s="288" t="s">
        <v>112</v>
      </c>
      <c r="E60" s="343">
        <v>510.72</v>
      </c>
      <c r="F60" s="285">
        <v>0</v>
      </c>
      <c r="G60" s="286"/>
    </row>
    <row r="61" spans="3:18" x14ac:dyDescent="0.25">
      <c r="C61" s="287">
        <v>32102</v>
      </c>
      <c r="D61" s="288" t="s">
        <v>113</v>
      </c>
      <c r="E61" s="343">
        <v>35.340000000000003</v>
      </c>
      <c r="F61" s="285">
        <v>0</v>
      </c>
      <c r="G61" s="286"/>
    </row>
    <row r="62" spans="3:18" x14ac:dyDescent="0.25">
      <c r="C62" s="287">
        <v>32102</v>
      </c>
      <c r="D62" s="288" t="s">
        <v>114</v>
      </c>
      <c r="E62" s="343">
        <v>297211.11</v>
      </c>
      <c r="F62" s="285">
        <v>0</v>
      </c>
      <c r="G62" s="285"/>
      <c r="R62"/>
    </row>
    <row r="63" spans="3:18" x14ac:dyDescent="0.25">
      <c r="C63" s="287">
        <v>32102</v>
      </c>
      <c r="D63" s="288" t="s">
        <v>420</v>
      </c>
      <c r="E63" s="343">
        <v>251246.31</v>
      </c>
      <c r="F63" s="285">
        <v>0</v>
      </c>
      <c r="G63" s="285"/>
      <c r="R63"/>
    </row>
    <row r="64" spans="3:18" ht="18" customHeight="1" x14ac:dyDescent="0.25">
      <c r="C64" s="287">
        <v>32102</v>
      </c>
      <c r="D64" s="288" t="s">
        <v>115</v>
      </c>
      <c r="E64" s="343">
        <v>50008.14</v>
      </c>
      <c r="F64" s="285">
        <v>0</v>
      </c>
      <c r="G64" s="285"/>
    </row>
    <row r="65" spans="3:18" ht="20.25" customHeight="1" x14ac:dyDescent="0.25">
      <c r="C65" s="287">
        <v>32102</v>
      </c>
      <c r="D65" s="288" t="s">
        <v>441</v>
      </c>
      <c r="E65" s="343">
        <f>92473.92+191484.15</f>
        <v>283958.07</v>
      </c>
      <c r="F65" s="285">
        <v>0</v>
      </c>
      <c r="G65" s="285"/>
      <c r="I65" s="274" t="s">
        <v>383</v>
      </c>
      <c r="R65"/>
    </row>
    <row r="66" spans="3:18" ht="20.25" customHeight="1" x14ac:dyDescent="0.25">
      <c r="C66" s="287">
        <v>32102</v>
      </c>
      <c r="D66" s="288" t="s">
        <v>452</v>
      </c>
      <c r="E66" s="343">
        <v>2195.98</v>
      </c>
      <c r="F66" s="285"/>
      <c r="G66" s="285"/>
      <c r="R66"/>
    </row>
    <row r="67" spans="3:18" ht="20.25" customHeight="1" x14ac:dyDescent="0.25">
      <c r="C67" s="287">
        <v>32102</v>
      </c>
      <c r="D67" s="288" t="s">
        <v>453</v>
      </c>
      <c r="E67" s="343">
        <v>136700</v>
      </c>
      <c r="F67" s="285"/>
      <c r="G67" s="285"/>
      <c r="R67"/>
    </row>
    <row r="68" spans="3:18" ht="17.25" customHeight="1" x14ac:dyDescent="0.25">
      <c r="C68" s="283">
        <v>322</v>
      </c>
      <c r="D68" s="284" t="s">
        <v>2</v>
      </c>
      <c r="E68" s="286">
        <f>+E69</f>
        <v>1976252.14</v>
      </c>
      <c r="F68" s="286">
        <f>SUM(F69)</f>
        <v>272000</v>
      </c>
      <c r="G68" s="286"/>
    </row>
    <row r="69" spans="3:18" ht="20.25" customHeight="1" x14ac:dyDescent="0.25">
      <c r="C69" s="287">
        <v>32201</v>
      </c>
      <c r="D69" s="288" t="s">
        <v>2</v>
      </c>
      <c r="E69" s="289">
        <f>412663.21+1149139.51+414449.42</f>
        <v>1976252.14</v>
      </c>
      <c r="F69" s="285">
        <f>+'formato de ingresos'!P50</f>
        <v>272000</v>
      </c>
      <c r="G69" s="285"/>
    </row>
    <row r="70" spans="3:18" ht="16.5" customHeight="1" x14ac:dyDescent="0.25">
      <c r="C70" s="306"/>
      <c r="D70" s="307"/>
      <c r="E70" s="289"/>
      <c r="F70" s="285"/>
      <c r="G70" s="285"/>
    </row>
    <row r="71" spans="3:18" ht="15.75" customHeight="1" x14ac:dyDescent="0.25">
      <c r="C71" s="393" t="s">
        <v>116</v>
      </c>
      <c r="D71" s="394"/>
      <c r="E71" s="286">
        <f>E48+E51+E55</f>
        <v>6948638.6600000001</v>
      </c>
      <c r="F71" s="286">
        <f>SUM(F7+F13+F35+F32+F48+F51+F55)</f>
        <v>1555708.4499999997</v>
      </c>
      <c r="G71" s="286">
        <f>G47+G48+G51+G55</f>
        <v>8504347.1099999994</v>
      </c>
    </row>
    <row r="72" spans="3:18" x14ac:dyDescent="0.25">
      <c r="C72" s="303"/>
      <c r="D72" s="304" t="s">
        <v>117</v>
      </c>
      <c r="E72" s="286">
        <f>E48+E51+E55</f>
        <v>6948638.6600000001</v>
      </c>
      <c r="F72" s="286">
        <f>+F8+F14+F33+F30+F36+F43+F45+F49+F52+F56+F68</f>
        <v>1555708.4499999997</v>
      </c>
      <c r="G72" s="286">
        <f>G47+G48+G51+G55+G68</f>
        <v>8504347.1099999994</v>
      </c>
    </row>
    <row r="73" spans="3:18" x14ac:dyDescent="0.25">
      <c r="C73" s="387"/>
      <c r="D73" s="388"/>
      <c r="E73" s="389"/>
      <c r="F73" s="305">
        <f>+F9+F10+F11+F12+F15+F16+F17+F18+F19+F20+F21+F22+F23+F24+F25+F26+F27+F28+F29+F31+F34+F37+F38+F39+F40+F41+F42+F44+F50+F46+F53+F57+F58+F59+F60+F61+F62+F64+F69</f>
        <v>1555708.4499999997</v>
      </c>
      <c r="G73" s="286">
        <f>G72</f>
        <v>8504347.1099999994</v>
      </c>
    </row>
    <row r="85" spans="5:5" x14ac:dyDescent="0.25">
      <c r="E85" s="371">
        <f>E60+E62+E63</f>
        <v>548968.1399999999</v>
      </c>
    </row>
  </sheetData>
  <mergeCells count="6">
    <mergeCell ref="C73:E73"/>
    <mergeCell ref="C1:G1"/>
    <mergeCell ref="C2:G2"/>
    <mergeCell ref="C3:G3"/>
    <mergeCell ref="C4:G4"/>
    <mergeCell ref="C71:D71"/>
  </mergeCells>
  <pageMargins left="0.70866141732283472" right="0.70866141732283472" top="0.74803149606299213" bottom="0.74803149606299213" header="0.31496062992125984" footer="0.31496062992125984"/>
  <pageSetup scale="53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workbookViewId="0">
      <pane ySplit="10" topLeftCell="A29" activePane="bottomLeft" state="frozen"/>
      <selection pane="bottomLeft" activeCell="H29" sqref="H29"/>
    </sheetView>
  </sheetViews>
  <sheetFormatPr baseColWidth="10" defaultRowHeight="15" x14ac:dyDescent="0.25"/>
  <cols>
    <col min="1" max="1" width="11.42578125" style="67"/>
    <col min="2" max="2" width="9.5703125" style="67" customWidth="1"/>
    <col min="3" max="3" width="44.42578125" style="67" customWidth="1"/>
    <col min="4" max="4" width="15.42578125" style="67" customWidth="1"/>
    <col min="5" max="5" width="16.5703125" style="67" customWidth="1"/>
    <col min="6" max="6" width="14" style="67" customWidth="1"/>
    <col min="7" max="16384" width="11.42578125" style="67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222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5.75" x14ac:dyDescent="0.25">
      <c r="B7" s="424" t="s">
        <v>284</v>
      </c>
      <c r="C7" s="424"/>
      <c r="D7" s="424"/>
      <c r="E7" s="424"/>
      <c r="F7" s="424"/>
    </row>
    <row r="8" spans="2:6" ht="15.75" thickBot="1" x14ac:dyDescent="0.3">
      <c r="B8" s="29"/>
      <c r="C8" s="29"/>
      <c r="D8" s="29"/>
      <c r="E8" s="30" t="s">
        <v>285</v>
      </c>
      <c r="F8" s="29"/>
    </row>
    <row r="9" spans="2:6" x14ac:dyDescent="0.25">
      <c r="B9" s="417" t="s">
        <v>225</v>
      </c>
      <c r="C9" s="426" t="s">
        <v>226</v>
      </c>
      <c r="D9" s="234" t="s">
        <v>227</v>
      </c>
      <c r="E9" s="236" t="s">
        <v>228</v>
      </c>
      <c r="F9" s="462" t="s">
        <v>0</v>
      </c>
    </row>
    <row r="10" spans="2:6" ht="26.25" thickBot="1" x14ac:dyDescent="0.3">
      <c r="B10" s="418"/>
      <c r="C10" s="427"/>
      <c r="D10" s="235" t="s">
        <v>229</v>
      </c>
      <c r="E10" s="329" t="s">
        <v>230</v>
      </c>
      <c r="F10" s="463"/>
    </row>
    <row r="11" spans="2:6" x14ac:dyDescent="0.25">
      <c r="B11" s="71">
        <v>51</v>
      </c>
      <c r="C11" s="245" t="s">
        <v>127</v>
      </c>
      <c r="D11" s="246">
        <f>SUM(D12+D15+D17+D19)</f>
        <v>60906.5</v>
      </c>
      <c r="E11" s="246">
        <f>SUM(E12+E15+E17+E19)</f>
        <v>20925</v>
      </c>
      <c r="F11" s="246">
        <f>SUM(F12+F15+F17+F19)</f>
        <v>81831.5</v>
      </c>
    </row>
    <row r="12" spans="2:6" x14ac:dyDescent="0.25">
      <c r="B12" s="76">
        <v>511</v>
      </c>
      <c r="C12" s="247" t="s">
        <v>231</v>
      </c>
      <c r="D12" s="241">
        <f>SUM(D13:D14)</f>
        <v>37310</v>
      </c>
      <c r="E12" s="241">
        <f>SUM(E13:E14)</f>
        <v>18000</v>
      </c>
      <c r="F12" s="241">
        <f>SUM(F13:F14)</f>
        <v>55310</v>
      </c>
    </row>
    <row r="13" spans="2:6" x14ac:dyDescent="0.25">
      <c r="B13" s="79">
        <v>51101</v>
      </c>
      <c r="C13" s="248" t="s">
        <v>232</v>
      </c>
      <c r="D13" s="244">
        <v>34440</v>
      </c>
      <c r="E13" s="244">
        <v>18000</v>
      </c>
      <c r="F13" s="244">
        <f>SUM(D13:E13)</f>
        <v>52440</v>
      </c>
    </row>
    <row r="14" spans="2:6" x14ac:dyDescent="0.25">
      <c r="B14" s="79">
        <v>51103</v>
      </c>
      <c r="C14" s="243" t="s">
        <v>233</v>
      </c>
      <c r="D14" s="244">
        <v>2870</v>
      </c>
      <c r="E14" s="244">
        <v>0</v>
      </c>
      <c r="F14" s="244">
        <f>SUM(D14:E14)</f>
        <v>2870</v>
      </c>
    </row>
    <row r="15" spans="2:6" x14ac:dyDescent="0.25">
      <c r="B15" s="76">
        <v>514</v>
      </c>
      <c r="C15" s="245" t="s">
        <v>236</v>
      </c>
      <c r="D15" s="241">
        <f>SUM(D16:D16)</f>
        <v>2927.4</v>
      </c>
      <c r="E15" s="241">
        <f>SUM(E16:E16)</f>
        <v>1530</v>
      </c>
      <c r="F15" s="241">
        <f>SUM(F16:F16)</f>
        <v>4457.3999999999996</v>
      </c>
    </row>
    <row r="16" spans="2:6" x14ac:dyDescent="0.25">
      <c r="B16" s="85">
        <v>51401</v>
      </c>
      <c r="C16" s="243" t="s">
        <v>237</v>
      </c>
      <c r="D16" s="244">
        <f>D13*8.5%</f>
        <v>2927.4</v>
      </c>
      <c r="E16" s="244">
        <f>E13*8.5%</f>
        <v>1530</v>
      </c>
      <c r="F16" s="244">
        <f>SUM(D16:E16)</f>
        <v>4457.3999999999996</v>
      </c>
    </row>
    <row r="17" spans="2:10" x14ac:dyDescent="0.25">
      <c r="B17" s="76">
        <v>515</v>
      </c>
      <c r="C17" s="240" t="s">
        <v>238</v>
      </c>
      <c r="D17" s="241">
        <f>SUM(D18:D18)</f>
        <v>2669.1</v>
      </c>
      <c r="E17" s="241">
        <f>SUM(E18:E18)</f>
        <v>1395</v>
      </c>
      <c r="F17" s="241">
        <f>SUM(F18:F18)</f>
        <v>4064.1</v>
      </c>
    </row>
    <row r="18" spans="2:10" x14ac:dyDescent="0.25">
      <c r="B18" s="85">
        <v>51501</v>
      </c>
      <c r="C18" s="243" t="s">
        <v>237</v>
      </c>
      <c r="D18" s="244">
        <f>D13*7.75%</f>
        <v>2669.1</v>
      </c>
      <c r="E18" s="244">
        <f>E13*7.75%</f>
        <v>1395</v>
      </c>
      <c r="F18" s="244">
        <f>SUM(D18:E18)</f>
        <v>4064.1</v>
      </c>
    </row>
    <row r="19" spans="2:10" x14ac:dyDescent="0.25">
      <c r="B19" s="76">
        <v>516</v>
      </c>
      <c r="C19" s="240" t="s">
        <v>286</v>
      </c>
      <c r="D19" s="241">
        <f>SUM(D20)</f>
        <v>18000</v>
      </c>
      <c r="E19" s="241">
        <f>SUM(E20)</f>
        <v>0</v>
      </c>
      <c r="F19" s="241">
        <f>SUM(F20)</f>
        <v>18000</v>
      </c>
    </row>
    <row r="20" spans="2:10" x14ac:dyDescent="0.25">
      <c r="B20" s="85">
        <v>51601</v>
      </c>
      <c r="C20" s="243" t="s">
        <v>287</v>
      </c>
      <c r="D20" s="244">
        <v>18000</v>
      </c>
      <c r="E20" s="244">
        <v>0</v>
      </c>
      <c r="F20" s="244">
        <f>SUM(D20:E20)</f>
        <v>18000</v>
      </c>
    </row>
    <row r="21" spans="2:10" x14ac:dyDescent="0.25">
      <c r="B21" s="76">
        <v>54</v>
      </c>
      <c r="C21" s="240" t="s">
        <v>282</v>
      </c>
      <c r="D21" s="241">
        <f>SUM(D22+D34+D43+D46)</f>
        <v>54605</v>
      </c>
      <c r="E21" s="241">
        <f>SUM(E22+E34+E43+E46)</f>
        <v>63449.520000000004</v>
      </c>
      <c r="F21" s="241">
        <f>SUM(F22+F34+F43+F46)</f>
        <v>118054.52</v>
      </c>
    </row>
    <row r="22" spans="2:10" x14ac:dyDescent="0.25">
      <c r="B22" s="76">
        <v>541</v>
      </c>
      <c r="C22" s="240" t="s">
        <v>242</v>
      </c>
      <c r="D22" s="241">
        <f>SUM(D23:D33)</f>
        <v>29105</v>
      </c>
      <c r="E22" s="241">
        <f>SUM(E23:E33)</f>
        <v>37333.910000000003</v>
      </c>
      <c r="F22" s="241">
        <f>SUM(F23:F33)</f>
        <v>66438.91</v>
      </c>
    </row>
    <row r="23" spans="2:10" x14ac:dyDescent="0.25">
      <c r="B23" s="85">
        <v>54101</v>
      </c>
      <c r="C23" s="243" t="s">
        <v>288</v>
      </c>
      <c r="D23" s="244">
        <v>5000</v>
      </c>
      <c r="E23" s="244">
        <v>3000</v>
      </c>
      <c r="F23" s="244">
        <f>SUM(D23:E23)</f>
        <v>8000</v>
      </c>
    </row>
    <row r="24" spans="2:10" x14ac:dyDescent="0.25">
      <c r="B24" s="85">
        <v>54104</v>
      </c>
      <c r="C24" s="243" t="s">
        <v>245</v>
      </c>
      <c r="D24" s="244">
        <v>3000</v>
      </c>
      <c r="E24" s="244">
        <v>4136.8100000000004</v>
      </c>
      <c r="F24" s="244">
        <f>SUM(D24:E24)</f>
        <v>7136.81</v>
      </c>
    </row>
    <row r="25" spans="2:10" x14ac:dyDescent="0.25">
      <c r="B25" s="85">
        <v>54105</v>
      </c>
      <c r="C25" s="243" t="s">
        <v>246</v>
      </c>
      <c r="D25" s="244">
        <v>250</v>
      </c>
      <c r="E25" s="244">
        <v>0</v>
      </c>
      <c r="F25" s="244">
        <f>SUM(D25:E25)</f>
        <v>250</v>
      </c>
    </row>
    <row r="26" spans="2:10" x14ac:dyDescent="0.25">
      <c r="B26" s="85">
        <v>54107</v>
      </c>
      <c r="C26" s="243" t="s">
        <v>289</v>
      </c>
      <c r="D26" s="244">
        <v>2000</v>
      </c>
      <c r="E26" s="244">
        <v>0</v>
      </c>
      <c r="F26" s="244">
        <f>+D26</f>
        <v>2000</v>
      </c>
    </row>
    <row r="27" spans="2:10" x14ac:dyDescent="0.25">
      <c r="B27" s="85">
        <v>54109</v>
      </c>
      <c r="C27" s="243" t="s">
        <v>290</v>
      </c>
      <c r="D27" s="244">
        <v>0</v>
      </c>
      <c r="E27" s="244">
        <v>2500</v>
      </c>
      <c r="F27" s="244">
        <f t="shared" ref="F27:F33" si="0">SUM(D27:E27)</f>
        <v>2500</v>
      </c>
      <c r="J27" s="67">
        <v>2000</v>
      </c>
    </row>
    <row r="28" spans="2:10" x14ac:dyDescent="0.25">
      <c r="B28" s="85">
        <v>54111</v>
      </c>
      <c r="C28" s="243" t="s">
        <v>248</v>
      </c>
      <c r="D28" s="244">
        <v>6000</v>
      </c>
      <c r="E28" s="244">
        <v>8243.1</v>
      </c>
      <c r="F28" s="244">
        <f t="shared" si="0"/>
        <v>14243.1</v>
      </c>
    </row>
    <row r="29" spans="2:10" x14ac:dyDescent="0.25">
      <c r="B29" s="85">
        <v>54112</v>
      </c>
      <c r="C29" s="243" t="s">
        <v>249</v>
      </c>
      <c r="D29" s="244">
        <v>7105</v>
      </c>
      <c r="E29" s="244">
        <v>9000</v>
      </c>
      <c r="F29" s="244">
        <f t="shared" si="0"/>
        <v>16105</v>
      </c>
    </row>
    <row r="30" spans="2:10" x14ac:dyDescent="0.25">
      <c r="B30" s="85">
        <v>54114</v>
      </c>
      <c r="C30" s="243" t="s">
        <v>250</v>
      </c>
      <c r="D30" s="244">
        <v>250</v>
      </c>
      <c r="E30" s="244">
        <v>0</v>
      </c>
      <c r="F30" s="244">
        <f t="shared" si="0"/>
        <v>250</v>
      </c>
    </row>
    <row r="31" spans="2:10" x14ac:dyDescent="0.25">
      <c r="B31" s="85">
        <v>54118</v>
      </c>
      <c r="C31" s="243" t="s">
        <v>291</v>
      </c>
      <c r="D31" s="244">
        <v>3000</v>
      </c>
      <c r="E31" s="244">
        <v>2354</v>
      </c>
      <c r="F31" s="244">
        <f t="shared" si="0"/>
        <v>5354</v>
      </c>
    </row>
    <row r="32" spans="2:10" x14ac:dyDescent="0.25">
      <c r="B32" s="85">
        <v>54119</v>
      </c>
      <c r="C32" s="243" t="s">
        <v>252</v>
      </c>
      <c r="D32" s="244">
        <v>500</v>
      </c>
      <c r="E32" s="244">
        <v>4100</v>
      </c>
      <c r="F32" s="244">
        <f t="shared" si="0"/>
        <v>4600</v>
      </c>
    </row>
    <row r="33" spans="2:6" x14ac:dyDescent="0.25">
      <c r="B33" s="85">
        <v>54199</v>
      </c>
      <c r="C33" s="243" t="s">
        <v>253</v>
      </c>
      <c r="D33" s="244">
        <v>2000</v>
      </c>
      <c r="E33" s="244">
        <v>4000</v>
      </c>
      <c r="F33" s="244">
        <f t="shared" si="0"/>
        <v>6000</v>
      </c>
    </row>
    <row r="34" spans="2:6" x14ac:dyDescent="0.25">
      <c r="B34" s="76">
        <v>543</v>
      </c>
      <c r="C34" s="240" t="s">
        <v>254</v>
      </c>
      <c r="D34" s="241">
        <f>SUM(D35:D42)</f>
        <v>20500</v>
      </c>
      <c r="E34" s="241">
        <f>SUM(E35:E42)</f>
        <v>22615.61</v>
      </c>
      <c r="F34" s="241">
        <f>SUM(F35:F42)</f>
        <v>43115.61</v>
      </c>
    </row>
    <row r="35" spans="2:6" x14ac:dyDescent="0.25">
      <c r="B35" s="85">
        <v>54302</v>
      </c>
      <c r="C35" s="243" t="s">
        <v>451</v>
      </c>
      <c r="D35" s="244">
        <v>2000</v>
      </c>
      <c r="E35" s="244">
        <v>4000</v>
      </c>
      <c r="F35" s="244">
        <f t="shared" ref="F35:F42" si="1">SUM(D35:E35)</f>
        <v>6000</v>
      </c>
    </row>
    <row r="36" spans="2:6" x14ac:dyDescent="0.25">
      <c r="B36" s="85">
        <v>54303</v>
      </c>
      <c r="C36" s="243" t="s">
        <v>256</v>
      </c>
      <c r="D36" s="244">
        <v>500</v>
      </c>
      <c r="E36" s="244">
        <v>3615.61</v>
      </c>
      <c r="F36" s="244">
        <f t="shared" si="1"/>
        <v>4115.6100000000006</v>
      </c>
    </row>
    <row r="37" spans="2:6" x14ac:dyDescent="0.25">
      <c r="B37" s="85">
        <v>54304</v>
      </c>
      <c r="C37" s="243" t="s">
        <v>292</v>
      </c>
      <c r="D37" s="244">
        <v>2000</v>
      </c>
      <c r="E37" s="244">
        <v>3000</v>
      </c>
      <c r="F37" s="244">
        <f t="shared" si="1"/>
        <v>5000</v>
      </c>
    </row>
    <row r="38" spans="2:6" x14ac:dyDescent="0.25">
      <c r="B38" s="87">
        <v>54313</v>
      </c>
      <c r="C38" s="249" t="s">
        <v>258</v>
      </c>
      <c r="D38" s="250">
        <v>1000</v>
      </c>
      <c r="E38" s="250">
        <v>1000</v>
      </c>
      <c r="F38" s="244">
        <f t="shared" si="1"/>
        <v>2000</v>
      </c>
    </row>
    <row r="39" spans="2:6" x14ac:dyDescent="0.25">
      <c r="B39" s="87">
        <v>54314</v>
      </c>
      <c r="C39" s="249" t="s">
        <v>259</v>
      </c>
      <c r="D39" s="250">
        <v>6000</v>
      </c>
      <c r="E39" s="250">
        <v>0</v>
      </c>
      <c r="F39" s="244">
        <f t="shared" si="1"/>
        <v>6000</v>
      </c>
    </row>
    <row r="40" spans="2:6" x14ac:dyDescent="0.25">
      <c r="B40" s="87">
        <v>54316</v>
      </c>
      <c r="C40" s="249" t="s">
        <v>293</v>
      </c>
      <c r="D40" s="250">
        <v>5000</v>
      </c>
      <c r="E40" s="250">
        <v>4000</v>
      </c>
      <c r="F40" s="250">
        <f t="shared" si="1"/>
        <v>9000</v>
      </c>
    </row>
    <row r="41" spans="2:6" x14ac:dyDescent="0.25">
      <c r="B41" s="87">
        <v>54317</v>
      </c>
      <c r="C41" s="249" t="s">
        <v>6</v>
      </c>
      <c r="D41" s="250">
        <v>3000</v>
      </c>
      <c r="E41" s="250">
        <v>5000</v>
      </c>
      <c r="F41" s="250">
        <f t="shared" si="1"/>
        <v>8000</v>
      </c>
    </row>
    <row r="42" spans="2:6" x14ac:dyDescent="0.25">
      <c r="B42" s="87">
        <v>54399</v>
      </c>
      <c r="C42" s="249" t="s">
        <v>260</v>
      </c>
      <c r="D42" s="250">
        <v>1000</v>
      </c>
      <c r="E42" s="250">
        <v>2000</v>
      </c>
      <c r="F42" s="250">
        <f t="shared" si="1"/>
        <v>3000</v>
      </c>
    </row>
    <row r="43" spans="2:6" x14ac:dyDescent="0.25">
      <c r="B43" s="71">
        <v>544</v>
      </c>
      <c r="C43" s="245" t="s">
        <v>261</v>
      </c>
      <c r="D43" s="246">
        <f>SUM(D44:D45)</f>
        <v>4000</v>
      </c>
      <c r="E43" s="246">
        <f>SUM(E44:E45)</f>
        <v>3500</v>
      </c>
      <c r="F43" s="246">
        <f>SUM(F44:F45)</f>
        <v>7500</v>
      </c>
    </row>
    <row r="44" spans="2:6" x14ac:dyDescent="0.25">
      <c r="B44" s="87">
        <v>54402</v>
      </c>
      <c r="C44" s="249" t="s">
        <v>263</v>
      </c>
      <c r="D44" s="250">
        <v>2000</v>
      </c>
      <c r="E44" s="250">
        <v>2000</v>
      </c>
      <c r="F44" s="244">
        <f>SUM(D44:E44)</f>
        <v>4000</v>
      </c>
    </row>
    <row r="45" spans="2:6" x14ac:dyDescent="0.25">
      <c r="B45" s="85">
        <v>54404</v>
      </c>
      <c r="C45" s="243" t="s">
        <v>294</v>
      </c>
      <c r="D45" s="244">
        <v>2000</v>
      </c>
      <c r="E45" s="244">
        <v>1500</v>
      </c>
      <c r="F45" s="244">
        <f>SUM(D45:E45)</f>
        <v>3500</v>
      </c>
    </row>
    <row r="46" spans="2:6" x14ac:dyDescent="0.25">
      <c r="B46" s="76">
        <v>545</v>
      </c>
      <c r="C46" s="240" t="s">
        <v>265</v>
      </c>
      <c r="D46" s="241">
        <f>SUM(D47:D48)</f>
        <v>1000</v>
      </c>
      <c r="E46" s="241">
        <f>SUM(E47:E48)</f>
        <v>0</v>
      </c>
      <c r="F46" s="241">
        <f>SUM(F47:F48)</f>
        <v>1000</v>
      </c>
    </row>
    <row r="47" spans="2:6" x14ac:dyDescent="0.25">
      <c r="B47" s="85">
        <v>54503</v>
      </c>
      <c r="C47" s="243" t="s">
        <v>295</v>
      </c>
      <c r="D47" s="244">
        <v>500</v>
      </c>
      <c r="E47" s="244">
        <v>0</v>
      </c>
      <c r="F47" s="244">
        <f>SUM(D47:E47)</f>
        <v>500</v>
      </c>
    </row>
    <row r="48" spans="2:6" x14ac:dyDescent="0.25">
      <c r="B48" s="87">
        <v>54599</v>
      </c>
      <c r="C48" s="249" t="s">
        <v>267</v>
      </c>
      <c r="D48" s="250">
        <v>500</v>
      </c>
      <c r="E48" s="250">
        <v>0</v>
      </c>
      <c r="F48" s="250">
        <f>SUM(D48:E48)</f>
        <v>500</v>
      </c>
    </row>
    <row r="49" spans="2:6" x14ac:dyDescent="0.25">
      <c r="B49" s="76">
        <v>61</v>
      </c>
      <c r="C49" s="240" t="s">
        <v>277</v>
      </c>
      <c r="D49" s="241">
        <f t="shared" ref="D49" si="2">SUM(D50:D50)</f>
        <v>0</v>
      </c>
      <c r="E49" s="241">
        <f>SUM(E50:E50)</f>
        <v>2000</v>
      </c>
      <c r="F49" s="241">
        <f>SUM(F50:F50)</f>
        <v>2000</v>
      </c>
    </row>
    <row r="50" spans="2:6" x14ac:dyDescent="0.25">
      <c r="B50" s="76">
        <v>611</v>
      </c>
      <c r="C50" s="240" t="s">
        <v>278</v>
      </c>
      <c r="D50" s="241">
        <f>SUM(D51:D52)</f>
        <v>0</v>
      </c>
      <c r="E50" s="241">
        <f>SUM(E51:E52)</f>
        <v>2000</v>
      </c>
      <c r="F50" s="241">
        <f>SUM(F51:F52)</f>
        <v>2000</v>
      </c>
    </row>
    <row r="51" spans="2:6" x14ac:dyDescent="0.25">
      <c r="B51" s="85">
        <v>61102</v>
      </c>
      <c r="C51" s="243" t="s">
        <v>389</v>
      </c>
      <c r="D51" s="244"/>
      <c r="E51" s="244">
        <v>1000</v>
      </c>
      <c r="F51" s="244">
        <f>SUM(D51:E51)</f>
        <v>1000</v>
      </c>
    </row>
    <row r="52" spans="2:6" x14ac:dyDescent="0.25">
      <c r="B52" s="85">
        <v>61106</v>
      </c>
      <c r="C52" s="243" t="s">
        <v>296</v>
      </c>
      <c r="D52" s="244">
        <v>0</v>
      </c>
      <c r="E52" s="244">
        <v>1000</v>
      </c>
      <c r="F52" s="244">
        <f>SUM(D52:E52)</f>
        <v>1000</v>
      </c>
    </row>
    <row r="53" spans="2:6" x14ac:dyDescent="0.25">
      <c r="B53" s="85"/>
      <c r="C53" s="243"/>
      <c r="D53" s="244"/>
      <c r="E53" s="244"/>
      <c r="F53" s="244"/>
    </row>
    <row r="54" spans="2:6" x14ac:dyDescent="0.25">
      <c r="B54" s="85"/>
      <c r="C54" s="240" t="s">
        <v>69</v>
      </c>
      <c r="D54" s="241">
        <f>D11+D21+D49</f>
        <v>115511.5</v>
      </c>
      <c r="E54" s="241">
        <f>E11+E21+E49</f>
        <v>86374.52</v>
      </c>
      <c r="F54" s="241">
        <f>SUM(D54:E54)</f>
        <v>201886.02000000002</v>
      </c>
    </row>
    <row r="55" spans="2:6" x14ac:dyDescent="0.25">
      <c r="B55" s="85"/>
      <c r="C55" s="82"/>
      <c r="D55" s="81"/>
      <c r="E55" s="81"/>
      <c r="F55" s="81"/>
    </row>
    <row r="56" spans="2:6" x14ac:dyDescent="0.25">
      <c r="B56" s="76"/>
      <c r="C56" s="86" t="s">
        <v>60</v>
      </c>
      <c r="D56" s="75">
        <f>SUM(D11+D21+D49)</f>
        <v>115511.5</v>
      </c>
      <c r="E56" s="75">
        <f>SUM(E11+E21+E49)</f>
        <v>86374.52</v>
      </c>
      <c r="F56" s="75">
        <f>SUM(F11+F21+F49)</f>
        <v>201886.02000000002</v>
      </c>
    </row>
    <row r="57" spans="2:6" x14ac:dyDescent="0.25">
      <c r="B57" s="76"/>
      <c r="C57" s="86" t="s">
        <v>61</v>
      </c>
      <c r="D57" s="75">
        <f>SUM(D12+D15+D17+D19+D22+D34+D43+D46+D50)</f>
        <v>115511.5</v>
      </c>
      <c r="E57" s="75">
        <f>SUM(E12+E15+E17+E19+E22+E34+E43+E46+E50)</f>
        <v>86374.52</v>
      </c>
      <c r="F57" s="75">
        <f>SUM(F12+F15+F17+F19+F22+F34+F43+F46+F50)</f>
        <v>201886.02000000002</v>
      </c>
    </row>
    <row r="58" spans="2:6" x14ac:dyDescent="0.25">
      <c r="B58" s="76"/>
      <c r="C58" s="86" t="s">
        <v>62</v>
      </c>
      <c r="D58" s="75">
        <f>SUM(D13+D14+D16+D18+D20+D23+D24+D25+D26+D27+D28+D29+D30+D31+D32+D33+D35+D36+D37+D38+D39+D40+D41+D42+D44+D45+D47+D48+D51+D52)</f>
        <v>115511.5</v>
      </c>
      <c r="E58" s="75">
        <f>SUM(E13+E14+E16+E18+E20+E23+E24+E25+E27+E28+E29+E30+E31+E32+E33+E35+E36+E37+E38+E39+E40+E41+E42+E44+E45+E47+E51+E52)</f>
        <v>86374.52</v>
      </c>
      <c r="F58" s="75">
        <f>SUM(F13+F14+F16+F18+F20+F23+F24+F25+F26+F27+F28+F29+F30+F31+F32+F33+F35+F36+F37+F38+F39+F40+F41+F42+F44+F45+F47+F48+F51+F52)</f>
        <v>201886.02000000002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workbookViewId="0">
      <pane ySplit="10" topLeftCell="A11" activePane="bottomLeft" state="frozen"/>
      <selection pane="bottomLeft" activeCell="F9" sqref="F9:F10"/>
    </sheetView>
  </sheetViews>
  <sheetFormatPr baseColWidth="10" defaultRowHeight="15" x14ac:dyDescent="0.25"/>
  <cols>
    <col min="1" max="1" width="5.42578125" style="28" customWidth="1"/>
    <col min="2" max="2" width="8.140625" style="28" customWidth="1"/>
    <col min="3" max="3" width="41.140625" style="28" customWidth="1"/>
    <col min="4" max="4" width="16" style="28" customWidth="1"/>
    <col min="5" max="5" width="17" style="28" customWidth="1"/>
    <col min="6" max="6" width="13.28515625" style="28" customWidth="1"/>
    <col min="7" max="16384" width="11.42578125" style="28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222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5.75" x14ac:dyDescent="0.25">
      <c r="B7" s="424" t="s">
        <v>297</v>
      </c>
      <c r="C7" s="424"/>
      <c r="D7" s="424"/>
      <c r="E7" s="424"/>
      <c r="F7" s="424"/>
    </row>
    <row r="8" spans="2:6" ht="15.75" thickBot="1" x14ac:dyDescent="0.3">
      <c r="B8" s="29"/>
      <c r="C8" s="29"/>
      <c r="D8" s="29"/>
      <c r="E8" s="30"/>
      <c r="F8" s="29"/>
    </row>
    <row r="9" spans="2:6" x14ac:dyDescent="0.25">
      <c r="B9" s="417" t="s">
        <v>225</v>
      </c>
      <c r="C9" s="419" t="s">
        <v>226</v>
      </c>
      <c r="D9" s="317" t="s">
        <v>227</v>
      </c>
      <c r="E9" s="319" t="s">
        <v>228</v>
      </c>
      <c r="F9" s="452" t="s">
        <v>0</v>
      </c>
    </row>
    <row r="10" spans="2:6" ht="15.75" thickBot="1" x14ac:dyDescent="0.3">
      <c r="B10" s="418"/>
      <c r="C10" s="420"/>
      <c r="D10" s="318" t="s">
        <v>229</v>
      </c>
      <c r="E10" s="322" t="s">
        <v>230</v>
      </c>
      <c r="F10" s="452"/>
    </row>
    <row r="11" spans="2:6" x14ac:dyDescent="0.25">
      <c r="B11" s="71">
        <v>51</v>
      </c>
      <c r="C11" s="100" t="s">
        <v>127</v>
      </c>
      <c r="D11" s="94">
        <f>SUM(D12+D15+D17)</f>
        <v>8820</v>
      </c>
      <c r="E11" s="94">
        <f>SUM(E12+E15+E17)</f>
        <v>8370</v>
      </c>
      <c r="F11" s="94">
        <f>SUM(F12+F15+F17)</f>
        <v>17190</v>
      </c>
    </row>
    <row r="12" spans="2:6" x14ac:dyDescent="0.25">
      <c r="B12" s="76">
        <v>511</v>
      </c>
      <c r="C12" s="108" t="s">
        <v>231</v>
      </c>
      <c r="D12" s="96">
        <f>SUM(D13:D14)</f>
        <v>7650</v>
      </c>
      <c r="E12" s="96">
        <f>SUM(E13:E14)</f>
        <v>7200</v>
      </c>
      <c r="F12" s="96">
        <f>SUM(F13:F14)</f>
        <v>14850</v>
      </c>
    </row>
    <row r="13" spans="2:6" x14ac:dyDescent="0.25">
      <c r="B13" s="79">
        <v>51101</v>
      </c>
      <c r="C13" s="97" t="s">
        <v>232</v>
      </c>
      <c r="D13" s="98">
        <v>7200</v>
      </c>
      <c r="E13" s="98">
        <v>7200</v>
      </c>
      <c r="F13" s="98">
        <f>SUM(D13:E13)</f>
        <v>14400</v>
      </c>
    </row>
    <row r="14" spans="2:6" x14ac:dyDescent="0.25">
      <c r="B14" s="79">
        <v>51103</v>
      </c>
      <c r="C14" s="99" t="s">
        <v>233</v>
      </c>
      <c r="D14" s="98">
        <v>450</v>
      </c>
      <c r="E14" s="98">
        <v>0</v>
      </c>
      <c r="F14" s="98">
        <f>SUM(D14:E14)</f>
        <v>450</v>
      </c>
    </row>
    <row r="15" spans="2:6" x14ac:dyDescent="0.25">
      <c r="B15" s="76">
        <v>514</v>
      </c>
      <c r="C15" s="100" t="s">
        <v>236</v>
      </c>
      <c r="D15" s="96">
        <f>SUM(D16:D16)</f>
        <v>612</v>
      </c>
      <c r="E15" s="96">
        <f>SUM(E16:E16)</f>
        <v>612</v>
      </c>
      <c r="F15" s="96">
        <f>SUM(F16:F16)</f>
        <v>1224</v>
      </c>
    </row>
    <row r="16" spans="2:6" x14ac:dyDescent="0.25">
      <c r="B16" s="85">
        <v>51401</v>
      </c>
      <c r="C16" s="99" t="s">
        <v>237</v>
      </c>
      <c r="D16" s="98">
        <f>D13*8.5%</f>
        <v>612</v>
      </c>
      <c r="E16" s="98">
        <f>E13*8.5%</f>
        <v>612</v>
      </c>
      <c r="F16" s="98">
        <f>SUM(D16:E16)</f>
        <v>1224</v>
      </c>
    </row>
    <row r="17" spans="2:6" x14ac:dyDescent="0.25">
      <c r="B17" s="76">
        <v>515</v>
      </c>
      <c r="C17" s="101" t="s">
        <v>238</v>
      </c>
      <c r="D17" s="96">
        <f>SUM(D18:D18)</f>
        <v>558</v>
      </c>
      <c r="E17" s="96">
        <f>SUM(E18:E18)</f>
        <v>558</v>
      </c>
      <c r="F17" s="96">
        <f>SUM(F18:F18)</f>
        <v>1116</v>
      </c>
    </row>
    <row r="18" spans="2:6" x14ac:dyDescent="0.25">
      <c r="B18" s="85">
        <v>51501</v>
      </c>
      <c r="C18" s="99" t="s">
        <v>237</v>
      </c>
      <c r="D18" s="98">
        <f>D13*7.75%</f>
        <v>558</v>
      </c>
      <c r="E18" s="98">
        <f>E13*7.75%</f>
        <v>558</v>
      </c>
      <c r="F18" s="98">
        <f>SUM(D18:E18)</f>
        <v>1116</v>
      </c>
    </row>
    <row r="19" spans="2:6" x14ac:dyDescent="0.25">
      <c r="B19" s="76">
        <v>54</v>
      </c>
      <c r="C19" s="101" t="s">
        <v>282</v>
      </c>
      <c r="D19" s="96">
        <f>SUM(D20)</f>
        <v>285</v>
      </c>
      <c r="E19" s="96">
        <f>SUM(E20)</f>
        <v>0</v>
      </c>
      <c r="F19" s="96">
        <f>SUM(F20)</f>
        <v>285</v>
      </c>
    </row>
    <row r="20" spans="2:6" x14ac:dyDescent="0.25">
      <c r="B20" s="76">
        <v>541</v>
      </c>
      <c r="C20" s="101" t="s">
        <v>242</v>
      </c>
      <c r="D20" s="96">
        <f>SUM(D21:D24)</f>
        <v>285</v>
      </c>
      <c r="E20" s="96">
        <f>SUM(E21:E24)</f>
        <v>0</v>
      </c>
      <c r="F20" s="96">
        <f>SUM(F21:F24)</f>
        <v>285</v>
      </c>
    </row>
    <row r="21" spans="2:6" x14ac:dyDescent="0.25">
      <c r="B21" s="102">
        <v>54105</v>
      </c>
      <c r="C21" s="320" t="s">
        <v>246</v>
      </c>
      <c r="D21" s="98">
        <v>60</v>
      </c>
      <c r="E21" s="98">
        <v>0</v>
      </c>
      <c r="F21" s="98">
        <f>SUM(D21:E21)</f>
        <v>60</v>
      </c>
    </row>
    <row r="22" spans="2:6" x14ac:dyDescent="0.25">
      <c r="B22" s="102">
        <v>54114</v>
      </c>
      <c r="C22" s="320" t="s">
        <v>250</v>
      </c>
      <c r="D22" s="98">
        <v>50</v>
      </c>
      <c r="E22" s="98">
        <v>0</v>
      </c>
      <c r="F22" s="98">
        <f>SUM(D22:E22)</f>
        <v>50</v>
      </c>
    </row>
    <row r="23" spans="2:6" x14ac:dyDescent="0.25">
      <c r="B23" s="102">
        <v>54115</v>
      </c>
      <c r="C23" s="320" t="s">
        <v>251</v>
      </c>
      <c r="D23" s="98">
        <v>75</v>
      </c>
      <c r="E23" s="98">
        <v>0</v>
      </c>
      <c r="F23" s="98">
        <f>SUM(D23:E23)</f>
        <v>75</v>
      </c>
    </row>
    <row r="24" spans="2:6" x14ac:dyDescent="0.25">
      <c r="B24" s="85">
        <v>54199</v>
      </c>
      <c r="C24" s="106" t="s">
        <v>253</v>
      </c>
      <c r="D24" s="107">
        <v>100</v>
      </c>
      <c r="E24" s="107">
        <v>0</v>
      </c>
      <c r="F24" s="107">
        <f>SUM(D24:E24)</f>
        <v>100</v>
      </c>
    </row>
    <row r="25" spans="2:6" x14ac:dyDescent="0.25">
      <c r="B25" s="76">
        <v>61</v>
      </c>
      <c r="C25" s="103" t="s">
        <v>130</v>
      </c>
      <c r="D25" s="104">
        <f>SUM(D26:D26)</f>
        <v>500</v>
      </c>
      <c r="E25" s="104">
        <f>SUM(E26:E26)</f>
        <v>0</v>
      </c>
      <c r="F25" s="104">
        <f>SUM(F26:F26)</f>
        <v>500</v>
      </c>
    </row>
    <row r="26" spans="2:6" x14ac:dyDescent="0.25">
      <c r="B26" s="91">
        <v>611</v>
      </c>
      <c r="C26" s="103" t="s">
        <v>278</v>
      </c>
      <c r="D26" s="104">
        <f>SUM(D27:D27)</f>
        <v>500</v>
      </c>
      <c r="E26" s="104">
        <f>SUM(E27:E27)</f>
        <v>0</v>
      </c>
      <c r="F26" s="104">
        <f t="shared" ref="F26" si="0">SUM(F27)</f>
        <v>500</v>
      </c>
    </row>
    <row r="27" spans="2:6" x14ac:dyDescent="0.25">
      <c r="B27" s="105">
        <v>61101</v>
      </c>
      <c r="C27" s="106" t="s">
        <v>279</v>
      </c>
      <c r="D27" s="107">
        <v>500</v>
      </c>
      <c r="E27" s="107">
        <v>0</v>
      </c>
      <c r="F27" s="107">
        <f>SUM(D27:E27)</f>
        <v>500</v>
      </c>
    </row>
    <row r="28" spans="2:6" x14ac:dyDescent="0.25">
      <c r="B28" s="105"/>
      <c r="C28" s="106"/>
      <c r="D28" s="107"/>
      <c r="E28" s="107"/>
      <c r="F28" s="107"/>
    </row>
    <row r="29" spans="2:6" x14ac:dyDescent="0.25">
      <c r="B29" s="105"/>
      <c r="C29" s="103" t="s">
        <v>69</v>
      </c>
      <c r="D29" s="104">
        <f>D11+D19+D25</f>
        <v>9605</v>
      </c>
      <c r="E29" s="104">
        <f>E11+E19+E25</f>
        <v>8370</v>
      </c>
      <c r="F29" s="104">
        <f>SUM(D29:E29)</f>
        <v>17975</v>
      </c>
    </row>
    <row r="30" spans="2:6" x14ac:dyDescent="0.25">
      <c r="B30" s="105"/>
      <c r="C30" s="106"/>
      <c r="D30" s="107"/>
      <c r="E30" s="107"/>
      <c r="F30" s="107"/>
    </row>
    <row r="31" spans="2:6" x14ac:dyDescent="0.25">
      <c r="B31" s="91"/>
      <c r="C31" s="103" t="s">
        <v>60</v>
      </c>
      <c r="D31" s="104">
        <f>SUM(D11+D19+D25)</f>
        <v>9605</v>
      </c>
      <c r="E31" s="104">
        <f>SUM(E11+E19+E25)</f>
        <v>8370</v>
      </c>
      <c r="F31" s="104">
        <f>SUM(F11+F19+F25)</f>
        <v>17975</v>
      </c>
    </row>
    <row r="32" spans="2:6" x14ac:dyDescent="0.25">
      <c r="B32" s="91"/>
      <c r="C32" s="103" t="s">
        <v>61</v>
      </c>
      <c r="D32" s="104">
        <f>SUM(D12+D15+D17+D20+D26)</f>
        <v>9605</v>
      </c>
      <c r="E32" s="104">
        <f>SUM(E12+E15+E17+E20+E26)</f>
        <v>8370</v>
      </c>
      <c r="F32" s="104">
        <f>SUM(F12+F15+F17+F20+F26)</f>
        <v>17975</v>
      </c>
    </row>
    <row r="33" spans="2:6" x14ac:dyDescent="0.25">
      <c r="B33" s="91"/>
      <c r="C33" s="103" t="s">
        <v>62</v>
      </c>
      <c r="D33" s="104">
        <f>SUM(D13+D14+D16+D18+D21+D22+D23+D24+D27)</f>
        <v>9605</v>
      </c>
      <c r="E33" s="104">
        <f>SUM(E13+E14+E16+E18+E21+E22+E23+E24+E27)</f>
        <v>8370</v>
      </c>
      <c r="F33" s="104">
        <f>SUM(F13+F14+F16+F18+F21+F22+F23+F24+F27)</f>
        <v>17975</v>
      </c>
    </row>
    <row r="34" spans="2:6" x14ac:dyDescent="0.25">
      <c r="C34" s="40"/>
      <c r="D34" s="40"/>
      <c r="E34" s="40"/>
      <c r="F34" s="40"/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pane ySplit="9" topLeftCell="A10" activePane="bottomLeft" state="frozen"/>
      <selection pane="bottomLeft" activeCell="F32" sqref="F32"/>
    </sheetView>
  </sheetViews>
  <sheetFormatPr baseColWidth="10" defaultRowHeight="15" x14ac:dyDescent="0.25"/>
  <cols>
    <col min="1" max="1" width="11.42578125" style="67"/>
    <col min="2" max="2" width="9.85546875" style="67" customWidth="1"/>
    <col min="3" max="3" width="44.7109375" style="67" customWidth="1"/>
    <col min="4" max="4" width="14" style="67" customWidth="1"/>
    <col min="5" max="5" width="16.42578125" style="67" customWidth="1"/>
    <col min="6" max="16384" width="11.42578125" style="67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222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6.5" thickBot="1" x14ac:dyDescent="0.3">
      <c r="B7" s="424" t="s">
        <v>298</v>
      </c>
      <c r="C7" s="424"/>
      <c r="D7" s="424"/>
      <c r="E7" s="424"/>
      <c r="F7" s="424"/>
    </row>
    <row r="8" spans="2:6" x14ac:dyDescent="0.25">
      <c r="B8" s="417" t="s">
        <v>225</v>
      </c>
      <c r="C8" s="428" t="s">
        <v>226</v>
      </c>
      <c r="D8" s="317" t="s">
        <v>227</v>
      </c>
      <c r="E8" s="319" t="s">
        <v>228</v>
      </c>
      <c r="F8" s="430" t="s">
        <v>0</v>
      </c>
    </row>
    <row r="9" spans="2:6" ht="26.25" thickBot="1" x14ac:dyDescent="0.3">
      <c r="B9" s="418"/>
      <c r="C9" s="429"/>
      <c r="D9" s="318" t="s">
        <v>229</v>
      </c>
      <c r="E9" s="322" t="s">
        <v>230</v>
      </c>
      <c r="F9" s="431"/>
    </row>
    <row r="10" spans="2:6" x14ac:dyDescent="0.25">
      <c r="B10" s="71">
        <v>51</v>
      </c>
      <c r="C10" s="245" t="s">
        <v>127</v>
      </c>
      <c r="D10" s="246">
        <f>SUM(D11+D14+D16)</f>
        <v>22219.75</v>
      </c>
      <c r="E10" s="246">
        <f>SUM(E11+E14+E16)</f>
        <v>8904.75</v>
      </c>
      <c r="F10" s="246">
        <f>SUM(F11+F14+F16)</f>
        <v>31124.5</v>
      </c>
    </row>
    <row r="11" spans="2:6" x14ac:dyDescent="0.25">
      <c r="B11" s="76">
        <v>511</v>
      </c>
      <c r="C11" s="247" t="s">
        <v>231</v>
      </c>
      <c r="D11" s="241">
        <f>SUM(D12:D13)</f>
        <v>19350</v>
      </c>
      <c r="E11" s="241">
        <f>SUM(E12:E13)</f>
        <v>7660</v>
      </c>
      <c r="F11" s="241">
        <f>SUM(F12:F13)</f>
        <v>27010</v>
      </c>
    </row>
    <row r="12" spans="2:6" x14ac:dyDescent="0.25">
      <c r="B12" s="79">
        <v>51101</v>
      </c>
      <c r="C12" s="248" t="s">
        <v>232</v>
      </c>
      <c r="D12" s="244">
        <v>17660</v>
      </c>
      <c r="E12" s="244">
        <v>7660</v>
      </c>
      <c r="F12" s="244">
        <f>+D12+E12</f>
        <v>25320</v>
      </c>
    </row>
    <row r="13" spans="2:6" x14ac:dyDescent="0.25">
      <c r="B13" s="79">
        <v>51103</v>
      </c>
      <c r="C13" s="243" t="s">
        <v>233</v>
      </c>
      <c r="D13" s="244">
        <v>1690</v>
      </c>
      <c r="E13" s="244">
        <v>0</v>
      </c>
      <c r="F13" s="244">
        <f>SUM(D13:E13)</f>
        <v>1690</v>
      </c>
    </row>
    <row r="14" spans="2:6" x14ac:dyDescent="0.25">
      <c r="B14" s="76">
        <v>514</v>
      </c>
      <c r="C14" s="245" t="s">
        <v>236</v>
      </c>
      <c r="D14" s="241">
        <f>SUM(D15:D15)</f>
        <v>1501.1000000000001</v>
      </c>
      <c r="E14" s="241">
        <f>SUM(E15:E15)</f>
        <v>651.1</v>
      </c>
      <c r="F14" s="241">
        <f>SUM(F15:F15)</f>
        <v>2152.2000000000003</v>
      </c>
    </row>
    <row r="15" spans="2:6" x14ac:dyDescent="0.25">
      <c r="B15" s="85">
        <v>51401</v>
      </c>
      <c r="C15" s="243" t="s">
        <v>237</v>
      </c>
      <c r="D15" s="244">
        <f>D12*8.5%</f>
        <v>1501.1000000000001</v>
      </c>
      <c r="E15" s="244">
        <f>E12*8.5%</f>
        <v>651.1</v>
      </c>
      <c r="F15" s="244">
        <f>SUM(D15:E15)</f>
        <v>2152.2000000000003</v>
      </c>
    </row>
    <row r="16" spans="2:6" x14ac:dyDescent="0.25">
      <c r="B16" s="76">
        <v>515</v>
      </c>
      <c r="C16" s="240" t="s">
        <v>238</v>
      </c>
      <c r="D16" s="241">
        <f>SUM(D17:D17)</f>
        <v>1368.65</v>
      </c>
      <c r="E16" s="241">
        <f>SUM(E17:E17)</f>
        <v>593.65</v>
      </c>
      <c r="F16" s="241">
        <f>SUM(F17:F17)</f>
        <v>1962.3000000000002</v>
      </c>
    </row>
    <row r="17" spans="2:6" x14ac:dyDescent="0.25">
      <c r="B17" s="85">
        <v>51501</v>
      </c>
      <c r="C17" s="243" t="s">
        <v>237</v>
      </c>
      <c r="D17" s="244">
        <f>D12*7.75%</f>
        <v>1368.65</v>
      </c>
      <c r="E17" s="244">
        <f>E12*7.75%</f>
        <v>593.65</v>
      </c>
      <c r="F17" s="244">
        <f>SUM(D17:E17)</f>
        <v>1962.3000000000002</v>
      </c>
    </row>
    <row r="18" spans="2:6" x14ac:dyDescent="0.25">
      <c r="B18" s="76">
        <v>54</v>
      </c>
      <c r="C18" s="240" t="s">
        <v>282</v>
      </c>
      <c r="D18" s="241">
        <f>SUM(D19+D24+D26)</f>
        <v>4173.1000000000004</v>
      </c>
      <c r="E18" s="241">
        <f>SUM(E19+E24+E26)</f>
        <v>0</v>
      </c>
      <c r="F18" s="241">
        <f>SUM(F19+F24+F26)</f>
        <v>4173.1000000000004</v>
      </c>
    </row>
    <row r="19" spans="2:6" x14ac:dyDescent="0.25">
      <c r="B19" s="76">
        <v>541</v>
      </c>
      <c r="C19" s="240" t="s">
        <v>242</v>
      </c>
      <c r="D19" s="241">
        <f>SUM(D20:D23)</f>
        <v>3073.1</v>
      </c>
      <c r="E19" s="241">
        <f>SUM(E20:E22)</f>
        <v>0</v>
      </c>
      <c r="F19" s="241">
        <f>SUM(F20:F23)</f>
        <v>3073.1</v>
      </c>
    </row>
    <row r="20" spans="2:6" x14ac:dyDescent="0.25">
      <c r="B20" s="85">
        <v>54105</v>
      </c>
      <c r="C20" s="243" t="s">
        <v>246</v>
      </c>
      <c r="D20" s="244">
        <v>2480.6</v>
      </c>
      <c r="E20" s="244">
        <v>0</v>
      </c>
      <c r="F20" s="244">
        <f>SUM(D20:E20)</f>
        <v>2480.6</v>
      </c>
    </row>
    <row r="21" spans="2:6" x14ac:dyDescent="0.25">
      <c r="B21" s="85">
        <v>54114</v>
      </c>
      <c r="C21" s="243" t="s">
        <v>250</v>
      </c>
      <c r="D21" s="244">
        <v>412.5</v>
      </c>
      <c r="E21" s="244">
        <v>0</v>
      </c>
      <c r="F21" s="244">
        <f>SUM(D21:E21)</f>
        <v>412.5</v>
      </c>
    </row>
    <row r="22" spans="2:6" x14ac:dyDescent="0.25">
      <c r="B22" s="85">
        <v>54115</v>
      </c>
      <c r="C22" s="243" t="s">
        <v>251</v>
      </c>
      <c r="D22" s="244">
        <v>150</v>
      </c>
      <c r="E22" s="244">
        <v>0</v>
      </c>
      <c r="F22" s="244">
        <f>SUM(D22:E22)</f>
        <v>150</v>
      </c>
    </row>
    <row r="23" spans="2:6" x14ac:dyDescent="0.25">
      <c r="B23" s="85">
        <v>54116</v>
      </c>
      <c r="C23" s="243" t="s">
        <v>421</v>
      </c>
      <c r="D23" s="244">
        <v>30</v>
      </c>
      <c r="E23" s="244">
        <v>0</v>
      </c>
      <c r="F23" s="244">
        <v>30</v>
      </c>
    </row>
    <row r="24" spans="2:6" x14ac:dyDescent="0.25">
      <c r="B24" s="76">
        <v>543</v>
      </c>
      <c r="C24" s="240" t="s">
        <v>254</v>
      </c>
      <c r="D24" s="241">
        <f>SUM(D25:D25)</f>
        <v>600</v>
      </c>
      <c r="E24" s="241">
        <f>SUM(E25:E25)</f>
        <v>0</v>
      </c>
      <c r="F24" s="241">
        <f>SUM(F25:F25)</f>
        <v>600</v>
      </c>
    </row>
    <row r="25" spans="2:6" x14ac:dyDescent="0.25">
      <c r="B25" s="85">
        <v>54313</v>
      </c>
      <c r="C25" s="243" t="s">
        <v>258</v>
      </c>
      <c r="D25" s="244">
        <v>600</v>
      </c>
      <c r="E25" s="244"/>
      <c r="F25" s="244">
        <f>SUM(D25:E25)</f>
        <v>600</v>
      </c>
    </row>
    <row r="26" spans="2:6" x14ac:dyDescent="0.25">
      <c r="B26" s="76">
        <v>545</v>
      </c>
      <c r="C26" s="240" t="s">
        <v>265</v>
      </c>
      <c r="D26" s="241">
        <f>SUM(D27:D27)</f>
        <v>500</v>
      </c>
      <c r="E26" s="241">
        <f>SUM(E27:E27)</f>
        <v>0</v>
      </c>
      <c r="F26" s="241">
        <f>SUM(F27:F27)</f>
        <v>500</v>
      </c>
    </row>
    <row r="27" spans="2:6" x14ac:dyDescent="0.25">
      <c r="B27" s="85">
        <v>54503</v>
      </c>
      <c r="C27" s="243" t="s">
        <v>295</v>
      </c>
      <c r="D27" s="244">
        <v>500</v>
      </c>
      <c r="E27" s="244"/>
      <c r="F27" s="244">
        <f>SUM(D27:E27)</f>
        <v>500</v>
      </c>
    </row>
    <row r="28" spans="2:6" x14ac:dyDescent="0.25">
      <c r="B28" s="76">
        <v>61</v>
      </c>
      <c r="C28" s="240" t="s">
        <v>130</v>
      </c>
      <c r="D28" s="241">
        <f>SUM(D29:D29)</f>
        <v>600</v>
      </c>
      <c r="E28" s="241">
        <f t="shared" ref="E28:F28" si="0">SUM(E29:E29)</f>
        <v>2000</v>
      </c>
      <c r="F28" s="241">
        <f t="shared" si="0"/>
        <v>2600</v>
      </c>
    </row>
    <row r="29" spans="2:6" x14ac:dyDescent="0.25">
      <c r="B29" s="76">
        <v>611</v>
      </c>
      <c r="C29" s="240" t="s">
        <v>278</v>
      </c>
      <c r="D29" s="241">
        <f>SUM(D30:D32)</f>
        <v>600</v>
      </c>
      <c r="E29" s="241">
        <f>SUM(E30:E32)</f>
        <v>2000</v>
      </c>
      <c r="F29" s="241">
        <f>SUM(F30:F32)</f>
        <v>2600</v>
      </c>
    </row>
    <row r="30" spans="2:6" x14ac:dyDescent="0.25">
      <c r="B30" s="85">
        <v>61101</v>
      </c>
      <c r="C30" s="243" t="s">
        <v>299</v>
      </c>
      <c r="D30" s="244">
        <v>600</v>
      </c>
      <c r="E30" s="244"/>
      <c r="F30" s="244">
        <f>SUM(D30:E30)</f>
        <v>600</v>
      </c>
    </row>
    <row r="31" spans="2:6" x14ac:dyDescent="0.25">
      <c r="B31" s="85">
        <v>61104</v>
      </c>
      <c r="C31" s="243" t="s">
        <v>344</v>
      </c>
      <c r="D31" s="244"/>
      <c r="E31" s="244">
        <v>2000</v>
      </c>
      <c r="F31" s="244">
        <f>SUM(D31:E31)</f>
        <v>2000</v>
      </c>
    </row>
    <row r="32" spans="2:6" x14ac:dyDescent="0.25">
      <c r="B32" s="85"/>
      <c r="C32" s="243"/>
      <c r="D32" s="244"/>
      <c r="E32" s="244"/>
      <c r="F32" s="244"/>
    </row>
    <row r="33" spans="2:6" x14ac:dyDescent="0.25">
      <c r="B33" s="85"/>
      <c r="C33" s="240" t="s">
        <v>69</v>
      </c>
      <c r="D33" s="241">
        <f>SUM(D10+D18+D28)</f>
        <v>26992.85</v>
      </c>
      <c r="E33" s="241">
        <f>SUM(E10+E18+E28)</f>
        <v>10904.75</v>
      </c>
      <c r="F33" s="241">
        <f>SUM(D33:E33)</f>
        <v>37897.599999999999</v>
      </c>
    </row>
    <row r="34" spans="2:6" x14ac:dyDescent="0.25">
      <c r="B34" s="85"/>
      <c r="C34" s="243"/>
      <c r="D34" s="244"/>
      <c r="E34" s="244"/>
      <c r="F34" s="244"/>
    </row>
    <row r="35" spans="2:6" x14ac:dyDescent="0.25">
      <c r="B35" s="76"/>
      <c r="C35" s="240" t="s">
        <v>60</v>
      </c>
      <c r="D35" s="241">
        <f>SUM(D10+D18+D28)</f>
        <v>26992.85</v>
      </c>
      <c r="E35" s="241">
        <f>SUM(E10+E18+E28)</f>
        <v>10904.75</v>
      </c>
      <c r="F35" s="241">
        <f>SUM(F10+F18+F28)</f>
        <v>37897.599999999999</v>
      </c>
    </row>
    <row r="36" spans="2:6" x14ac:dyDescent="0.25">
      <c r="B36" s="76"/>
      <c r="C36" s="240" t="s">
        <v>61</v>
      </c>
      <c r="D36" s="241">
        <f>SUM(D11+D14+D16+D19+D24+D26+D29)</f>
        <v>26992.85</v>
      </c>
      <c r="E36" s="241">
        <f>SUM(E11+E14+E16+E19+E24+E26+E29)</f>
        <v>10904.75</v>
      </c>
      <c r="F36" s="241">
        <f>SUM(F11+F14+F16+F19+F24+F26+F29)</f>
        <v>37897.599999999999</v>
      </c>
    </row>
    <row r="37" spans="2:6" x14ac:dyDescent="0.25">
      <c r="B37" s="76"/>
      <c r="C37" s="240" t="s">
        <v>62</v>
      </c>
      <c r="D37" s="241">
        <f>SUM(D12+D13+D15+D17+D20+D21+D22+D23+D25+D27+D30+D31)</f>
        <v>26992.85</v>
      </c>
      <c r="E37" s="241">
        <f>SUM(E12+E13+E15+E17+E20+E21+E22+E23+E25+E27+E30+E31)</f>
        <v>10904.75</v>
      </c>
      <c r="F37" s="241">
        <f>SUM(F12+F13+F15+F17+F20+F21+F22+F25+F27+F30+F31)</f>
        <v>37867.599999999999</v>
      </c>
    </row>
  </sheetData>
  <mergeCells count="9">
    <mergeCell ref="B8:B9"/>
    <mergeCell ref="C8:C9"/>
    <mergeCell ref="F8:F9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pane ySplit="10" topLeftCell="A11" activePane="bottomLeft" state="frozen"/>
      <selection pane="bottomLeft" activeCell="H17" sqref="H17"/>
    </sheetView>
  </sheetViews>
  <sheetFormatPr baseColWidth="10" defaultRowHeight="15" x14ac:dyDescent="0.25"/>
  <cols>
    <col min="1" max="1" width="5.28515625" style="28" customWidth="1"/>
    <col min="2" max="2" width="9.5703125" style="28" customWidth="1"/>
    <col min="3" max="3" width="45.5703125" style="28" customWidth="1"/>
    <col min="4" max="4" width="13.5703125" style="28" customWidth="1"/>
    <col min="5" max="5" width="16.5703125" style="28" customWidth="1"/>
    <col min="6" max="6" width="12.85546875" style="28" customWidth="1"/>
    <col min="7" max="16384" width="11.42578125" style="28"/>
  </cols>
  <sheetData>
    <row r="2" spans="2:11" ht="15.75" x14ac:dyDescent="0.25">
      <c r="B2" s="422" t="s">
        <v>425</v>
      </c>
      <c r="C2" s="422"/>
      <c r="D2" s="422"/>
      <c r="E2" s="422"/>
      <c r="F2" s="422"/>
    </row>
    <row r="3" spans="2:11" ht="15.75" x14ac:dyDescent="0.25">
      <c r="B3" s="422" t="s">
        <v>220</v>
      </c>
      <c r="C3" s="422"/>
      <c r="D3" s="422"/>
      <c r="E3" s="422"/>
      <c r="F3" s="422"/>
    </row>
    <row r="4" spans="2:11" ht="15.75" x14ac:dyDescent="0.25">
      <c r="B4" s="423" t="s">
        <v>221</v>
      </c>
      <c r="C4" s="423"/>
      <c r="D4" s="423"/>
      <c r="E4" s="423"/>
      <c r="F4" s="423"/>
    </row>
    <row r="5" spans="2:11" ht="15.75" x14ac:dyDescent="0.25">
      <c r="B5" s="423" t="s">
        <v>222</v>
      </c>
      <c r="C5" s="423"/>
      <c r="D5" s="423"/>
      <c r="E5" s="423"/>
      <c r="F5" s="423"/>
    </row>
    <row r="6" spans="2:11" ht="15.75" x14ac:dyDescent="0.25">
      <c r="B6" s="423" t="s">
        <v>223</v>
      </c>
      <c r="C6" s="423"/>
      <c r="D6" s="423"/>
      <c r="E6" s="423"/>
      <c r="F6" s="423"/>
    </row>
    <row r="7" spans="2:11" ht="15.75" x14ac:dyDescent="0.25">
      <c r="B7" s="425" t="s">
        <v>300</v>
      </c>
      <c r="C7" s="425"/>
      <c r="D7" s="425"/>
      <c r="E7" s="425"/>
      <c r="F7" s="425"/>
    </row>
    <row r="8" spans="2:11" ht="15.75" thickBot="1" x14ac:dyDescent="0.3">
      <c r="B8" s="29"/>
      <c r="C8" s="29"/>
      <c r="D8" s="29"/>
      <c r="E8" s="30"/>
      <c r="F8" s="29"/>
    </row>
    <row r="9" spans="2:11" x14ac:dyDescent="0.25">
      <c r="B9" s="417" t="s">
        <v>225</v>
      </c>
      <c r="C9" s="419" t="s">
        <v>226</v>
      </c>
      <c r="D9" s="68" t="s">
        <v>227</v>
      </c>
      <c r="E9" s="69" t="s">
        <v>228</v>
      </c>
      <c r="F9" s="464" t="s">
        <v>0</v>
      </c>
    </row>
    <row r="10" spans="2:11" ht="26.25" thickBot="1" x14ac:dyDescent="0.3">
      <c r="B10" s="418"/>
      <c r="C10" s="420"/>
      <c r="D10" s="70" t="s">
        <v>229</v>
      </c>
      <c r="E10" s="322" t="s">
        <v>230</v>
      </c>
      <c r="F10" s="465"/>
      <c r="H10" s="28" t="s">
        <v>422</v>
      </c>
    </row>
    <row r="11" spans="2:11" x14ac:dyDescent="0.25">
      <c r="B11" s="71">
        <v>51</v>
      </c>
      <c r="C11" s="100" t="s">
        <v>127</v>
      </c>
      <c r="D11" s="94">
        <f>SUM(D12+D15+D17)</f>
        <v>11595</v>
      </c>
      <c r="E11" s="94">
        <f>SUM(E12+E15+E17)</f>
        <v>7440</v>
      </c>
      <c r="F11" s="94">
        <f>SUM(F12+F15+F17)</f>
        <v>19035</v>
      </c>
    </row>
    <row r="12" spans="2:11" x14ac:dyDescent="0.25">
      <c r="B12" s="76">
        <v>511</v>
      </c>
      <c r="C12" s="108" t="s">
        <v>231</v>
      </c>
      <c r="D12" s="96">
        <f>SUM(D13:D14)</f>
        <v>10100</v>
      </c>
      <c r="E12" s="96">
        <f>SUM(E13:E14)</f>
        <v>6400</v>
      </c>
      <c r="F12" s="96">
        <f>SUM(F13:F14)</f>
        <v>16500</v>
      </c>
    </row>
    <row r="13" spans="2:11" x14ac:dyDescent="0.25">
      <c r="B13" s="79">
        <v>51101</v>
      </c>
      <c r="C13" s="97" t="s">
        <v>232</v>
      </c>
      <c r="D13" s="98">
        <v>9200</v>
      </c>
      <c r="E13" s="98">
        <v>6400</v>
      </c>
      <c r="F13" s="98">
        <f>SUM(D13:E13)</f>
        <v>15600</v>
      </c>
    </row>
    <row r="14" spans="2:11" x14ac:dyDescent="0.25">
      <c r="B14" s="79">
        <v>51103</v>
      </c>
      <c r="C14" s="99" t="s">
        <v>233</v>
      </c>
      <c r="D14" s="98">
        <v>900</v>
      </c>
      <c r="E14" s="98">
        <v>0</v>
      </c>
      <c r="F14" s="98">
        <f>SUM(D14:E14)</f>
        <v>900</v>
      </c>
    </row>
    <row r="15" spans="2:11" x14ac:dyDescent="0.25">
      <c r="B15" s="76">
        <v>514</v>
      </c>
      <c r="C15" s="100" t="s">
        <v>236</v>
      </c>
      <c r="D15" s="96">
        <f>SUM(D16:D16)</f>
        <v>782</v>
      </c>
      <c r="E15" s="96">
        <f>SUM(E16:E16)</f>
        <v>544</v>
      </c>
      <c r="F15" s="96">
        <f>SUM(F16:F16)</f>
        <v>1326</v>
      </c>
    </row>
    <row r="16" spans="2:11" x14ac:dyDescent="0.25">
      <c r="B16" s="85">
        <v>51401</v>
      </c>
      <c r="C16" s="99" t="s">
        <v>237</v>
      </c>
      <c r="D16" s="98">
        <f>D13*8.5%</f>
        <v>782</v>
      </c>
      <c r="E16" s="98">
        <f>E13*8.5%</f>
        <v>544</v>
      </c>
      <c r="F16" s="98">
        <f>SUM(D16:E16)</f>
        <v>1326</v>
      </c>
      <c r="K16" s="28" t="s">
        <v>383</v>
      </c>
    </row>
    <row r="17" spans="2:8" x14ac:dyDescent="0.25">
      <c r="B17" s="76">
        <v>515</v>
      </c>
      <c r="C17" s="101" t="s">
        <v>238</v>
      </c>
      <c r="D17" s="96">
        <f>SUM(D18:D18)</f>
        <v>713</v>
      </c>
      <c r="E17" s="96">
        <f>SUM(E18:E18)</f>
        <v>496</v>
      </c>
      <c r="F17" s="96">
        <f>SUM(F18:F18)</f>
        <v>1209</v>
      </c>
      <c r="H17" s="40"/>
    </row>
    <row r="18" spans="2:8" x14ac:dyDescent="0.25">
      <c r="B18" s="85">
        <v>51501</v>
      </c>
      <c r="C18" s="99" t="s">
        <v>237</v>
      </c>
      <c r="D18" s="98">
        <f>D13*7.75%</f>
        <v>713</v>
      </c>
      <c r="E18" s="98">
        <f>E13*7.75%</f>
        <v>496</v>
      </c>
      <c r="F18" s="98">
        <f>SUM(D18:E18)</f>
        <v>1209</v>
      </c>
    </row>
    <row r="19" spans="2:8" x14ac:dyDescent="0.25">
      <c r="B19" s="76">
        <v>54</v>
      </c>
      <c r="C19" s="101" t="s">
        <v>282</v>
      </c>
      <c r="D19" s="96">
        <f>SUM(D20+D24+D26)</f>
        <v>2285</v>
      </c>
      <c r="E19" s="96">
        <f>SUM(E20+E24+E26)</f>
        <v>0</v>
      </c>
      <c r="F19" s="96">
        <f>SUM(F20+F24+F26)</f>
        <v>2285</v>
      </c>
    </row>
    <row r="20" spans="2:8" x14ac:dyDescent="0.25">
      <c r="B20" s="76">
        <v>541</v>
      </c>
      <c r="C20" s="101" t="s">
        <v>242</v>
      </c>
      <c r="D20" s="96">
        <f>SUM(D21:D23)</f>
        <v>685</v>
      </c>
      <c r="E20" s="96">
        <f>SUM(E21:E23)</f>
        <v>0</v>
      </c>
      <c r="F20" s="96">
        <f>SUM(F21:F23)</f>
        <v>685</v>
      </c>
    </row>
    <row r="21" spans="2:8" x14ac:dyDescent="0.25">
      <c r="B21" s="85">
        <v>54105</v>
      </c>
      <c r="C21" s="99" t="s">
        <v>246</v>
      </c>
      <c r="D21" s="98">
        <v>200</v>
      </c>
      <c r="E21" s="98">
        <v>0</v>
      </c>
      <c r="F21" s="98">
        <f>SUM(D21:E21)</f>
        <v>200</v>
      </c>
    </row>
    <row r="22" spans="2:8" x14ac:dyDescent="0.25">
      <c r="B22" s="85">
        <v>54114</v>
      </c>
      <c r="C22" s="99" t="s">
        <v>250</v>
      </c>
      <c r="D22" s="98">
        <v>125</v>
      </c>
      <c r="E22" s="98">
        <v>0</v>
      </c>
      <c r="F22" s="98">
        <f>SUM(D22:E22)</f>
        <v>125</v>
      </c>
    </row>
    <row r="23" spans="2:8" x14ac:dyDescent="0.25">
      <c r="B23" s="85">
        <v>54199</v>
      </c>
      <c r="C23" s="99" t="s">
        <v>253</v>
      </c>
      <c r="D23" s="98">
        <v>360</v>
      </c>
      <c r="E23" s="98">
        <v>0</v>
      </c>
      <c r="F23" s="98">
        <f>SUM(D23:E23)</f>
        <v>360</v>
      </c>
    </row>
    <row r="24" spans="2:8" x14ac:dyDescent="0.25">
      <c r="B24" s="71">
        <v>544</v>
      </c>
      <c r="C24" s="100" t="s">
        <v>261</v>
      </c>
      <c r="D24" s="94">
        <f>SUM(D25:D25)</f>
        <v>100</v>
      </c>
      <c r="E24" s="94">
        <f>SUM(E25:E25)</f>
        <v>0</v>
      </c>
      <c r="F24" s="94">
        <f>SUM(F25:F25)</f>
        <v>100</v>
      </c>
    </row>
    <row r="25" spans="2:8" x14ac:dyDescent="0.25">
      <c r="B25" s="85">
        <v>54401</v>
      </c>
      <c r="C25" s="99" t="s">
        <v>262</v>
      </c>
      <c r="D25" s="98">
        <v>100</v>
      </c>
      <c r="E25" s="98"/>
      <c r="F25" s="98">
        <f>SUM(D25:E25)</f>
        <v>100</v>
      </c>
    </row>
    <row r="26" spans="2:8" x14ac:dyDescent="0.25">
      <c r="B26" s="76">
        <v>545</v>
      </c>
      <c r="C26" s="101" t="s">
        <v>301</v>
      </c>
      <c r="D26" s="96">
        <f>SUM(D27:D27)</f>
        <v>1500</v>
      </c>
      <c r="E26" s="96">
        <f>SUM(E27:E27)</f>
        <v>0</v>
      </c>
      <c r="F26" s="96">
        <f>SUM(F27:F27)</f>
        <v>1500</v>
      </c>
    </row>
    <row r="27" spans="2:8" x14ac:dyDescent="0.25">
      <c r="B27" s="85">
        <v>54503</v>
      </c>
      <c r="C27" s="99" t="s">
        <v>295</v>
      </c>
      <c r="D27" s="98">
        <v>1500</v>
      </c>
      <c r="E27" s="98"/>
      <c r="F27" s="98">
        <f>SUM(D27:E27)</f>
        <v>1500</v>
      </c>
    </row>
    <row r="28" spans="2:8" x14ac:dyDescent="0.25">
      <c r="B28" s="76">
        <v>61</v>
      </c>
      <c r="C28" s="103" t="s">
        <v>277</v>
      </c>
      <c r="D28" s="104">
        <f>SUM(D29)</f>
        <v>650</v>
      </c>
      <c r="E28" s="104">
        <f t="shared" ref="E28" si="0">SUM(E29)</f>
        <v>0</v>
      </c>
      <c r="F28" s="104">
        <f>SUM(F29)</f>
        <v>650</v>
      </c>
      <c r="G28" s="40"/>
    </row>
    <row r="29" spans="2:8" x14ac:dyDescent="0.25">
      <c r="B29" s="76">
        <v>611</v>
      </c>
      <c r="C29" s="103" t="s">
        <v>278</v>
      </c>
      <c r="D29" s="104">
        <f>SUM(D30:D32)</f>
        <v>650</v>
      </c>
      <c r="E29" s="104">
        <f>SUM(E30:E32)</f>
        <v>0</v>
      </c>
      <c r="F29" s="104">
        <f>SUM(F30:F32)</f>
        <v>650</v>
      </c>
      <c r="G29" s="40"/>
    </row>
    <row r="30" spans="2:8" x14ac:dyDescent="0.25">
      <c r="B30" s="85">
        <v>61101</v>
      </c>
      <c r="C30" s="106" t="s">
        <v>279</v>
      </c>
      <c r="D30" s="107">
        <v>450</v>
      </c>
      <c r="E30" s="107">
        <v>0</v>
      </c>
      <c r="F30" s="107">
        <f>SUM(D30:E30)</f>
        <v>450</v>
      </c>
      <c r="G30" s="40"/>
    </row>
    <row r="31" spans="2:8" x14ac:dyDescent="0.25">
      <c r="B31" s="105">
        <v>61104</v>
      </c>
      <c r="C31" s="106" t="s">
        <v>314</v>
      </c>
      <c r="D31" s="107">
        <v>200</v>
      </c>
      <c r="E31" s="107">
        <v>0</v>
      </c>
      <c r="F31" s="107">
        <f>SUM(D31:E31)</f>
        <v>200</v>
      </c>
      <c r="G31" s="40"/>
    </row>
    <row r="32" spans="2:8" x14ac:dyDescent="0.25">
      <c r="B32" s="85"/>
      <c r="C32" s="106"/>
      <c r="D32" s="107"/>
      <c r="E32" s="107"/>
      <c r="F32" s="107"/>
      <c r="G32" s="40"/>
    </row>
    <row r="33" spans="2:7" x14ac:dyDescent="0.25">
      <c r="B33" s="85"/>
      <c r="C33" s="103" t="s">
        <v>69</v>
      </c>
      <c r="D33" s="104">
        <f>SUM(D11+D19+D28)</f>
        <v>14530</v>
      </c>
      <c r="E33" s="104">
        <f>SUM(E11+E19+E28)</f>
        <v>7440</v>
      </c>
      <c r="F33" s="104">
        <f>SUM(D33:E33)</f>
        <v>21970</v>
      </c>
      <c r="G33" s="40"/>
    </row>
    <row r="34" spans="2:7" x14ac:dyDescent="0.25">
      <c r="B34" s="85"/>
      <c r="C34" s="106"/>
      <c r="D34" s="107"/>
      <c r="E34" s="107"/>
      <c r="F34" s="107"/>
      <c r="G34" s="40"/>
    </row>
    <row r="35" spans="2:7" x14ac:dyDescent="0.25">
      <c r="B35" s="76"/>
      <c r="C35" s="251" t="s">
        <v>60</v>
      </c>
      <c r="D35" s="252">
        <f>SUM(D11++D19+D28)</f>
        <v>14530</v>
      </c>
      <c r="E35" s="252">
        <f>SUM(E11++E19+E28)</f>
        <v>7440</v>
      </c>
      <c r="F35" s="252">
        <f>SUM(F11++F19+F28)</f>
        <v>21970</v>
      </c>
      <c r="G35" s="40"/>
    </row>
    <row r="36" spans="2:7" x14ac:dyDescent="0.25">
      <c r="B36" s="76"/>
      <c r="C36" s="251" t="s">
        <v>61</v>
      </c>
      <c r="D36" s="252">
        <f>SUM(D12+D15+D17+D20+D24+D26+D29)</f>
        <v>14530</v>
      </c>
      <c r="E36" s="252">
        <f>SUM(E12+E15+E17+E20+E24+E26+E30)</f>
        <v>7440</v>
      </c>
      <c r="F36" s="252">
        <f>SUM(F12+F15+F17+F20+F24+F26+F29)</f>
        <v>21970</v>
      </c>
      <c r="G36" s="40"/>
    </row>
    <row r="37" spans="2:7" x14ac:dyDescent="0.25">
      <c r="B37" s="76"/>
      <c r="C37" s="251" t="s">
        <v>62</v>
      </c>
      <c r="D37" s="252">
        <f>SUM(D13+D14+D16+D18+D21+D22+D23+D25+D27+D30+D31)</f>
        <v>14530</v>
      </c>
      <c r="E37" s="252">
        <f>SUM(E13+E14+E16+E18+E21+E22+E23+E25+E27+E30)</f>
        <v>7440</v>
      </c>
      <c r="F37" s="252">
        <f>SUM(F13+F14+F16+F18+F21+F22+F23+F25+F27+F30+F31)</f>
        <v>21970</v>
      </c>
      <c r="G37" s="40"/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workbookViewId="0">
      <pane ySplit="10" topLeftCell="A11" activePane="bottomLeft" state="frozen"/>
      <selection pane="bottomLeft" activeCell="I18" sqref="I18"/>
    </sheetView>
  </sheetViews>
  <sheetFormatPr baseColWidth="10" defaultRowHeight="15" x14ac:dyDescent="0.25"/>
  <cols>
    <col min="1" max="1" width="8.140625" style="19" customWidth="1"/>
    <col min="2" max="2" width="7.7109375" style="19" customWidth="1"/>
    <col min="3" max="3" width="45.85546875" style="19" customWidth="1"/>
    <col min="4" max="4" width="14.5703125" style="19" customWidth="1"/>
    <col min="5" max="5" width="16.42578125" style="19" customWidth="1"/>
    <col min="6" max="16384" width="11.42578125" style="19"/>
  </cols>
  <sheetData>
    <row r="2" spans="2:6" ht="15.75" x14ac:dyDescent="0.25">
      <c r="B2" s="383" t="s">
        <v>425</v>
      </c>
      <c r="C2" s="383"/>
      <c r="D2" s="383"/>
      <c r="E2" s="383"/>
      <c r="F2" s="383"/>
    </row>
    <row r="3" spans="2:6" ht="15.75" x14ac:dyDescent="0.25">
      <c r="B3" s="383" t="s">
        <v>220</v>
      </c>
      <c r="C3" s="383"/>
      <c r="D3" s="383"/>
      <c r="E3" s="383"/>
      <c r="F3" s="383"/>
    </row>
    <row r="4" spans="2:6" ht="15.75" x14ac:dyDescent="0.25">
      <c r="B4" s="438" t="s">
        <v>221</v>
      </c>
      <c r="C4" s="438"/>
      <c r="D4" s="438"/>
      <c r="E4" s="438"/>
      <c r="F4" s="438"/>
    </row>
    <row r="5" spans="2:6" ht="15.75" x14ac:dyDescent="0.25">
      <c r="B5" s="438" t="s">
        <v>222</v>
      </c>
      <c r="C5" s="438"/>
      <c r="D5" s="438"/>
      <c r="E5" s="438"/>
      <c r="F5" s="438"/>
    </row>
    <row r="6" spans="2:6" ht="15.75" x14ac:dyDescent="0.25">
      <c r="B6" s="438" t="s">
        <v>223</v>
      </c>
      <c r="C6" s="438"/>
      <c r="D6" s="438"/>
      <c r="E6" s="438"/>
      <c r="F6" s="438"/>
    </row>
    <row r="7" spans="2:6" ht="21.75" customHeight="1" x14ac:dyDescent="0.25">
      <c r="B7" s="439" t="s">
        <v>302</v>
      </c>
      <c r="C7" s="439"/>
      <c r="D7" s="439"/>
      <c r="E7" s="439"/>
      <c r="F7" s="439"/>
    </row>
    <row r="8" spans="2:6" ht="15.75" thickBot="1" x14ac:dyDescent="0.3">
      <c r="B8" s="31"/>
      <c r="C8" s="31"/>
      <c r="D8" s="31"/>
      <c r="E8" s="32"/>
      <c r="F8" s="31"/>
    </row>
    <row r="9" spans="2:6" x14ac:dyDescent="0.25">
      <c r="B9" s="432" t="s">
        <v>225</v>
      </c>
      <c r="C9" s="434" t="s">
        <v>226</v>
      </c>
      <c r="D9" s="53" t="s">
        <v>227</v>
      </c>
      <c r="E9" s="310" t="s">
        <v>228</v>
      </c>
      <c r="F9" s="436" t="s">
        <v>0</v>
      </c>
    </row>
    <row r="10" spans="2:6" ht="26.25" thickBot="1" x14ac:dyDescent="0.3">
      <c r="B10" s="433"/>
      <c r="C10" s="435"/>
      <c r="D10" s="54" t="s">
        <v>229</v>
      </c>
      <c r="E10" s="311" t="s">
        <v>230</v>
      </c>
      <c r="F10" s="437"/>
    </row>
    <row r="11" spans="2:6" x14ac:dyDescent="0.25">
      <c r="B11" s="55">
        <v>51</v>
      </c>
      <c r="C11" s="56" t="s">
        <v>127</v>
      </c>
      <c r="D11" s="57">
        <f>SUM(D12+D15+D17)</f>
        <v>13514.5</v>
      </c>
      <c r="E11" s="57">
        <f>SUM(E12+E15+E17)</f>
        <v>9904.5</v>
      </c>
      <c r="F11" s="57">
        <f>SUM(F12+F15+F17)</f>
        <v>23419</v>
      </c>
    </row>
    <row r="12" spans="2:6" x14ac:dyDescent="0.25">
      <c r="B12" s="59">
        <v>511</v>
      </c>
      <c r="C12" s="60" t="s">
        <v>231</v>
      </c>
      <c r="D12" s="58">
        <f>SUM(D13:D14)</f>
        <v>11740</v>
      </c>
      <c r="E12" s="58">
        <f>SUM(E13:E14)</f>
        <v>8520</v>
      </c>
      <c r="F12" s="58">
        <f>SUM(F13:F14)</f>
        <v>20260</v>
      </c>
    </row>
    <row r="13" spans="2:6" x14ac:dyDescent="0.25">
      <c r="B13" s="61">
        <v>51101</v>
      </c>
      <c r="C13" s="62" t="s">
        <v>232</v>
      </c>
      <c r="D13" s="63">
        <v>10920</v>
      </c>
      <c r="E13" s="63">
        <v>8520</v>
      </c>
      <c r="F13" s="63">
        <f>SUM(D13:E13)</f>
        <v>19440</v>
      </c>
    </row>
    <row r="14" spans="2:6" x14ac:dyDescent="0.25">
      <c r="B14" s="61">
        <v>51103</v>
      </c>
      <c r="C14" s="64" t="s">
        <v>233</v>
      </c>
      <c r="D14" s="63">
        <v>820</v>
      </c>
      <c r="E14" s="63">
        <v>0</v>
      </c>
      <c r="F14" s="63">
        <f>SUM(D14:E14)</f>
        <v>820</v>
      </c>
    </row>
    <row r="15" spans="2:6" x14ac:dyDescent="0.25">
      <c r="B15" s="59">
        <v>514</v>
      </c>
      <c r="C15" s="56" t="s">
        <v>236</v>
      </c>
      <c r="D15" s="58">
        <f>SUM(D16:D16)</f>
        <v>928.2</v>
      </c>
      <c r="E15" s="58">
        <f>SUM(E16:E16)</f>
        <v>724.2</v>
      </c>
      <c r="F15" s="58">
        <f>SUM(F16:F16)</f>
        <v>1652.4</v>
      </c>
    </row>
    <row r="16" spans="2:6" x14ac:dyDescent="0.25">
      <c r="B16" s="65">
        <v>51401</v>
      </c>
      <c r="C16" s="64" t="s">
        <v>237</v>
      </c>
      <c r="D16" s="63">
        <f>D13*8.5%</f>
        <v>928.2</v>
      </c>
      <c r="E16" s="63">
        <f>E13*8.5%</f>
        <v>724.2</v>
      </c>
      <c r="F16" s="63">
        <f>SUM(D16:E16)</f>
        <v>1652.4</v>
      </c>
    </row>
    <row r="17" spans="2:6" x14ac:dyDescent="0.25">
      <c r="B17" s="59">
        <v>515</v>
      </c>
      <c r="C17" s="66" t="s">
        <v>238</v>
      </c>
      <c r="D17" s="58">
        <f>SUM(D18:D18)</f>
        <v>846.3</v>
      </c>
      <c r="E17" s="58">
        <f>SUM(E18:E18)</f>
        <v>660.3</v>
      </c>
      <c r="F17" s="58">
        <f>SUM(F18:F18)</f>
        <v>1506.6</v>
      </c>
    </row>
    <row r="18" spans="2:6" x14ac:dyDescent="0.25">
      <c r="B18" s="65">
        <v>51501</v>
      </c>
      <c r="C18" s="64" t="s">
        <v>237</v>
      </c>
      <c r="D18" s="63">
        <f>D13*7.75%</f>
        <v>846.3</v>
      </c>
      <c r="E18" s="63">
        <f>E13*7.75%</f>
        <v>660.3</v>
      </c>
      <c r="F18" s="63">
        <f>SUM(D18:E18)</f>
        <v>1506.6</v>
      </c>
    </row>
    <row r="19" spans="2:6" x14ac:dyDescent="0.25">
      <c r="B19" s="59">
        <v>54</v>
      </c>
      <c r="C19" s="253" t="s">
        <v>282</v>
      </c>
      <c r="D19" s="254">
        <f>SUM(D20+D28+D30)</f>
        <v>8125</v>
      </c>
      <c r="E19" s="254">
        <f>SUM(E20+E28+E30)</f>
        <v>2500</v>
      </c>
      <c r="F19" s="58">
        <f>SUM(F20+F28+F30)</f>
        <v>10625</v>
      </c>
    </row>
    <row r="20" spans="2:6" x14ac:dyDescent="0.25">
      <c r="B20" s="59">
        <v>541</v>
      </c>
      <c r="C20" s="253" t="s">
        <v>242</v>
      </c>
      <c r="D20" s="254">
        <f>SUM(D21:D27)</f>
        <v>1000</v>
      </c>
      <c r="E20" s="254">
        <f>SUM(E21:E27)</f>
        <v>2000</v>
      </c>
      <c r="F20" s="58">
        <f>SUM(F21:F27)</f>
        <v>3000</v>
      </c>
    </row>
    <row r="21" spans="2:6" x14ac:dyDescent="0.25">
      <c r="B21" s="65">
        <v>54101</v>
      </c>
      <c r="C21" s="255" t="s">
        <v>288</v>
      </c>
      <c r="D21" s="256">
        <v>500</v>
      </c>
      <c r="E21" s="256">
        <v>800</v>
      </c>
      <c r="F21" s="63">
        <f t="shared" ref="F21:F27" si="0">SUM(D21:E21)</f>
        <v>1300</v>
      </c>
    </row>
    <row r="22" spans="2:6" x14ac:dyDescent="0.25">
      <c r="B22" s="65">
        <v>54105</v>
      </c>
      <c r="C22" s="255" t="s">
        <v>246</v>
      </c>
      <c r="D22" s="256">
        <v>100</v>
      </c>
      <c r="E22" s="256">
        <v>0</v>
      </c>
      <c r="F22" s="63">
        <f t="shared" si="0"/>
        <v>100</v>
      </c>
    </row>
    <row r="23" spans="2:6" x14ac:dyDescent="0.25">
      <c r="B23" s="65">
        <v>54114</v>
      </c>
      <c r="C23" s="255" t="s">
        <v>250</v>
      </c>
      <c r="D23" s="256">
        <v>200</v>
      </c>
      <c r="E23" s="256">
        <v>0</v>
      </c>
      <c r="F23" s="63">
        <f t="shared" si="0"/>
        <v>200</v>
      </c>
    </row>
    <row r="24" spans="2:6" x14ac:dyDescent="0.25">
      <c r="B24" s="65">
        <v>54115</v>
      </c>
      <c r="C24" s="255" t="s">
        <v>251</v>
      </c>
      <c r="D24" s="256">
        <v>50</v>
      </c>
      <c r="E24" s="256">
        <v>100</v>
      </c>
      <c r="F24" s="63">
        <f t="shared" si="0"/>
        <v>150</v>
      </c>
    </row>
    <row r="25" spans="2:6" x14ac:dyDescent="0.25">
      <c r="B25" s="65">
        <v>54116</v>
      </c>
      <c r="C25" s="255" t="s">
        <v>303</v>
      </c>
      <c r="D25" s="256">
        <v>0</v>
      </c>
      <c r="E25" s="256">
        <v>100</v>
      </c>
      <c r="F25" s="63">
        <f t="shared" si="0"/>
        <v>100</v>
      </c>
    </row>
    <row r="26" spans="2:6" x14ac:dyDescent="0.25">
      <c r="B26" s="65">
        <v>54118</v>
      </c>
      <c r="C26" s="255" t="s">
        <v>291</v>
      </c>
      <c r="D26" s="256">
        <v>50</v>
      </c>
      <c r="E26" s="256">
        <v>500</v>
      </c>
      <c r="F26" s="63">
        <f t="shared" si="0"/>
        <v>550</v>
      </c>
    </row>
    <row r="27" spans="2:6" x14ac:dyDescent="0.25">
      <c r="B27" s="65">
        <v>54199</v>
      </c>
      <c r="C27" s="255" t="s">
        <v>253</v>
      </c>
      <c r="D27" s="256">
        <v>100</v>
      </c>
      <c r="E27" s="256">
        <v>500</v>
      </c>
      <c r="F27" s="63">
        <f t="shared" si="0"/>
        <v>600</v>
      </c>
    </row>
    <row r="28" spans="2:6" x14ac:dyDescent="0.25">
      <c r="B28" s="59">
        <v>543</v>
      </c>
      <c r="C28" s="253" t="s">
        <v>254</v>
      </c>
      <c r="D28" s="254">
        <f>SUM(D29:D29)</f>
        <v>125</v>
      </c>
      <c r="E28" s="254">
        <f>SUM(E29:E29)</f>
        <v>500</v>
      </c>
      <c r="F28" s="58">
        <f>SUM(F29:F29)</f>
        <v>625</v>
      </c>
    </row>
    <row r="29" spans="2:6" x14ac:dyDescent="0.25">
      <c r="B29" s="65">
        <v>54304</v>
      </c>
      <c r="C29" s="255" t="s">
        <v>292</v>
      </c>
      <c r="D29" s="256">
        <v>125</v>
      </c>
      <c r="E29" s="256">
        <v>500</v>
      </c>
      <c r="F29" s="63">
        <f>SUM(D29:E29)</f>
        <v>625</v>
      </c>
    </row>
    <row r="30" spans="2:6" ht="16.5" customHeight="1" x14ac:dyDescent="0.25">
      <c r="B30" s="59">
        <v>545</v>
      </c>
      <c r="C30" s="253" t="s">
        <v>301</v>
      </c>
      <c r="D30" s="254">
        <f>SUM(D31:D31)</f>
        <v>7000</v>
      </c>
      <c r="E30" s="254">
        <f>SUM(E31:E31)</f>
        <v>0</v>
      </c>
      <c r="F30" s="58">
        <f>SUM(F31:F31)</f>
        <v>7000</v>
      </c>
    </row>
    <row r="31" spans="2:6" x14ac:dyDescent="0.25">
      <c r="B31" s="65">
        <v>54503</v>
      </c>
      <c r="C31" s="255" t="s">
        <v>295</v>
      </c>
      <c r="D31" s="256">
        <v>7000</v>
      </c>
      <c r="E31" s="256">
        <v>0</v>
      </c>
      <c r="F31" s="63">
        <f>SUM(D31:E31)</f>
        <v>7000</v>
      </c>
    </row>
    <row r="32" spans="2:6" x14ac:dyDescent="0.25">
      <c r="B32" s="59">
        <v>61</v>
      </c>
      <c r="C32" s="253" t="s">
        <v>277</v>
      </c>
      <c r="D32" s="254">
        <f t="shared" ref="D32:F33" si="1">SUM(D33:D33)</f>
        <v>300</v>
      </c>
      <c r="E32" s="254">
        <f t="shared" si="1"/>
        <v>0</v>
      </c>
      <c r="F32" s="58">
        <f t="shared" si="1"/>
        <v>300</v>
      </c>
    </row>
    <row r="33" spans="2:6" x14ac:dyDescent="0.25">
      <c r="B33" s="59">
        <v>611</v>
      </c>
      <c r="C33" s="253" t="s">
        <v>305</v>
      </c>
      <c r="D33" s="254">
        <f t="shared" si="1"/>
        <v>300</v>
      </c>
      <c r="E33" s="254">
        <f t="shared" si="1"/>
        <v>0</v>
      </c>
      <c r="F33" s="58">
        <f t="shared" si="1"/>
        <v>300</v>
      </c>
    </row>
    <row r="34" spans="2:6" x14ac:dyDescent="0.25">
      <c r="B34" s="65">
        <v>61101</v>
      </c>
      <c r="C34" s="255" t="s">
        <v>279</v>
      </c>
      <c r="D34" s="256">
        <v>300</v>
      </c>
      <c r="E34" s="256"/>
      <c r="F34" s="63">
        <f>SUM(D34:E34)</f>
        <v>300</v>
      </c>
    </row>
    <row r="35" spans="2:6" x14ac:dyDescent="0.25">
      <c r="B35" s="65"/>
      <c r="C35" s="255"/>
      <c r="D35" s="256"/>
      <c r="E35" s="256"/>
      <c r="F35" s="63"/>
    </row>
    <row r="36" spans="2:6" x14ac:dyDescent="0.25">
      <c r="B36" s="65"/>
      <c r="C36" s="253" t="s">
        <v>69</v>
      </c>
      <c r="D36" s="254">
        <f>SUM(D11+D19+D32)</f>
        <v>21939.5</v>
      </c>
      <c r="E36" s="254">
        <f>SUM(E11+E19+E32)</f>
        <v>12404.5</v>
      </c>
      <c r="F36" s="58">
        <f>SUM(D36:E36)</f>
        <v>34344</v>
      </c>
    </row>
    <row r="37" spans="2:6" x14ac:dyDescent="0.25">
      <c r="B37" s="65"/>
      <c r="C37" s="255"/>
      <c r="D37" s="256"/>
      <c r="E37" s="256"/>
      <c r="F37" s="63"/>
    </row>
    <row r="38" spans="2:6" x14ac:dyDescent="0.25">
      <c r="B38" s="59"/>
      <c r="C38" s="66" t="s">
        <v>60</v>
      </c>
      <c r="D38" s="58">
        <f>SUM(D11+D19+D32)</f>
        <v>21939.5</v>
      </c>
      <c r="E38" s="58">
        <f>SUM(E11+E19+E32)</f>
        <v>12404.5</v>
      </c>
      <c r="F38" s="58">
        <f>SUM(F11+F19+F32)</f>
        <v>34344</v>
      </c>
    </row>
    <row r="39" spans="2:6" x14ac:dyDescent="0.25">
      <c r="B39" s="59"/>
      <c r="C39" s="66" t="s">
        <v>61</v>
      </c>
      <c r="D39" s="58">
        <f>SUM(D12+D15+D17+D20+D28+D30+D33)</f>
        <v>21939.5</v>
      </c>
      <c r="E39" s="58">
        <f>SUM(E12+E15+E17+E20+E28+E30+E33)</f>
        <v>12404.5</v>
      </c>
      <c r="F39" s="58">
        <f>SUM(F12+F15+F17+F20+F28+F30+F33)</f>
        <v>34344</v>
      </c>
    </row>
    <row r="40" spans="2:6" x14ac:dyDescent="0.25">
      <c r="B40" s="59"/>
      <c r="C40" s="66" t="s">
        <v>62</v>
      </c>
      <c r="D40" s="58">
        <f>SUM(D13+D14+D16+D18+D21+D22+D23+D24+D25+D26+D27+D29+D31+D34)</f>
        <v>21939.5</v>
      </c>
      <c r="E40" s="58">
        <f>SUM(E13+E14+E16+E18+E21+E22+E23+E24+E25+E26+E27+E29+E31+E34)</f>
        <v>12404.5</v>
      </c>
      <c r="F40" s="58">
        <f>SUM(F13+F14+F16+F18+F21+F22+F23+F24+F25+F26+F27+F29+F31+F34)</f>
        <v>34344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pane ySplit="10" topLeftCell="A17" activePane="bottomLeft" state="frozen"/>
      <selection pane="bottomLeft" activeCell="G31" sqref="G31"/>
    </sheetView>
  </sheetViews>
  <sheetFormatPr baseColWidth="10" defaultRowHeight="15" x14ac:dyDescent="0.25"/>
  <cols>
    <col min="1" max="1" width="5" style="67" customWidth="1"/>
    <col min="2" max="2" width="8.28515625" style="67" customWidth="1"/>
    <col min="3" max="3" width="49.7109375" style="67" customWidth="1"/>
    <col min="4" max="4" width="13.5703125" style="67" customWidth="1"/>
    <col min="5" max="5" width="16.140625" style="67" customWidth="1"/>
    <col min="6" max="16384" width="11.42578125" style="67"/>
  </cols>
  <sheetData>
    <row r="2" spans="2:6" ht="15.75" x14ac:dyDescent="0.25">
      <c r="B2" s="441" t="s">
        <v>438</v>
      </c>
      <c r="C2" s="441"/>
      <c r="D2" s="441"/>
      <c r="E2" s="441"/>
      <c r="F2" s="441"/>
    </row>
    <row r="3" spans="2:6" ht="15.75" customHeight="1" x14ac:dyDescent="0.25">
      <c r="B3" s="441" t="s">
        <v>220</v>
      </c>
      <c r="C3" s="441"/>
      <c r="D3" s="441"/>
      <c r="E3" s="441"/>
      <c r="F3" s="441"/>
    </row>
    <row r="4" spans="2:6" ht="15.75" x14ac:dyDescent="0.25">
      <c r="B4" s="442" t="s">
        <v>306</v>
      </c>
      <c r="C4" s="442"/>
      <c r="D4" s="442"/>
      <c r="E4" s="442"/>
      <c r="F4" s="442"/>
    </row>
    <row r="5" spans="2:6" ht="15.75" x14ac:dyDescent="0.25">
      <c r="B5" s="442" t="s">
        <v>307</v>
      </c>
      <c r="C5" s="442"/>
      <c r="D5" s="442"/>
      <c r="E5" s="442"/>
      <c r="F5" s="442"/>
    </row>
    <row r="6" spans="2:6" ht="15.75" x14ac:dyDescent="0.25">
      <c r="B6" s="442" t="s">
        <v>223</v>
      </c>
      <c r="C6" s="442"/>
      <c r="D6" s="442"/>
      <c r="E6" s="442"/>
      <c r="F6" s="442"/>
    </row>
    <row r="7" spans="2:6" ht="15.75" x14ac:dyDescent="0.25">
      <c r="B7" s="443" t="s">
        <v>308</v>
      </c>
      <c r="C7" s="443"/>
      <c r="D7" s="443"/>
      <c r="E7" s="443"/>
      <c r="F7" s="443"/>
    </row>
    <row r="8" spans="2:6" x14ac:dyDescent="0.25">
      <c r="B8" s="144"/>
      <c r="C8" s="144"/>
      <c r="D8" s="144"/>
      <c r="E8" s="144"/>
      <c r="F8" s="144"/>
    </row>
    <row r="9" spans="2:6" x14ac:dyDescent="0.25">
      <c r="B9" s="440" t="s">
        <v>225</v>
      </c>
      <c r="C9" s="440" t="s">
        <v>226</v>
      </c>
      <c r="D9" s="145" t="s">
        <v>227</v>
      </c>
      <c r="E9" s="145" t="s">
        <v>228</v>
      </c>
      <c r="F9" s="440" t="s">
        <v>0</v>
      </c>
    </row>
    <row r="10" spans="2:6" ht="25.5" x14ac:dyDescent="0.25">
      <c r="B10" s="440"/>
      <c r="C10" s="440"/>
      <c r="D10" s="145" t="s">
        <v>229</v>
      </c>
      <c r="E10" s="328" t="s">
        <v>230</v>
      </c>
      <c r="F10" s="440"/>
    </row>
    <row r="11" spans="2:6" x14ac:dyDescent="0.25">
      <c r="B11" s="146">
        <v>51</v>
      </c>
      <c r="C11" s="147" t="s">
        <v>127</v>
      </c>
      <c r="D11" s="148">
        <f>SUM(D12+D15+D17)</f>
        <v>5681.25</v>
      </c>
      <c r="E11" s="148">
        <f>SUM(E12+E15+E17)</f>
        <v>5231.25</v>
      </c>
      <c r="F11" s="148">
        <f>SUM(F12+F15+F17)</f>
        <v>10912.5</v>
      </c>
    </row>
    <row r="12" spans="2:6" x14ac:dyDescent="0.25">
      <c r="B12" s="149">
        <v>511</v>
      </c>
      <c r="C12" s="150" t="s">
        <v>231</v>
      </c>
      <c r="D12" s="151">
        <f>SUM(D13:D14)</f>
        <v>4950</v>
      </c>
      <c r="E12" s="151">
        <f>SUM(E13:E14)</f>
        <v>4500</v>
      </c>
      <c r="F12" s="151">
        <f>SUM(F13:F14)</f>
        <v>9450</v>
      </c>
    </row>
    <row r="13" spans="2:6" x14ac:dyDescent="0.25">
      <c r="B13" s="152">
        <v>51101</v>
      </c>
      <c r="C13" s="153" t="s">
        <v>232</v>
      </c>
      <c r="D13" s="154">
        <v>4500</v>
      </c>
      <c r="E13" s="154">
        <v>4500</v>
      </c>
      <c r="F13" s="154">
        <f>SUM(D13:E13)</f>
        <v>9000</v>
      </c>
    </row>
    <row r="14" spans="2:6" x14ac:dyDescent="0.25">
      <c r="B14" s="152">
        <v>51103</v>
      </c>
      <c r="C14" s="155" t="s">
        <v>233</v>
      </c>
      <c r="D14" s="154">
        <v>450</v>
      </c>
      <c r="E14" s="156">
        <v>0</v>
      </c>
      <c r="F14" s="157">
        <f>SUM(D14:E14)</f>
        <v>450</v>
      </c>
    </row>
    <row r="15" spans="2:6" x14ac:dyDescent="0.25">
      <c r="B15" s="158">
        <v>514</v>
      </c>
      <c r="C15" s="159" t="s">
        <v>236</v>
      </c>
      <c r="D15" s="160">
        <f>SUM(D16:D16)</f>
        <v>382.5</v>
      </c>
      <c r="E15" s="160">
        <f>SUM(E16:E16)</f>
        <v>382.5</v>
      </c>
      <c r="F15" s="160">
        <f>SUM(F16:F16)</f>
        <v>765</v>
      </c>
    </row>
    <row r="16" spans="2:6" x14ac:dyDescent="0.25">
      <c r="B16" s="161">
        <v>51401</v>
      </c>
      <c r="C16" s="162" t="s">
        <v>237</v>
      </c>
      <c r="D16" s="163">
        <f>D13*8.5%</f>
        <v>382.5</v>
      </c>
      <c r="E16" s="163">
        <f>E13*8.5%</f>
        <v>382.5</v>
      </c>
      <c r="F16" s="163">
        <f>SUM(D16:E16)</f>
        <v>765</v>
      </c>
    </row>
    <row r="17" spans="2:6" x14ac:dyDescent="0.25">
      <c r="B17" s="158">
        <v>515</v>
      </c>
      <c r="C17" s="164" t="s">
        <v>238</v>
      </c>
      <c r="D17" s="160">
        <f>SUM(D18:D18)</f>
        <v>348.75</v>
      </c>
      <c r="E17" s="160">
        <f>SUM(E18:E18)</f>
        <v>348.75</v>
      </c>
      <c r="F17" s="160">
        <f>SUM(F18:F18)</f>
        <v>697.5</v>
      </c>
    </row>
    <row r="18" spans="2:6" x14ac:dyDescent="0.25">
      <c r="B18" s="161">
        <v>51501</v>
      </c>
      <c r="C18" s="162" t="s">
        <v>237</v>
      </c>
      <c r="D18" s="163">
        <f>D13*7.75%</f>
        <v>348.75</v>
      </c>
      <c r="E18" s="163">
        <f>E13*7.75%</f>
        <v>348.75</v>
      </c>
      <c r="F18" s="163">
        <f>SUM(D18:E18)</f>
        <v>697.5</v>
      </c>
    </row>
    <row r="19" spans="2:6" x14ac:dyDescent="0.25">
      <c r="B19" s="149">
        <v>54</v>
      </c>
      <c r="C19" s="165" t="s">
        <v>282</v>
      </c>
      <c r="D19" s="148">
        <f>+D20+D25+D29</f>
        <v>697</v>
      </c>
      <c r="E19" s="148">
        <f t="shared" ref="E19:F19" si="0">+E20+E25+E29</f>
        <v>0</v>
      </c>
      <c r="F19" s="148">
        <f t="shared" si="0"/>
        <v>697</v>
      </c>
    </row>
    <row r="20" spans="2:6" x14ac:dyDescent="0.25">
      <c r="B20" s="149">
        <v>541</v>
      </c>
      <c r="C20" s="165" t="s">
        <v>242</v>
      </c>
      <c r="D20" s="151">
        <f>SUM(D21:D24)</f>
        <v>525</v>
      </c>
      <c r="E20" s="151">
        <f t="shared" ref="E20:F20" si="1">SUM(E21:E24)</f>
        <v>0</v>
      </c>
      <c r="F20" s="151">
        <f t="shared" si="1"/>
        <v>525</v>
      </c>
    </row>
    <row r="21" spans="2:6" x14ac:dyDescent="0.25">
      <c r="B21" s="166">
        <v>54105</v>
      </c>
      <c r="C21" s="155" t="s">
        <v>246</v>
      </c>
      <c r="D21" s="154">
        <v>150</v>
      </c>
      <c r="E21" s="154"/>
      <c r="F21" s="154">
        <f>SUM(D21:E21)</f>
        <v>150</v>
      </c>
    </row>
    <row r="22" spans="2:6" x14ac:dyDescent="0.25">
      <c r="B22" s="166">
        <v>54114</v>
      </c>
      <c r="C22" s="155" t="s">
        <v>250</v>
      </c>
      <c r="D22" s="154">
        <v>150</v>
      </c>
      <c r="E22" s="154"/>
      <c r="F22" s="154">
        <f>SUM(D22:E22)</f>
        <v>150</v>
      </c>
    </row>
    <row r="23" spans="2:6" x14ac:dyDescent="0.25">
      <c r="B23" s="166">
        <v>54115</v>
      </c>
      <c r="C23" s="155" t="s">
        <v>251</v>
      </c>
      <c r="D23" s="154">
        <v>125</v>
      </c>
      <c r="E23" s="154"/>
      <c r="F23" s="154">
        <f>SUM(D23:E23)</f>
        <v>125</v>
      </c>
    </row>
    <row r="24" spans="2:6" x14ac:dyDescent="0.25">
      <c r="B24" s="166">
        <v>54199</v>
      </c>
      <c r="C24" s="155" t="s">
        <v>253</v>
      </c>
      <c r="D24" s="154">
        <v>100</v>
      </c>
      <c r="E24" s="154"/>
      <c r="F24" s="154">
        <f>SUM(D24:E24)</f>
        <v>100</v>
      </c>
    </row>
    <row r="25" spans="2:6" x14ac:dyDescent="0.25">
      <c r="B25" s="149">
        <v>543</v>
      </c>
      <c r="C25" s="165" t="s">
        <v>254</v>
      </c>
      <c r="D25" s="151">
        <f>SUM(D26:D28)</f>
        <v>150</v>
      </c>
      <c r="E25" s="151">
        <f>SUM(E26:E28)</f>
        <v>0</v>
      </c>
      <c r="F25" s="151">
        <f t="shared" ref="F25" si="2">SUM(F26:F28)</f>
        <v>150</v>
      </c>
    </row>
    <row r="26" spans="2:6" x14ac:dyDescent="0.25">
      <c r="B26" s="166">
        <v>54301</v>
      </c>
      <c r="C26" s="155" t="s">
        <v>255</v>
      </c>
      <c r="D26" s="154">
        <v>50</v>
      </c>
      <c r="E26" s="154"/>
      <c r="F26" s="154">
        <f t="shared" ref="F26:F30" si="3">SUM(D26:E26)</f>
        <v>50</v>
      </c>
    </row>
    <row r="27" spans="2:6" x14ac:dyDescent="0.25">
      <c r="B27" s="166">
        <v>54313</v>
      </c>
      <c r="C27" s="155" t="s">
        <v>309</v>
      </c>
      <c r="D27" s="154">
        <v>50</v>
      </c>
      <c r="E27" s="154"/>
      <c r="F27" s="154">
        <f t="shared" si="3"/>
        <v>50</v>
      </c>
    </row>
    <row r="28" spans="2:6" x14ac:dyDescent="0.25">
      <c r="B28" s="166">
        <v>54399</v>
      </c>
      <c r="C28" s="155" t="s">
        <v>310</v>
      </c>
      <c r="D28" s="154">
        <v>50</v>
      </c>
      <c r="E28" s="154"/>
      <c r="F28" s="154">
        <f t="shared" si="3"/>
        <v>50</v>
      </c>
    </row>
    <row r="29" spans="2:6" x14ac:dyDescent="0.25">
      <c r="B29" s="146">
        <v>544</v>
      </c>
      <c r="C29" s="147" t="s">
        <v>261</v>
      </c>
      <c r="D29" s="151">
        <f>SUM(D30)</f>
        <v>22</v>
      </c>
      <c r="E29" s="151">
        <v>0</v>
      </c>
      <c r="F29" s="148">
        <f t="shared" si="3"/>
        <v>22</v>
      </c>
    </row>
    <row r="30" spans="2:6" x14ac:dyDescent="0.25">
      <c r="B30" s="166">
        <v>54401</v>
      </c>
      <c r="C30" s="155" t="s">
        <v>262</v>
      </c>
      <c r="D30" s="167">
        <v>22</v>
      </c>
      <c r="E30" s="167"/>
      <c r="F30" s="168">
        <f t="shared" si="3"/>
        <v>22</v>
      </c>
    </row>
    <row r="31" spans="2:6" x14ac:dyDescent="0.25">
      <c r="B31" s="166"/>
      <c r="C31" s="155"/>
      <c r="D31" s="257"/>
      <c r="E31" s="257"/>
      <c r="F31" s="154"/>
    </row>
    <row r="32" spans="2:6" x14ac:dyDescent="0.25">
      <c r="B32" s="166"/>
      <c r="C32" s="165" t="s">
        <v>69</v>
      </c>
      <c r="D32" s="169">
        <f>SUM(D11+D19)</f>
        <v>6378.25</v>
      </c>
      <c r="E32" s="169">
        <f>SUM(E11+E19)</f>
        <v>5231.25</v>
      </c>
      <c r="F32" s="169">
        <f>SUM(D32:E32)</f>
        <v>11609.5</v>
      </c>
    </row>
    <row r="33" spans="2:6" x14ac:dyDescent="0.25">
      <c r="B33" s="166"/>
      <c r="C33" s="165"/>
      <c r="D33" s="169"/>
      <c r="E33" s="169"/>
      <c r="F33" s="169"/>
    </row>
    <row r="34" spans="2:6" x14ac:dyDescent="0.25">
      <c r="B34" s="149"/>
      <c r="C34" s="165" t="s">
        <v>60</v>
      </c>
      <c r="D34" s="169">
        <f>SUM(D11+D19)</f>
        <v>6378.25</v>
      </c>
      <c r="E34" s="169">
        <f>SUM(E11+E19)</f>
        <v>5231.25</v>
      </c>
      <c r="F34" s="169">
        <f>SUM(F11+F19)</f>
        <v>11609.5</v>
      </c>
    </row>
    <row r="35" spans="2:6" x14ac:dyDescent="0.25">
      <c r="B35" s="149"/>
      <c r="C35" s="165" t="s">
        <v>61</v>
      </c>
      <c r="D35" s="169">
        <f>SUM(D12+D15+D17+D20+D25+D29)</f>
        <v>6378.25</v>
      </c>
      <c r="E35" s="169">
        <f>SUM(E12+E15+E17+E20+E25+E29)</f>
        <v>5231.25</v>
      </c>
      <c r="F35" s="169">
        <f>SUM(F12+F15+F17+F20+F25+F29)</f>
        <v>11609.5</v>
      </c>
    </row>
    <row r="36" spans="2:6" x14ac:dyDescent="0.25">
      <c r="B36" s="149"/>
      <c r="C36" s="165" t="s">
        <v>62</v>
      </c>
      <c r="D36" s="169">
        <f>SUM(D13+D14+D16+D18+D21+D22+D23+D24+D26+D27+D28+D30)</f>
        <v>6378.25</v>
      </c>
      <c r="E36" s="169">
        <f>SUM(E13+E14+E16+E18+E21+E22+E23+E24+E26+E27+E28+E30)</f>
        <v>5231.25</v>
      </c>
      <c r="F36" s="169">
        <f>SUM(F13+F14+F16+F18+F21+F22+F23+F24+F26+F27+F28+F30)</f>
        <v>11609.5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workbookViewId="0">
      <pane ySplit="10" topLeftCell="A11" activePane="bottomLeft" state="frozen"/>
      <selection pane="bottomLeft" activeCell="H27" sqref="H27"/>
    </sheetView>
  </sheetViews>
  <sheetFormatPr baseColWidth="10" defaultRowHeight="15" x14ac:dyDescent="0.25"/>
  <cols>
    <col min="1" max="1" width="5.42578125" style="28" customWidth="1"/>
    <col min="2" max="2" width="9.140625" style="28" customWidth="1"/>
    <col min="3" max="3" width="42.7109375" style="28" customWidth="1"/>
    <col min="4" max="4" width="13.42578125" style="28" customWidth="1"/>
    <col min="5" max="5" width="15.85546875" style="28" customWidth="1"/>
    <col min="6" max="6" width="11.28515625" style="28" bestFit="1" customWidth="1"/>
    <col min="7" max="16384" width="11.42578125" style="28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222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5.75" x14ac:dyDescent="0.25">
      <c r="B7" s="424" t="s">
        <v>143</v>
      </c>
      <c r="C7" s="424"/>
      <c r="D7" s="424"/>
      <c r="E7" s="424"/>
      <c r="F7" s="424"/>
    </row>
    <row r="8" spans="2:6" x14ac:dyDescent="0.25">
      <c r="B8" s="29"/>
      <c r="C8" s="29"/>
      <c r="D8" s="29"/>
      <c r="E8" s="30"/>
      <c r="F8" s="29"/>
    </row>
    <row r="9" spans="2:6" x14ac:dyDescent="0.25">
      <c r="B9" s="444" t="s">
        <v>225</v>
      </c>
      <c r="C9" s="444" t="s">
        <v>226</v>
      </c>
      <c r="D9" s="258" t="s">
        <v>227</v>
      </c>
      <c r="E9" s="258" t="s">
        <v>228</v>
      </c>
      <c r="F9" s="445" t="s">
        <v>0</v>
      </c>
    </row>
    <row r="10" spans="2:6" ht="26.25" x14ac:dyDescent="0.25">
      <c r="B10" s="444"/>
      <c r="C10" s="444"/>
      <c r="D10" s="258" t="s">
        <v>229</v>
      </c>
      <c r="E10" s="327" t="s">
        <v>230</v>
      </c>
      <c r="F10" s="445"/>
    </row>
    <row r="11" spans="2:6" x14ac:dyDescent="0.25">
      <c r="B11" s="71">
        <v>51</v>
      </c>
      <c r="C11" s="72" t="s">
        <v>127</v>
      </c>
      <c r="D11" s="246">
        <f>SUM(D12+D15+D17+D19)</f>
        <v>46423.25</v>
      </c>
      <c r="E11" s="246">
        <f>SUM(E12+E15+E17+E19)</f>
        <v>7928.25</v>
      </c>
      <c r="F11" s="241">
        <f>SUM(F12+F15+F17+F19)</f>
        <v>54351.5</v>
      </c>
    </row>
    <row r="12" spans="2:6" x14ac:dyDescent="0.25">
      <c r="B12" s="76">
        <v>511</v>
      </c>
      <c r="C12" s="77" t="s">
        <v>231</v>
      </c>
      <c r="D12" s="241">
        <f>SUM(D13:D14)</f>
        <v>18690</v>
      </c>
      <c r="E12" s="241">
        <f>SUM(E13:E14)</f>
        <v>6820</v>
      </c>
      <c r="F12" s="241">
        <f>SUM(F13:F14)</f>
        <v>25510</v>
      </c>
    </row>
    <row r="13" spans="2:6" x14ac:dyDescent="0.25">
      <c r="B13" s="79">
        <v>51101</v>
      </c>
      <c r="C13" s="80" t="s">
        <v>232</v>
      </c>
      <c r="D13" s="244">
        <v>16820</v>
      </c>
      <c r="E13" s="244">
        <v>6820</v>
      </c>
      <c r="F13" s="244">
        <f>SUM(D13:E13)</f>
        <v>23640</v>
      </c>
    </row>
    <row r="14" spans="2:6" x14ac:dyDescent="0.25">
      <c r="B14" s="79">
        <v>51103</v>
      </c>
      <c r="C14" s="82" t="s">
        <v>233</v>
      </c>
      <c r="D14" s="244">
        <v>1870</v>
      </c>
      <c r="E14" s="244">
        <v>0</v>
      </c>
      <c r="F14" s="244">
        <f>SUM(D14:E14)</f>
        <v>1870</v>
      </c>
    </row>
    <row r="15" spans="2:6" x14ac:dyDescent="0.25">
      <c r="B15" s="109">
        <v>512</v>
      </c>
      <c r="C15" s="72" t="s">
        <v>311</v>
      </c>
      <c r="D15" s="241">
        <f>SUM(D16:D16)</f>
        <v>25000</v>
      </c>
      <c r="E15" s="241">
        <f>SUM(E16:E16)</f>
        <v>0</v>
      </c>
      <c r="F15" s="241">
        <f>SUM(F16:F16)</f>
        <v>25000</v>
      </c>
    </row>
    <row r="16" spans="2:6" x14ac:dyDescent="0.25">
      <c r="B16" s="79">
        <v>51201</v>
      </c>
      <c r="C16" s="88" t="s">
        <v>232</v>
      </c>
      <c r="D16" s="244">
        <v>25000</v>
      </c>
      <c r="E16" s="244">
        <v>0</v>
      </c>
      <c r="F16" s="244">
        <f>SUM(D16:E16)</f>
        <v>25000</v>
      </c>
    </row>
    <row r="17" spans="2:6" x14ac:dyDescent="0.25">
      <c r="B17" s="76">
        <v>514</v>
      </c>
      <c r="C17" s="72" t="s">
        <v>236</v>
      </c>
      <c r="D17" s="241">
        <f>SUM(D18:D18)</f>
        <v>1429.7</v>
      </c>
      <c r="E17" s="241">
        <f>SUM(E18:E18)</f>
        <v>579.70000000000005</v>
      </c>
      <c r="F17" s="241">
        <f>SUM(F18:F18)</f>
        <v>2009.4</v>
      </c>
    </row>
    <row r="18" spans="2:6" x14ac:dyDescent="0.25">
      <c r="B18" s="85">
        <v>51401</v>
      </c>
      <c r="C18" s="82" t="s">
        <v>237</v>
      </c>
      <c r="D18" s="244">
        <f>D13*8.5%</f>
        <v>1429.7</v>
      </c>
      <c r="E18" s="244">
        <f>E13*8.5%</f>
        <v>579.70000000000005</v>
      </c>
      <c r="F18" s="244">
        <f>SUM(D18:E18)</f>
        <v>2009.4</v>
      </c>
    </row>
    <row r="19" spans="2:6" x14ac:dyDescent="0.25">
      <c r="B19" s="76">
        <v>515</v>
      </c>
      <c r="C19" s="86" t="s">
        <v>238</v>
      </c>
      <c r="D19" s="241">
        <f>SUM(D20:D20)</f>
        <v>1303.55</v>
      </c>
      <c r="E19" s="241">
        <f>SUM(E20:E20)</f>
        <v>528.54999999999995</v>
      </c>
      <c r="F19" s="241">
        <f>SUM(F20:F20)</f>
        <v>1832.1</v>
      </c>
    </row>
    <row r="20" spans="2:6" x14ac:dyDescent="0.25">
      <c r="B20" s="85">
        <v>51501</v>
      </c>
      <c r="C20" s="82" t="s">
        <v>237</v>
      </c>
      <c r="D20" s="244">
        <f>D13*7.75%</f>
        <v>1303.55</v>
      </c>
      <c r="E20" s="244">
        <f>E13*7.75%</f>
        <v>528.54999999999995</v>
      </c>
      <c r="F20" s="244">
        <f>SUM(D20:E20)</f>
        <v>1832.1</v>
      </c>
    </row>
    <row r="21" spans="2:6" x14ac:dyDescent="0.25">
      <c r="B21" s="76">
        <v>54</v>
      </c>
      <c r="C21" s="86" t="s">
        <v>282</v>
      </c>
      <c r="D21" s="241">
        <f>SUM(D22+D30)</f>
        <v>13822.48</v>
      </c>
      <c r="E21" s="241">
        <f>SUM(E22)</f>
        <v>0</v>
      </c>
      <c r="F21" s="241">
        <f>SUM(F22+F30)</f>
        <v>13822.48</v>
      </c>
    </row>
    <row r="22" spans="2:6" x14ac:dyDescent="0.25">
      <c r="B22" s="76">
        <v>541</v>
      </c>
      <c r="C22" s="86" t="s">
        <v>242</v>
      </c>
      <c r="D22" s="241">
        <f>SUM(D23:D29)</f>
        <v>13222.48</v>
      </c>
      <c r="E22" s="241">
        <f>SUM(E23:E29)</f>
        <v>0</v>
      </c>
      <c r="F22" s="241">
        <f>SUM(F23:F29)</f>
        <v>13222.48</v>
      </c>
    </row>
    <row r="23" spans="2:6" x14ac:dyDescent="0.25">
      <c r="B23" s="85">
        <v>54101</v>
      </c>
      <c r="C23" s="82" t="s">
        <v>243</v>
      </c>
      <c r="D23" s="244">
        <v>5265.12</v>
      </c>
      <c r="E23" s="244"/>
      <c r="F23" s="244">
        <f t="shared" ref="F23:F29" si="0">SUM(D23:E23)</f>
        <v>5265.12</v>
      </c>
    </row>
    <row r="24" spans="2:6" x14ac:dyDescent="0.25">
      <c r="B24" s="85">
        <v>54104</v>
      </c>
      <c r="C24" s="99" t="s">
        <v>370</v>
      </c>
      <c r="D24" s="107">
        <v>37.44</v>
      </c>
      <c r="E24" s="104"/>
      <c r="F24" s="107">
        <f>D24</f>
        <v>37.44</v>
      </c>
    </row>
    <row r="25" spans="2:6" x14ac:dyDescent="0.25">
      <c r="B25" s="102">
        <v>54105</v>
      </c>
      <c r="C25" s="110" t="s">
        <v>246</v>
      </c>
      <c r="D25" s="259">
        <v>1222.55</v>
      </c>
      <c r="E25" s="259"/>
      <c r="F25" s="244">
        <f t="shared" si="0"/>
        <v>1222.55</v>
      </c>
    </row>
    <row r="26" spans="2:6" x14ac:dyDescent="0.25">
      <c r="B26" s="85">
        <v>54107</v>
      </c>
      <c r="C26" s="82" t="s">
        <v>312</v>
      </c>
      <c r="D26" s="244">
        <v>2742.83</v>
      </c>
      <c r="E26" s="244"/>
      <c r="F26" s="244">
        <f t="shared" si="0"/>
        <v>2742.83</v>
      </c>
    </row>
    <row r="27" spans="2:6" x14ac:dyDescent="0.25">
      <c r="B27" s="102">
        <v>54114</v>
      </c>
      <c r="C27" s="110" t="s">
        <v>250</v>
      </c>
      <c r="D27" s="259">
        <v>144.83000000000001</v>
      </c>
      <c r="E27" s="259"/>
      <c r="F27" s="244">
        <f t="shared" si="0"/>
        <v>144.83000000000001</v>
      </c>
    </row>
    <row r="28" spans="2:6" x14ac:dyDescent="0.25">
      <c r="B28" s="102">
        <v>54115</v>
      </c>
      <c r="C28" s="110" t="s">
        <v>313</v>
      </c>
      <c r="D28" s="259">
        <v>1889.2</v>
      </c>
      <c r="E28" s="259"/>
      <c r="F28" s="244">
        <f t="shared" si="0"/>
        <v>1889.2</v>
      </c>
    </row>
    <row r="29" spans="2:6" x14ac:dyDescent="0.25">
      <c r="B29" s="85">
        <v>54199</v>
      </c>
      <c r="C29" s="82" t="s">
        <v>253</v>
      </c>
      <c r="D29" s="244">
        <v>1920.51</v>
      </c>
      <c r="E29" s="244"/>
      <c r="F29" s="244">
        <f t="shared" si="0"/>
        <v>1920.51</v>
      </c>
    </row>
    <row r="30" spans="2:6" x14ac:dyDescent="0.25">
      <c r="B30" s="76">
        <v>543</v>
      </c>
      <c r="C30" s="101" t="s">
        <v>254</v>
      </c>
      <c r="D30" s="104">
        <f>SUM(D31:D32)</f>
        <v>600</v>
      </c>
      <c r="E30" s="104">
        <f>SUM(E32:E32)</f>
        <v>0</v>
      </c>
      <c r="F30" s="104">
        <f>SUM(F31:F32)</f>
        <v>600</v>
      </c>
    </row>
    <row r="31" spans="2:6" x14ac:dyDescent="0.25">
      <c r="B31" s="85">
        <v>54301</v>
      </c>
      <c r="C31" s="99" t="s">
        <v>371</v>
      </c>
      <c r="D31" s="107">
        <v>300</v>
      </c>
      <c r="E31" s="107"/>
      <c r="F31" s="107">
        <f>SUM(D31:E31)</f>
        <v>300</v>
      </c>
    </row>
    <row r="32" spans="2:6" x14ac:dyDescent="0.25">
      <c r="B32" s="85">
        <v>54313</v>
      </c>
      <c r="C32" s="99" t="s">
        <v>258</v>
      </c>
      <c r="D32" s="107">
        <v>300</v>
      </c>
      <c r="E32" s="107"/>
      <c r="F32" s="107">
        <f>SUM(D32:E32)</f>
        <v>300</v>
      </c>
    </row>
    <row r="33" spans="2:6" x14ac:dyDescent="0.25">
      <c r="B33" s="76">
        <v>61</v>
      </c>
      <c r="C33" s="86" t="s">
        <v>277</v>
      </c>
      <c r="D33" s="241">
        <f>SUM(+D34)</f>
        <v>7000</v>
      </c>
      <c r="E33" s="241">
        <f>SUM(E34)</f>
        <v>0</v>
      </c>
      <c r="F33" s="241">
        <f>SUM(F34)</f>
        <v>7000</v>
      </c>
    </row>
    <row r="34" spans="2:6" x14ac:dyDescent="0.25">
      <c r="B34" s="76">
        <v>614</v>
      </c>
      <c r="C34" s="86" t="s">
        <v>424</v>
      </c>
      <c r="D34" s="241">
        <f>SUM(D35:D35)</f>
        <v>7000</v>
      </c>
      <c r="E34" s="241">
        <f>E35</f>
        <v>0</v>
      </c>
      <c r="F34" s="241">
        <f>SUM(F35:F35)</f>
        <v>7000</v>
      </c>
    </row>
    <row r="35" spans="2:6" x14ac:dyDescent="0.25">
      <c r="B35" s="85">
        <v>61403</v>
      </c>
      <c r="C35" s="82" t="s">
        <v>423</v>
      </c>
      <c r="D35" s="244">
        <v>7000</v>
      </c>
      <c r="E35" s="244"/>
      <c r="F35" s="244">
        <f t="shared" ref="F35" si="1">SUM(D35:E35)</f>
        <v>7000</v>
      </c>
    </row>
    <row r="36" spans="2:6" x14ac:dyDescent="0.25">
      <c r="B36" s="85"/>
      <c r="C36" s="82"/>
      <c r="D36" s="244"/>
      <c r="E36" s="244"/>
      <c r="F36" s="244"/>
    </row>
    <row r="37" spans="2:6" x14ac:dyDescent="0.25">
      <c r="B37" s="85"/>
      <c r="C37" s="86" t="s">
        <v>69</v>
      </c>
      <c r="D37" s="241">
        <f>SUM(D11+D21+D33)</f>
        <v>67245.73</v>
      </c>
      <c r="E37" s="241">
        <f>SUM(E11+E21+E33)</f>
        <v>7928.25</v>
      </c>
      <c r="F37" s="241">
        <f>SUM(D37:E37)</f>
        <v>75173.98</v>
      </c>
    </row>
    <row r="38" spans="2:6" x14ac:dyDescent="0.25">
      <c r="B38" s="85"/>
      <c r="C38" s="82"/>
      <c r="D38" s="244"/>
      <c r="E38" s="244"/>
      <c r="F38" s="244"/>
    </row>
    <row r="39" spans="2:6" x14ac:dyDescent="0.25">
      <c r="B39" s="76"/>
      <c r="C39" s="86" t="s">
        <v>60</v>
      </c>
      <c r="D39" s="241">
        <f>SUM(D11+D21+D33)</f>
        <v>67245.73</v>
      </c>
      <c r="E39" s="241">
        <f>SUM(E11+E21+E33)</f>
        <v>7928.25</v>
      </c>
      <c r="F39" s="241">
        <f>SUM(F11+F21+F33)</f>
        <v>75173.98</v>
      </c>
    </row>
    <row r="40" spans="2:6" x14ac:dyDescent="0.25">
      <c r="B40" s="76"/>
      <c r="C40" s="86" t="s">
        <v>61</v>
      </c>
      <c r="D40" s="75">
        <f>SUM(D12+D15+D17+D19+D22+D30+D34)</f>
        <v>67245.73</v>
      </c>
      <c r="E40" s="75">
        <f>SUM(E12+E17+E19+E22)</f>
        <v>7928.25</v>
      </c>
      <c r="F40" s="75">
        <f>SUM(F12+F15+F17+F19+F22+F30+F34)</f>
        <v>75173.98</v>
      </c>
    </row>
    <row r="41" spans="2:6" x14ac:dyDescent="0.25">
      <c r="B41" s="76"/>
      <c r="C41" s="86" t="s">
        <v>62</v>
      </c>
      <c r="D41" s="75">
        <f>SUM(D13+D14++D16+D18+D20+D23+D24+D25+D26+D27+D28+D29+D31+D32+D35)</f>
        <v>67245.73000000001</v>
      </c>
      <c r="E41" s="75">
        <f>SUM(E13+E14+E18+E20+E23+E25+E26+E27+E29)</f>
        <v>7928.25</v>
      </c>
      <c r="F41" s="75">
        <f>SUM(F13+F14+F16+F18+F20+F23+F24+F25+F26+F27+F28+F29+F31+F32+F35)</f>
        <v>75173.98000000001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workbookViewId="0">
      <pane ySplit="10" topLeftCell="A11" activePane="bottomLeft" state="frozen"/>
      <selection pane="bottomLeft" activeCell="E16" sqref="E16"/>
    </sheetView>
  </sheetViews>
  <sheetFormatPr baseColWidth="10" defaultRowHeight="15" x14ac:dyDescent="0.25"/>
  <cols>
    <col min="1" max="1" width="3.85546875" style="28" customWidth="1"/>
    <col min="2" max="2" width="11.42578125" style="28"/>
    <col min="3" max="3" width="45.140625" style="28" customWidth="1"/>
    <col min="4" max="4" width="13.28515625" style="28" customWidth="1"/>
    <col min="5" max="5" width="15.140625" style="28" customWidth="1"/>
    <col min="6" max="6" width="13.42578125" style="28" customWidth="1"/>
    <col min="7" max="16384" width="11.42578125" style="28"/>
  </cols>
  <sheetData>
    <row r="2" spans="2:6" ht="15.75" x14ac:dyDescent="0.25">
      <c r="B2" s="424" t="s">
        <v>425</v>
      </c>
      <c r="C2" s="424"/>
      <c r="D2" s="424"/>
      <c r="E2" s="424"/>
      <c r="F2" s="424"/>
    </row>
    <row r="3" spans="2:6" ht="15.75" x14ac:dyDescent="0.25">
      <c r="B3" s="424" t="s">
        <v>220</v>
      </c>
      <c r="C3" s="424"/>
      <c r="D3" s="424"/>
      <c r="E3" s="424"/>
      <c r="F3" s="424"/>
    </row>
    <row r="4" spans="2:6" ht="15.75" x14ac:dyDescent="0.25">
      <c r="B4" s="447" t="s">
        <v>221</v>
      </c>
      <c r="C4" s="447"/>
      <c r="D4" s="447"/>
      <c r="E4" s="447"/>
      <c r="F4" s="447"/>
    </row>
    <row r="5" spans="2:6" ht="15.75" x14ac:dyDescent="0.25">
      <c r="B5" s="447" t="s">
        <v>315</v>
      </c>
      <c r="C5" s="447"/>
      <c r="D5" s="447"/>
      <c r="E5" s="447"/>
      <c r="F5" s="447"/>
    </row>
    <row r="6" spans="2:6" ht="15.75" x14ac:dyDescent="0.25">
      <c r="B6" s="447" t="s">
        <v>223</v>
      </c>
      <c r="C6" s="447"/>
      <c r="D6" s="447"/>
      <c r="E6" s="447"/>
      <c r="F6" s="447"/>
    </row>
    <row r="7" spans="2:6" ht="15.75" x14ac:dyDescent="0.25">
      <c r="B7" s="424" t="s">
        <v>414</v>
      </c>
      <c r="C7" s="424"/>
      <c r="D7" s="424"/>
      <c r="E7" s="424"/>
      <c r="F7" s="424"/>
    </row>
    <row r="8" spans="2:6" x14ac:dyDescent="0.25">
      <c r="B8" s="35"/>
      <c r="C8" s="35"/>
      <c r="D8" s="35"/>
      <c r="E8" s="36"/>
      <c r="F8" s="35"/>
    </row>
    <row r="9" spans="2:6" x14ac:dyDescent="0.25">
      <c r="B9" s="446" t="s">
        <v>225</v>
      </c>
      <c r="C9" s="446" t="s">
        <v>226</v>
      </c>
      <c r="D9" s="111" t="s">
        <v>227</v>
      </c>
      <c r="E9" s="111" t="s">
        <v>228</v>
      </c>
      <c r="F9" s="446" t="s">
        <v>0</v>
      </c>
    </row>
    <row r="10" spans="2:6" ht="25.5" x14ac:dyDescent="0.25">
      <c r="B10" s="446"/>
      <c r="C10" s="446"/>
      <c r="D10" s="111" t="s">
        <v>229</v>
      </c>
      <c r="E10" s="325" t="s">
        <v>388</v>
      </c>
      <c r="F10" s="446"/>
    </row>
    <row r="11" spans="2:6" x14ac:dyDescent="0.25">
      <c r="B11" s="112">
        <v>51</v>
      </c>
      <c r="C11" s="113" t="s">
        <v>127</v>
      </c>
      <c r="D11" s="114">
        <f>SUM(D12+D154+D15+D17)</f>
        <v>50268.829999999994</v>
      </c>
      <c r="E11" s="260">
        <f>SUM(E12+E15+E17)</f>
        <v>30433.670000000002</v>
      </c>
      <c r="F11" s="114">
        <f>SUM(F12+F15+F17)</f>
        <v>80702.5</v>
      </c>
    </row>
    <row r="12" spans="2:6" x14ac:dyDescent="0.25">
      <c r="B12" s="115">
        <v>511</v>
      </c>
      <c r="C12" s="116" t="s">
        <v>231</v>
      </c>
      <c r="D12" s="117">
        <f>SUM(D13:D14)</f>
        <v>43895.5</v>
      </c>
      <c r="E12" s="117">
        <f>SUM(E13:E14)</f>
        <v>26179.5</v>
      </c>
      <c r="F12" s="117">
        <f>SUM(F13:F14)</f>
        <v>70075</v>
      </c>
    </row>
    <row r="13" spans="2:6" x14ac:dyDescent="0.25">
      <c r="B13" s="118">
        <v>51101</v>
      </c>
      <c r="C13" s="119" t="s">
        <v>232</v>
      </c>
      <c r="D13" s="120">
        <f>+PRESUPUESTO!D13+TESORERIA!D13+CONTABILIDAD!D13</f>
        <v>39220.5</v>
      </c>
      <c r="E13" s="120">
        <f>+PRESUPUESTO!E13+TESORERIA!E13+CONTABILIDAD!E13</f>
        <v>26179.5</v>
      </c>
      <c r="F13" s="120">
        <f>SUM(D13:E13)</f>
        <v>65400</v>
      </c>
    </row>
    <row r="14" spans="2:6" x14ac:dyDescent="0.25">
      <c r="B14" s="118">
        <v>51103</v>
      </c>
      <c r="C14" s="121" t="s">
        <v>233</v>
      </c>
      <c r="D14" s="120">
        <f>+PRESUPUESTO!D14+TESORERIA!D14+CONTABILIDAD!D14</f>
        <v>4675</v>
      </c>
      <c r="E14" s="120">
        <v>0</v>
      </c>
      <c r="F14" s="120">
        <f>SUM(D14:E14)</f>
        <v>4675</v>
      </c>
    </row>
    <row r="15" spans="2:6" x14ac:dyDescent="0.25">
      <c r="B15" s="115">
        <v>514</v>
      </c>
      <c r="C15" s="113" t="s">
        <v>236</v>
      </c>
      <c r="D15" s="117">
        <f>SUM(D16)</f>
        <v>3333.7400000000002</v>
      </c>
      <c r="E15" s="117">
        <f t="shared" ref="E15:F15" si="0">SUM(E16)</f>
        <v>2225.2600000000002</v>
      </c>
      <c r="F15" s="117">
        <f t="shared" si="0"/>
        <v>5559</v>
      </c>
    </row>
    <row r="16" spans="2:6" x14ac:dyDescent="0.25">
      <c r="B16" s="122">
        <v>51401</v>
      </c>
      <c r="C16" s="121" t="s">
        <v>237</v>
      </c>
      <c r="D16" s="120">
        <f>+PRESUPUESTO!D16+TESORERIA!D16+CONTABILIDAD!D16</f>
        <v>3333.7400000000002</v>
      </c>
      <c r="E16" s="120">
        <f>+PRESUPUESTO!E16+TESORERIA!E16+CONTABILIDAD!E16</f>
        <v>2225.2600000000002</v>
      </c>
      <c r="F16" s="120">
        <f>SUM(D16:E16)</f>
        <v>5559</v>
      </c>
    </row>
    <row r="17" spans="1:6" x14ac:dyDescent="0.25">
      <c r="B17" s="115">
        <v>515</v>
      </c>
      <c r="C17" s="123" t="s">
        <v>238</v>
      </c>
      <c r="D17" s="117">
        <f>SUM(D18:D18)</f>
        <v>3039.5899999999997</v>
      </c>
      <c r="E17" s="117">
        <f>SUM(E18:E18)</f>
        <v>2028.9099999999999</v>
      </c>
      <c r="F17" s="117">
        <f>SUM(F18:F18)</f>
        <v>5068.5</v>
      </c>
    </row>
    <row r="18" spans="1:6" x14ac:dyDescent="0.25">
      <c r="B18" s="122">
        <v>51501</v>
      </c>
      <c r="C18" s="121" t="s">
        <v>237</v>
      </c>
      <c r="D18" s="120">
        <f>+PRESUPUESTO!D18+TESORERIA!D18+CONTABILIDAD!D18</f>
        <v>3039.5899999999997</v>
      </c>
      <c r="E18" s="120">
        <f>+PRESUPUESTO!E18+TESORERIA!E18+CONTABILIDAD!E18</f>
        <v>2028.9099999999999</v>
      </c>
      <c r="F18" s="120">
        <f>SUM(D18:E18)</f>
        <v>5068.5</v>
      </c>
    </row>
    <row r="19" spans="1:6" x14ac:dyDescent="0.25">
      <c r="B19" s="115">
        <v>54</v>
      </c>
      <c r="C19" s="123" t="s">
        <v>282</v>
      </c>
      <c r="D19" s="117">
        <f>SUM(D20+D26+D29)</f>
        <v>8754.25</v>
      </c>
      <c r="E19" s="117">
        <f>SUM(E20+E26+E29)</f>
        <v>15583.529999999999</v>
      </c>
      <c r="F19" s="117">
        <f>SUM(F20+F26+F29)</f>
        <v>24337.78</v>
      </c>
    </row>
    <row r="20" spans="1:6" x14ac:dyDescent="0.25">
      <c r="B20" s="115">
        <v>541</v>
      </c>
      <c r="C20" s="123" t="s">
        <v>283</v>
      </c>
      <c r="D20" s="117">
        <f>SUM(D21:D25)</f>
        <v>4433.25</v>
      </c>
      <c r="E20" s="117">
        <f>SUM(E21:E25)</f>
        <v>8000</v>
      </c>
      <c r="F20" s="117">
        <f>SUM(F21:F25)</f>
        <v>12433.25</v>
      </c>
    </row>
    <row r="21" spans="1:6" x14ac:dyDescent="0.25">
      <c r="B21" s="122">
        <v>54105</v>
      </c>
      <c r="C21" s="121" t="s">
        <v>246</v>
      </c>
      <c r="D21" s="120">
        <f>+PRESUPUESTO!D21+TESORERIA!D21+CONTABILIDAD!D21</f>
        <v>1402.3</v>
      </c>
      <c r="E21" s="120">
        <f>+PRESUPUESTO!E21+TESORERIA!E21+CONTABILIDAD!E21</f>
        <v>0</v>
      </c>
      <c r="F21" s="120">
        <f t="shared" ref="F21:F25" si="1">SUM(D21:E21)</f>
        <v>1402.3</v>
      </c>
    </row>
    <row r="22" spans="1:6" x14ac:dyDescent="0.25">
      <c r="B22" s="122">
        <v>54114</v>
      </c>
      <c r="C22" s="121" t="s">
        <v>250</v>
      </c>
      <c r="D22" s="120">
        <f>+PRESUPUESTO!D22+TESORERIA!D22+CONTABILIDAD!D22</f>
        <v>844.95</v>
      </c>
      <c r="E22" s="120">
        <f>+PRESUPUESTO!E22+TESORERIA!E22+CONTABILIDAD!E22</f>
        <v>0</v>
      </c>
      <c r="F22" s="120">
        <f t="shared" si="1"/>
        <v>844.95</v>
      </c>
    </row>
    <row r="23" spans="1:6" x14ac:dyDescent="0.25">
      <c r="B23" s="122">
        <v>54115</v>
      </c>
      <c r="C23" s="121" t="s">
        <v>251</v>
      </c>
      <c r="D23" s="120">
        <f>+PRESUPUESTO!D23+TESORERIA!D23+CONTABILIDAD!D23</f>
        <v>1986</v>
      </c>
      <c r="E23" s="120">
        <f>+PRESUPUESTO!E23+TESORERIA!E23+CONTABILIDAD!E23</f>
        <v>0</v>
      </c>
      <c r="F23" s="120">
        <f t="shared" si="1"/>
        <v>1986</v>
      </c>
    </row>
    <row r="24" spans="1:6" x14ac:dyDescent="0.25">
      <c r="B24" s="122">
        <v>54118</v>
      </c>
      <c r="C24" s="121" t="s">
        <v>317</v>
      </c>
      <c r="D24" s="120">
        <f>+TESORERIA!D24</f>
        <v>200</v>
      </c>
      <c r="E24" s="120">
        <f>+TESORERIA!E24</f>
        <v>0</v>
      </c>
      <c r="F24" s="120">
        <f t="shared" si="1"/>
        <v>200</v>
      </c>
    </row>
    <row r="25" spans="1:6" x14ac:dyDescent="0.25">
      <c r="A25" s="28" t="s">
        <v>383</v>
      </c>
      <c r="B25" s="122">
        <v>54121</v>
      </c>
      <c r="C25" s="121" t="s">
        <v>318</v>
      </c>
      <c r="D25" s="120">
        <f>+TESORERIA!D25</f>
        <v>0</v>
      </c>
      <c r="E25" s="120">
        <f>+TESORERIA!E25</f>
        <v>8000</v>
      </c>
      <c r="F25" s="120">
        <f t="shared" si="1"/>
        <v>8000</v>
      </c>
    </row>
    <row r="26" spans="1:6" x14ac:dyDescent="0.25">
      <c r="B26" s="115">
        <v>543</v>
      </c>
      <c r="C26" s="123" t="s">
        <v>254</v>
      </c>
      <c r="D26" s="134">
        <f>SUM(D27:D28)</f>
        <v>3500</v>
      </c>
      <c r="E26" s="134">
        <f>SUM(E27:E28)</f>
        <v>7583.53</v>
      </c>
      <c r="F26" s="117">
        <f>SUM(F27:F28)</f>
        <v>11083.529999999999</v>
      </c>
    </row>
    <row r="27" spans="1:6" x14ac:dyDescent="0.25">
      <c r="B27" s="122">
        <v>54301</v>
      </c>
      <c r="C27" s="121" t="s">
        <v>255</v>
      </c>
      <c r="D27" s="135">
        <f>+TESORERIA!D27</f>
        <v>2500</v>
      </c>
      <c r="E27" s="135">
        <f>+TESORERIA!E27</f>
        <v>7583.53</v>
      </c>
      <c r="F27" s="120">
        <f>SUM(D27:E27)</f>
        <v>10083.529999999999</v>
      </c>
    </row>
    <row r="28" spans="1:6" x14ac:dyDescent="0.25">
      <c r="B28" s="122">
        <v>54313</v>
      </c>
      <c r="C28" s="121" t="s">
        <v>258</v>
      </c>
      <c r="D28" s="135">
        <f>+TESORERIA!D28</f>
        <v>1000</v>
      </c>
      <c r="E28" s="135">
        <f>+TESORERIA!E28</f>
        <v>0</v>
      </c>
      <c r="F28" s="120">
        <f>SUM(D28:E28)</f>
        <v>1000</v>
      </c>
    </row>
    <row r="29" spans="1:6" x14ac:dyDescent="0.25">
      <c r="B29" s="112">
        <v>544</v>
      </c>
      <c r="C29" s="113" t="s">
        <v>261</v>
      </c>
      <c r="D29" s="260">
        <f>SUM(D30:D30)</f>
        <v>821</v>
      </c>
      <c r="E29" s="260">
        <f>SUM(E30:E30)</f>
        <v>0</v>
      </c>
      <c r="F29" s="114">
        <f>SUM(F30:F30)</f>
        <v>821</v>
      </c>
    </row>
    <row r="30" spans="1:6" x14ac:dyDescent="0.25">
      <c r="B30" s="122">
        <v>54401</v>
      </c>
      <c r="C30" s="121" t="s">
        <v>262</v>
      </c>
      <c r="D30" s="135">
        <f>+TESORERIA!D30+CONTABILIDAD!D25</f>
        <v>821</v>
      </c>
      <c r="E30" s="135">
        <f>+TESORERIA!E30+CONTABILIDAD!E25</f>
        <v>0</v>
      </c>
      <c r="F30" s="120">
        <f>SUM(D30:E30)</f>
        <v>821</v>
      </c>
    </row>
    <row r="31" spans="1:6" x14ac:dyDescent="0.25">
      <c r="B31" s="115">
        <v>55</v>
      </c>
      <c r="C31" s="123" t="s">
        <v>129</v>
      </c>
      <c r="D31" s="134">
        <f>SUM(D32)</f>
        <v>900</v>
      </c>
      <c r="E31" s="134">
        <f t="shared" ref="E31:F31" si="2">SUM(E32)</f>
        <v>200</v>
      </c>
      <c r="F31" s="117">
        <f t="shared" si="2"/>
        <v>1100</v>
      </c>
    </row>
    <row r="32" spans="1:6" x14ac:dyDescent="0.25">
      <c r="B32" s="115">
        <v>556</v>
      </c>
      <c r="C32" s="123" t="s">
        <v>268</v>
      </c>
      <c r="D32" s="134">
        <f>SUM(D33:D33)</f>
        <v>900</v>
      </c>
      <c r="E32" s="134">
        <f>SUM(E33:E33)</f>
        <v>200</v>
      </c>
      <c r="F32" s="117">
        <f>SUM(F33:F33)</f>
        <v>1100</v>
      </c>
    </row>
    <row r="33" spans="2:6" x14ac:dyDescent="0.25">
      <c r="B33" s="122">
        <v>55603</v>
      </c>
      <c r="C33" s="121" t="s">
        <v>319</v>
      </c>
      <c r="D33" s="135">
        <f>+TESORERIA!D33</f>
        <v>900</v>
      </c>
      <c r="E33" s="135">
        <f>+TESORERIA!E33</f>
        <v>200</v>
      </c>
      <c r="F33" s="120">
        <f>SUM(D33:E33)</f>
        <v>1100</v>
      </c>
    </row>
    <row r="34" spans="2:6" x14ac:dyDescent="0.25">
      <c r="B34" s="91">
        <v>61</v>
      </c>
      <c r="C34" s="103" t="s">
        <v>277</v>
      </c>
      <c r="D34" s="104">
        <f>SUM(D35)</f>
        <v>1550</v>
      </c>
      <c r="E34" s="104">
        <f t="shared" ref="E34:F34" si="3">SUM(E35)</f>
        <v>0</v>
      </c>
      <c r="F34" s="104">
        <f t="shared" si="3"/>
        <v>1550</v>
      </c>
    </row>
    <row r="35" spans="2:6" x14ac:dyDescent="0.25">
      <c r="B35" s="91">
        <v>611</v>
      </c>
      <c r="C35" s="103" t="s">
        <v>324</v>
      </c>
      <c r="D35" s="104">
        <f>SUM(D36:D37)</f>
        <v>1550</v>
      </c>
      <c r="E35" s="104">
        <f>SUM(E37:E37)</f>
        <v>0</v>
      </c>
      <c r="F35" s="104">
        <f>SUM(F36:F37)</f>
        <v>1550</v>
      </c>
    </row>
    <row r="36" spans="2:6" x14ac:dyDescent="0.25">
      <c r="B36" s="105">
        <v>61101</v>
      </c>
      <c r="C36" s="106" t="s">
        <v>400</v>
      </c>
      <c r="D36" s="107">
        <f>+PRESUPUESTO!D26</f>
        <v>800</v>
      </c>
      <c r="E36" s="104">
        <v>0</v>
      </c>
      <c r="F36" s="107">
        <f>SUM(D36:E36)</f>
        <v>800</v>
      </c>
    </row>
    <row r="37" spans="2:6" x14ac:dyDescent="0.25">
      <c r="B37" s="105">
        <v>61104</v>
      </c>
      <c r="C37" s="106" t="s">
        <v>325</v>
      </c>
      <c r="D37" s="107">
        <f>+PRESUPUESTO!D27+CONTABILIDAD!D28</f>
        <v>750</v>
      </c>
      <c r="E37" s="107">
        <f>+PRESUPUESTO!E26</f>
        <v>0</v>
      </c>
      <c r="F37" s="107">
        <f>SUM(D37:E37)</f>
        <v>750</v>
      </c>
    </row>
    <row r="38" spans="2:6" x14ac:dyDescent="0.25">
      <c r="B38" s="122"/>
      <c r="C38" s="121"/>
      <c r="D38" s="135"/>
      <c r="E38" s="135"/>
      <c r="F38" s="120"/>
    </row>
    <row r="39" spans="2:6" x14ac:dyDescent="0.25">
      <c r="B39" s="122"/>
      <c r="C39" s="123" t="s">
        <v>69</v>
      </c>
      <c r="D39" s="134">
        <f>SUM(D11+D19+D31+D34)</f>
        <v>61473.079999999994</v>
      </c>
      <c r="E39" s="134">
        <f>SUM(E11+E19+E31)</f>
        <v>46217.2</v>
      </c>
      <c r="F39" s="117">
        <f>SUM(D39:E39)</f>
        <v>107690.28</v>
      </c>
    </row>
    <row r="40" spans="2:6" x14ac:dyDescent="0.25">
      <c r="B40" s="122"/>
      <c r="C40" s="121"/>
      <c r="D40" s="120"/>
      <c r="E40" s="120"/>
      <c r="F40" s="120"/>
    </row>
    <row r="41" spans="2:6" x14ac:dyDescent="0.25">
      <c r="B41" s="115"/>
      <c r="C41" s="123" t="s">
        <v>60</v>
      </c>
      <c r="D41" s="117">
        <f>SUM(D11+D19+D31+D34)</f>
        <v>61473.079999999994</v>
      </c>
      <c r="E41" s="117">
        <f>SUM(E11+E19+E31)</f>
        <v>46217.2</v>
      </c>
      <c r="F41" s="117">
        <f>SUM(F11+F19+F31+F34)</f>
        <v>107690.28</v>
      </c>
    </row>
    <row r="42" spans="2:6" x14ac:dyDescent="0.25">
      <c r="B42" s="115"/>
      <c r="C42" s="123" t="s">
        <v>61</v>
      </c>
      <c r="D42" s="117">
        <f>SUM(D12+D15+D17+D20+D26+D29+D32+D35)</f>
        <v>61473.079999999994</v>
      </c>
      <c r="E42" s="117">
        <f>SUM(E12+E15+E17+E20+E26+E29+E32)</f>
        <v>46217.2</v>
      </c>
      <c r="F42" s="117">
        <f>SUM(F12+F15+F17+F20+F26+F29+F32+F35)</f>
        <v>107690.28</v>
      </c>
    </row>
    <row r="43" spans="2:6" x14ac:dyDescent="0.25">
      <c r="B43" s="115"/>
      <c r="C43" s="123" t="s">
        <v>62</v>
      </c>
      <c r="D43" s="117">
        <f>SUM(D13+D14+D16+D18+D21+D22+D23+D24+D25+D27+D28+D30+D33+D36+D37)</f>
        <v>61473.079999999994</v>
      </c>
      <c r="E43" s="117">
        <f>SUM(E13+E14+E16+E18+E21+E22+E23+E24+E25+E27+E28+E30+E33)</f>
        <v>46217.2</v>
      </c>
      <c r="F43" s="117">
        <f>SUM(F13+F14+F16+F18+F21+F22+F23+F24+F25+F27+F28+F30+F33+F36+F37)</f>
        <v>107690.28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workbookViewId="0">
      <pane ySplit="10" topLeftCell="A11" activePane="bottomLeft" state="frozen"/>
      <selection pane="bottomLeft" activeCell="D16" sqref="D16"/>
    </sheetView>
  </sheetViews>
  <sheetFormatPr baseColWidth="10" defaultRowHeight="15" x14ac:dyDescent="0.25"/>
  <cols>
    <col min="1" max="1" width="5" customWidth="1"/>
    <col min="2" max="2" width="8.42578125" customWidth="1"/>
    <col min="3" max="3" width="42.85546875" customWidth="1"/>
    <col min="4" max="4" width="13" customWidth="1"/>
    <col min="5" max="5" width="17" customWidth="1"/>
  </cols>
  <sheetData>
    <row r="2" spans="2:6" ht="15.75" x14ac:dyDescent="0.25">
      <c r="B2" s="449" t="s">
        <v>425</v>
      </c>
      <c r="C2" s="449"/>
      <c r="D2" s="449"/>
      <c r="E2" s="449"/>
      <c r="F2" s="449"/>
    </row>
    <row r="3" spans="2:6" ht="15.75" x14ac:dyDescent="0.25">
      <c r="B3" s="450" t="s">
        <v>220</v>
      </c>
      <c r="C3" s="450"/>
      <c r="D3" s="450"/>
      <c r="E3" s="450"/>
      <c r="F3" s="450"/>
    </row>
    <row r="4" spans="2:6" ht="15.75" x14ac:dyDescent="0.25">
      <c r="B4" s="451" t="s">
        <v>221</v>
      </c>
      <c r="C4" s="451"/>
      <c r="D4" s="451"/>
      <c r="E4" s="451"/>
      <c r="F4" s="451"/>
    </row>
    <row r="5" spans="2:6" ht="15.75" x14ac:dyDescent="0.25">
      <c r="B5" s="451" t="s">
        <v>315</v>
      </c>
      <c r="C5" s="451"/>
      <c r="D5" s="451"/>
      <c r="E5" s="451"/>
      <c r="F5" s="451"/>
    </row>
    <row r="6" spans="2:6" ht="15.75" x14ac:dyDescent="0.25">
      <c r="B6" s="451" t="s">
        <v>223</v>
      </c>
      <c r="C6" s="451"/>
      <c r="D6" s="451"/>
      <c r="E6" s="451"/>
      <c r="F6" s="451"/>
    </row>
    <row r="7" spans="2:6" ht="15.75" x14ac:dyDescent="0.25">
      <c r="B7" s="450" t="s">
        <v>320</v>
      </c>
      <c r="C7" s="450"/>
      <c r="D7" s="450"/>
      <c r="E7" s="450"/>
      <c r="F7" s="450"/>
    </row>
    <row r="8" spans="2:6" x14ac:dyDescent="0.25">
      <c r="B8" s="33"/>
      <c r="C8" s="33"/>
      <c r="D8" s="33"/>
      <c r="E8" s="34"/>
      <c r="F8" s="33"/>
    </row>
    <row r="9" spans="2:6" x14ac:dyDescent="0.25">
      <c r="B9" s="448" t="s">
        <v>225</v>
      </c>
      <c r="C9" s="448" t="s">
        <v>226</v>
      </c>
      <c r="D9" s="124" t="s">
        <v>227</v>
      </c>
      <c r="E9" s="124" t="s">
        <v>228</v>
      </c>
      <c r="F9" s="448" t="s">
        <v>0</v>
      </c>
    </row>
    <row r="10" spans="2:6" x14ac:dyDescent="0.25">
      <c r="B10" s="448"/>
      <c r="C10" s="448"/>
      <c r="D10" s="124" t="s">
        <v>229</v>
      </c>
      <c r="E10" s="326" t="s">
        <v>230</v>
      </c>
      <c r="F10" s="448"/>
    </row>
    <row r="11" spans="2:6" x14ac:dyDescent="0.25">
      <c r="B11" s="125">
        <v>51</v>
      </c>
      <c r="C11" s="126" t="s">
        <v>127</v>
      </c>
      <c r="D11" s="114">
        <f>SUM(D12+D15+D17)</f>
        <v>9679.5</v>
      </c>
      <c r="E11" s="114">
        <f>SUM(E12+E15+E17)</f>
        <v>8509.5</v>
      </c>
      <c r="F11" s="114">
        <f>SUM(F12+F15+F17)</f>
        <v>18189</v>
      </c>
    </row>
    <row r="12" spans="2:6" x14ac:dyDescent="0.25">
      <c r="B12" s="127">
        <v>511</v>
      </c>
      <c r="C12" s="128" t="s">
        <v>231</v>
      </c>
      <c r="D12" s="117">
        <f>SUM(D13:D14)</f>
        <v>8490</v>
      </c>
      <c r="E12" s="117">
        <f>SUM(E13:E14)</f>
        <v>7320</v>
      </c>
      <c r="F12" s="117">
        <f>SUM(F13:F14)</f>
        <v>15810</v>
      </c>
    </row>
    <row r="13" spans="2:6" x14ac:dyDescent="0.25">
      <c r="B13" s="129">
        <v>51101</v>
      </c>
      <c r="C13" s="130" t="s">
        <v>232</v>
      </c>
      <c r="D13" s="120">
        <v>7320</v>
      </c>
      <c r="E13" s="120">
        <v>7320</v>
      </c>
      <c r="F13" s="120">
        <f>SUM(D13:E13)</f>
        <v>14640</v>
      </c>
    </row>
    <row r="14" spans="2:6" x14ac:dyDescent="0.25">
      <c r="B14" s="129">
        <v>51103</v>
      </c>
      <c r="C14" s="131" t="s">
        <v>233</v>
      </c>
      <c r="D14" s="120">
        <v>1170</v>
      </c>
      <c r="E14" s="120">
        <v>0</v>
      </c>
      <c r="F14" s="120">
        <f>SUM(D14:E14)</f>
        <v>1170</v>
      </c>
    </row>
    <row r="15" spans="2:6" x14ac:dyDescent="0.25">
      <c r="B15" s="127">
        <v>514</v>
      </c>
      <c r="C15" s="126" t="s">
        <v>236</v>
      </c>
      <c r="D15" s="117">
        <f>SUM(D16)</f>
        <v>622.20000000000005</v>
      </c>
      <c r="E15" s="117">
        <f>SUM(E16)</f>
        <v>622.20000000000005</v>
      </c>
      <c r="F15" s="117">
        <f t="shared" ref="F15" si="0">SUM(F16)</f>
        <v>1244.4000000000001</v>
      </c>
    </row>
    <row r="16" spans="2:6" x14ac:dyDescent="0.25">
      <c r="B16" s="132">
        <v>51401</v>
      </c>
      <c r="C16" s="131" t="s">
        <v>237</v>
      </c>
      <c r="D16" s="120">
        <f>D13*8.5%</f>
        <v>622.20000000000005</v>
      </c>
      <c r="E16" s="120">
        <f>E13*8.5%</f>
        <v>622.20000000000005</v>
      </c>
      <c r="F16" s="120">
        <f>SUM(D16:E16)</f>
        <v>1244.4000000000001</v>
      </c>
    </row>
    <row r="17" spans="2:6" x14ac:dyDescent="0.25">
      <c r="B17" s="127">
        <v>515</v>
      </c>
      <c r="C17" s="133" t="s">
        <v>238</v>
      </c>
      <c r="D17" s="117">
        <f>SUM(D18:D18)</f>
        <v>567.29999999999995</v>
      </c>
      <c r="E17" s="117">
        <f>SUM(E18:E18)</f>
        <v>567.29999999999995</v>
      </c>
      <c r="F17" s="117">
        <f>SUM(F18:F18)</f>
        <v>1134.5999999999999</v>
      </c>
    </row>
    <row r="18" spans="2:6" x14ac:dyDescent="0.25">
      <c r="B18" s="132">
        <v>51501</v>
      </c>
      <c r="C18" s="131" t="s">
        <v>237</v>
      </c>
      <c r="D18" s="120">
        <f>D13*7.75%</f>
        <v>567.29999999999995</v>
      </c>
      <c r="E18" s="120">
        <f>E13*7.75%</f>
        <v>567.29999999999995</v>
      </c>
      <c r="F18" s="120">
        <f>SUM(D18:E18)</f>
        <v>1134.5999999999999</v>
      </c>
    </row>
    <row r="19" spans="2:6" x14ac:dyDescent="0.25">
      <c r="B19" s="127">
        <v>54</v>
      </c>
      <c r="C19" s="133" t="s">
        <v>282</v>
      </c>
      <c r="D19" s="134">
        <f>SUM(D20)</f>
        <v>893</v>
      </c>
      <c r="E19" s="134">
        <f>SUM(E20)</f>
        <v>0</v>
      </c>
      <c r="F19" s="134">
        <f>SUM(F20)</f>
        <v>893</v>
      </c>
    </row>
    <row r="20" spans="2:6" x14ac:dyDescent="0.25">
      <c r="B20" s="127">
        <v>541</v>
      </c>
      <c r="C20" s="133" t="s">
        <v>283</v>
      </c>
      <c r="D20" s="134">
        <f>SUM(D21:D23)</f>
        <v>893</v>
      </c>
      <c r="E20" s="134">
        <f>SUM(E21:E23)</f>
        <v>0</v>
      </c>
      <c r="F20" s="134">
        <f>SUM(F21:F23)</f>
        <v>893</v>
      </c>
    </row>
    <row r="21" spans="2:6" x14ac:dyDescent="0.25">
      <c r="B21" s="132">
        <v>54105</v>
      </c>
      <c r="C21" s="131" t="s">
        <v>246</v>
      </c>
      <c r="D21" s="135">
        <v>300</v>
      </c>
      <c r="E21" s="135">
        <v>0</v>
      </c>
      <c r="F21" s="135">
        <f>SUM(D21:E21)</f>
        <v>300</v>
      </c>
    </row>
    <row r="22" spans="2:6" x14ac:dyDescent="0.25">
      <c r="B22" s="132">
        <v>54114</v>
      </c>
      <c r="C22" s="131" t="s">
        <v>250</v>
      </c>
      <c r="D22" s="135">
        <v>93</v>
      </c>
      <c r="E22" s="135">
        <v>0</v>
      </c>
      <c r="F22" s="135">
        <f>SUM(D22:E22)</f>
        <v>93</v>
      </c>
    </row>
    <row r="23" spans="2:6" x14ac:dyDescent="0.25">
      <c r="B23" s="132">
        <v>54115</v>
      </c>
      <c r="C23" s="131" t="s">
        <v>251</v>
      </c>
      <c r="D23" s="135">
        <v>500</v>
      </c>
      <c r="E23" s="135">
        <v>0</v>
      </c>
      <c r="F23" s="135">
        <f>SUM(D23:E23)</f>
        <v>500</v>
      </c>
    </row>
    <row r="24" spans="2:6" x14ac:dyDescent="0.25">
      <c r="B24" s="91">
        <v>61</v>
      </c>
      <c r="C24" s="103" t="s">
        <v>277</v>
      </c>
      <c r="D24" s="104">
        <f>SUM(D25)</f>
        <v>1400</v>
      </c>
      <c r="E24" s="104">
        <f t="shared" ref="E24:F24" si="1">SUM(E25)</f>
        <v>0</v>
      </c>
      <c r="F24" s="104">
        <f t="shared" si="1"/>
        <v>1400</v>
      </c>
    </row>
    <row r="25" spans="2:6" x14ac:dyDescent="0.25">
      <c r="B25" s="91">
        <v>611</v>
      </c>
      <c r="C25" s="103" t="s">
        <v>324</v>
      </c>
      <c r="D25" s="104">
        <f>SUM(D26:D27)</f>
        <v>1400</v>
      </c>
      <c r="E25" s="104">
        <f>SUM(E26:E26)</f>
        <v>0</v>
      </c>
      <c r="F25" s="104">
        <f>SUM(F26:F27)</f>
        <v>1400</v>
      </c>
    </row>
    <row r="26" spans="2:6" x14ac:dyDescent="0.25">
      <c r="B26" s="105">
        <v>61101</v>
      </c>
      <c r="C26" s="106" t="s">
        <v>299</v>
      </c>
      <c r="D26" s="107">
        <v>800</v>
      </c>
      <c r="E26" s="107"/>
      <c r="F26" s="107">
        <f>SUM(D26:E26)</f>
        <v>800</v>
      </c>
    </row>
    <row r="27" spans="2:6" x14ac:dyDescent="0.25">
      <c r="B27" s="105">
        <v>61104</v>
      </c>
      <c r="C27" s="106" t="s">
        <v>344</v>
      </c>
      <c r="D27" s="107">
        <v>600</v>
      </c>
      <c r="E27" s="107"/>
      <c r="F27" s="107">
        <f>SUM(D27:E27)</f>
        <v>600</v>
      </c>
    </row>
    <row r="28" spans="2:6" x14ac:dyDescent="0.25">
      <c r="B28" s="132"/>
      <c r="C28" s="121"/>
      <c r="D28" s="120"/>
      <c r="E28" s="135"/>
      <c r="F28" s="135"/>
    </row>
    <row r="29" spans="2:6" x14ac:dyDescent="0.25">
      <c r="B29" s="132"/>
      <c r="C29" s="133" t="s">
        <v>69</v>
      </c>
      <c r="D29" s="134">
        <f>SUM(D11+D19+D24)</f>
        <v>11972.5</v>
      </c>
      <c r="E29" s="134">
        <f>SUM(E11+E19+E24)</f>
        <v>8509.5</v>
      </c>
      <c r="F29" s="134">
        <f>SUM(D29:E29)</f>
        <v>20482</v>
      </c>
    </row>
    <row r="30" spans="2:6" x14ac:dyDescent="0.25">
      <c r="B30" s="132"/>
      <c r="C30" s="131"/>
      <c r="D30" s="135"/>
      <c r="E30" s="135"/>
      <c r="F30" s="135"/>
    </row>
    <row r="31" spans="2:6" x14ac:dyDescent="0.25">
      <c r="B31" s="127"/>
      <c r="C31" s="133" t="s">
        <v>60</v>
      </c>
      <c r="D31" s="134">
        <f>SUM(D11+D19+D24)</f>
        <v>11972.5</v>
      </c>
      <c r="E31" s="134">
        <f>SUM(E11+E19+E24)</f>
        <v>8509.5</v>
      </c>
      <c r="F31" s="134">
        <f>SUM(F11+F19+F24)</f>
        <v>20482</v>
      </c>
    </row>
    <row r="32" spans="2:6" x14ac:dyDescent="0.25">
      <c r="B32" s="127"/>
      <c r="C32" s="133" t="s">
        <v>61</v>
      </c>
      <c r="D32" s="134">
        <f>SUM(D12+D15+D17+D20+D25)</f>
        <v>11972.5</v>
      </c>
      <c r="E32" s="134">
        <f>SUM(E12+E15+E17+E20+E25)</f>
        <v>8509.5</v>
      </c>
      <c r="F32" s="134">
        <f>SUM(F12+F15+F17+F20+F25)</f>
        <v>20482</v>
      </c>
    </row>
    <row r="33" spans="2:6" x14ac:dyDescent="0.25">
      <c r="B33" s="127"/>
      <c r="C33" s="133" t="s">
        <v>62</v>
      </c>
      <c r="D33" s="134">
        <f>SUM(D13+D14+D16+D18+D21+D22+D23+D26+D27)</f>
        <v>11972.5</v>
      </c>
      <c r="E33" s="134">
        <f>SUM(E13+E14+E16+E18+E21+E22+E23+E26)</f>
        <v>8509.5</v>
      </c>
      <c r="F33" s="134">
        <f>SUM(F13+F14+F16+F18+F21+F22+F23+F26+F27)</f>
        <v>20482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39"/>
  <sheetViews>
    <sheetView workbookViewId="0">
      <pane ySplit="10" topLeftCell="A20" activePane="bottomLeft" state="frozen"/>
      <selection pane="bottomLeft" activeCell="I19" sqref="I19"/>
    </sheetView>
  </sheetViews>
  <sheetFormatPr baseColWidth="10" defaultRowHeight="15" x14ac:dyDescent="0.25"/>
  <cols>
    <col min="1" max="1" width="3.42578125" style="28" customWidth="1"/>
    <col min="2" max="2" width="9.7109375" style="28" customWidth="1"/>
    <col min="3" max="3" width="44.85546875" style="28" customWidth="1"/>
    <col min="4" max="4" width="13.42578125" style="28" customWidth="1"/>
    <col min="5" max="5" width="16" style="28" customWidth="1"/>
    <col min="6" max="16384" width="11.42578125" style="28"/>
  </cols>
  <sheetData>
    <row r="2" spans="2:6" ht="15.75" x14ac:dyDescent="0.25">
      <c r="B2" s="424" t="s">
        <v>425</v>
      </c>
      <c r="C2" s="424"/>
      <c r="D2" s="424"/>
      <c r="E2" s="424"/>
      <c r="F2" s="424"/>
    </row>
    <row r="3" spans="2:6" ht="15.75" x14ac:dyDescent="0.25">
      <c r="B3" s="424" t="s">
        <v>220</v>
      </c>
      <c r="C3" s="424"/>
      <c r="D3" s="424"/>
      <c r="E3" s="424"/>
      <c r="F3" s="424"/>
    </row>
    <row r="4" spans="2:6" ht="15.75" x14ac:dyDescent="0.25">
      <c r="B4" s="447" t="s">
        <v>221</v>
      </c>
      <c r="C4" s="447"/>
      <c r="D4" s="447"/>
      <c r="E4" s="447"/>
      <c r="F4" s="447"/>
    </row>
    <row r="5" spans="2:6" ht="15.75" x14ac:dyDescent="0.25">
      <c r="B5" s="447" t="s">
        <v>315</v>
      </c>
      <c r="C5" s="447"/>
      <c r="D5" s="447"/>
      <c r="E5" s="447"/>
      <c r="F5" s="447"/>
    </row>
    <row r="6" spans="2:6" ht="15.75" x14ac:dyDescent="0.25">
      <c r="B6" s="447" t="s">
        <v>223</v>
      </c>
      <c r="C6" s="447"/>
      <c r="D6" s="447"/>
      <c r="E6" s="447"/>
      <c r="F6" s="447"/>
    </row>
    <row r="7" spans="2:6" ht="15.75" x14ac:dyDescent="0.25">
      <c r="B7" s="424" t="s">
        <v>316</v>
      </c>
      <c r="C7" s="424"/>
      <c r="D7" s="424"/>
      <c r="E7" s="424"/>
      <c r="F7" s="424"/>
    </row>
    <row r="8" spans="2:6" x14ac:dyDescent="0.25">
      <c r="B8" s="35"/>
      <c r="C8" s="35"/>
      <c r="D8" s="35"/>
      <c r="E8" s="36"/>
      <c r="F8" s="35"/>
    </row>
    <row r="9" spans="2:6" x14ac:dyDescent="0.25">
      <c r="B9" s="446" t="s">
        <v>225</v>
      </c>
      <c r="C9" s="446" t="s">
        <v>226</v>
      </c>
      <c r="D9" s="111" t="s">
        <v>227</v>
      </c>
      <c r="E9" s="111" t="s">
        <v>228</v>
      </c>
      <c r="F9" s="448" t="s">
        <v>0</v>
      </c>
    </row>
    <row r="10" spans="2:6" ht="25.5" x14ac:dyDescent="0.25">
      <c r="B10" s="446"/>
      <c r="C10" s="446"/>
      <c r="D10" s="111" t="s">
        <v>229</v>
      </c>
      <c r="E10" s="325" t="s">
        <v>230</v>
      </c>
      <c r="F10" s="448"/>
    </row>
    <row r="11" spans="2:6" x14ac:dyDescent="0.25">
      <c r="B11" s="112">
        <v>51</v>
      </c>
      <c r="C11" s="113" t="s">
        <v>127</v>
      </c>
      <c r="D11" s="114">
        <f>SUM(D12+D150+D15+D17)</f>
        <v>28981.579999999998</v>
      </c>
      <c r="E11" s="114">
        <f>SUM(E12+E15+E17)</f>
        <v>11531.42</v>
      </c>
      <c r="F11" s="114">
        <f>SUM(F12+F15+F17)</f>
        <v>40513</v>
      </c>
    </row>
    <row r="12" spans="2:6" x14ac:dyDescent="0.25">
      <c r="B12" s="115">
        <v>511</v>
      </c>
      <c r="C12" s="116" t="s">
        <v>231</v>
      </c>
      <c r="D12" s="117">
        <f>SUM(D13:D14)</f>
        <v>25250.5</v>
      </c>
      <c r="E12" s="117">
        <f>SUM(E13:E14)</f>
        <v>9919.5</v>
      </c>
      <c r="F12" s="117">
        <f>SUM(F13:F14)</f>
        <v>35170</v>
      </c>
    </row>
    <row r="13" spans="2:6" x14ac:dyDescent="0.25">
      <c r="B13" s="118">
        <v>51101</v>
      </c>
      <c r="C13" s="119" t="s">
        <v>232</v>
      </c>
      <c r="D13" s="120">
        <v>22960.5</v>
      </c>
      <c r="E13" s="120">
        <v>9919.5</v>
      </c>
      <c r="F13" s="120">
        <f>SUM(D13:E13)</f>
        <v>32880</v>
      </c>
    </row>
    <row r="14" spans="2:6" x14ac:dyDescent="0.25">
      <c r="B14" s="118">
        <v>51103</v>
      </c>
      <c r="C14" s="121" t="s">
        <v>233</v>
      </c>
      <c r="D14" s="120">
        <v>2290</v>
      </c>
      <c r="E14" s="120">
        <v>0</v>
      </c>
      <c r="F14" s="120">
        <f>SUM(D14:E14)</f>
        <v>2290</v>
      </c>
    </row>
    <row r="15" spans="2:6" x14ac:dyDescent="0.25">
      <c r="B15" s="115">
        <v>514</v>
      </c>
      <c r="C15" s="113" t="s">
        <v>236</v>
      </c>
      <c r="D15" s="117">
        <f>SUM(D16)</f>
        <v>1951.64</v>
      </c>
      <c r="E15" s="117">
        <f t="shared" ref="E15:F15" si="0">SUM(E16)</f>
        <v>843.16</v>
      </c>
      <c r="F15" s="117">
        <f t="shared" si="0"/>
        <v>2794.8</v>
      </c>
    </row>
    <row r="16" spans="2:6" x14ac:dyDescent="0.25">
      <c r="B16" s="122">
        <v>51401</v>
      </c>
      <c r="C16" s="121" t="s">
        <v>237</v>
      </c>
      <c r="D16" s="120">
        <v>1951.64</v>
      </c>
      <c r="E16" s="120">
        <v>843.16</v>
      </c>
      <c r="F16" s="120">
        <f>SUM(D16:E16)</f>
        <v>2794.8</v>
      </c>
    </row>
    <row r="17" spans="2:6" x14ac:dyDescent="0.25">
      <c r="B17" s="115">
        <v>515</v>
      </c>
      <c r="C17" s="123" t="s">
        <v>238</v>
      </c>
      <c r="D17" s="117">
        <f>SUM(D18:D18)</f>
        <v>1779.44</v>
      </c>
      <c r="E17" s="117">
        <f>SUM(E18:E18)</f>
        <v>768.76</v>
      </c>
      <c r="F17" s="117">
        <f>SUM(F18:F18)</f>
        <v>2548.1999999999998</v>
      </c>
    </row>
    <row r="18" spans="2:6" x14ac:dyDescent="0.25">
      <c r="B18" s="122">
        <v>51501</v>
      </c>
      <c r="C18" s="121" t="s">
        <v>237</v>
      </c>
      <c r="D18" s="120">
        <v>1779.44</v>
      </c>
      <c r="E18" s="120">
        <v>768.76</v>
      </c>
      <c r="F18" s="120">
        <f>SUM(D18:E18)</f>
        <v>2548.1999999999998</v>
      </c>
    </row>
    <row r="19" spans="2:6" x14ac:dyDescent="0.25">
      <c r="B19" s="115">
        <v>54</v>
      </c>
      <c r="C19" s="123" t="s">
        <v>282</v>
      </c>
      <c r="D19" s="117">
        <f>SUM(D20+D26+D29)</f>
        <v>6788</v>
      </c>
      <c r="E19" s="117">
        <f>SUM(E20+E26+E29)</f>
        <v>15583.529999999999</v>
      </c>
      <c r="F19" s="117">
        <f>SUM(F20+F26+F29)</f>
        <v>22371.53</v>
      </c>
    </row>
    <row r="20" spans="2:6" x14ac:dyDescent="0.25">
      <c r="B20" s="115">
        <v>541</v>
      </c>
      <c r="C20" s="123" t="s">
        <v>283</v>
      </c>
      <c r="D20" s="117">
        <f>SUM(D21:D25)</f>
        <v>2488</v>
      </c>
      <c r="E20" s="117">
        <f>SUM(E21:E25)</f>
        <v>8000</v>
      </c>
      <c r="F20" s="117">
        <f>SUM(F21:F25)</f>
        <v>10488</v>
      </c>
    </row>
    <row r="21" spans="2:6" x14ac:dyDescent="0.25">
      <c r="B21" s="122">
        <v>54105</v>
      </c>
      <c r="C21" s="121" t="s">
        <v>246</v>
      </c>
      <c r="D21" s="120">
        <v>896.5</v>
      </c>
      <c r="E21" s="120">
        <v>0</v>
      </c>
      <c r="F21" s="120">
        <f t="shared" ref="F21:F25" si="1">SUM(D21:E21)</f>
        <v>896.5</v>
      </c>
    </row>
    <row r="22" spans="2:6" x14ac:dyDescent="0.25">
      <c r="B22" s="122">
        <v>54114</v>
      </c>
      <c r="C22" s="121" t="s">
        <v>250</v>
      </c>
      <c r="D22" s="120">
        <v>291.5</v>
      </c>
      <c r="E22" s="120">
        <v>0</v>
      </c>
      <c r="F22" s="120">
        <f t="shared" si="1"/>
        <v>291.5</v>
      </c>
    </row>
    <row r="23" spans="2:6" x14ac:dyDescent="0.25">
      <c r="B23" s="122">
        <v>54115</v>
      </c>
      <c r="C23" s="121" t="s">
        <v>251</v>
      </c>
      <c r="D23" s="120">
        <v>1100</v>
      </c>
      <c r="E23" s="120">
        <v>0</v>
      </c>
      <c r="F23" s="120">
        <f t="shared" si="1"/>
        <v>1100</v>
      </c>
    </row>
    <row r="24" spans="2:6" x14ac:dyDescent="0.25">
      <c r="B24" s="122">
        <v>54118</v>
      </c>
      <c r="C24" s="121" t="s">
        <v>317</v>
      </c>
      <c r="D24" s="120">
        <v>200</v>
      </c>
      <c r="E24" s="120">
        <v>0</v>
      </c>
      <c r="F24" s="120">
        <f t="shared" si="1"/>
        <v>200</v>
      </c>
    </row>
    <row r="25" spans="2:6" x14ac:dyDescent="0.25">
      <c r="B25" s="122">
        <v>54121</v>
      </c>
      <c r="C25" s="121" t="s">
        <v>318</v>
      </c>
      <c r="D25" s="120">
        <v>0</v>
      </c>
      <c r="E25" s="120">
        <v>8000</v>
      </c>
      <c r="F25" s="120">
        <f t="shared" si="1"/>
        <v>8000</v>
      </c>
    </row>
    <row r="26" spans="2:6" x14ac:dyDescent="0.25">
      <c r="B26" s="115">
        <v>543</v>
      </c>
      <c r="C26" s="123" t="s">
        <v>254</v>
      </c>
      <c r="D26" s="117">
        <f>SUM(D27:D28)</f>
        <v>3500</v>
      </c>
      <c r="E26" s="117">
        <f>SUM(E27:E28)</f>
        <v>7583.53</v>
      </c>
      <c r="F26" s="117">
        <f>SUM(F27:F28)</f>
        <v>11083.529999999999</v>
      </c>
    </row>
    <row r="27" spans="2:6" x14ac:dyDescent="0.25">
      <c r="B27" s="122">
        <v>54301</v>
      </c>
      <c r="C27" s="121" t="s">
        <v>255</v>
      </c>
      <c r="D27" s="135">
        <v>2500</v>
      </c>
      <c r="E27" s="120">
        <v>7583.53</v>
      </c>
      <c r="F27" s="120">
        <f>SUM(D27:E27)</f>
        <v>10083.529999999999</v>
      </c>
    </row>
    <row r="28" spans="2:6" x14ac:dyDescent="0.25">
      <c r="B28" s="122">
        <v>54313</v>
      </c>
      <c r="C28" s="121" t="s">
        <v>258</v>
      </c>
      <c r="D28" s="120">
        <v>1000</v>
      </c>
      <c r="E28" s="120">
        <v>0</v>
      </c>
      <c r="F28" s="120">
        <f>SUM(D28:E28)</f>
        <v>1000</v>
      </c>
    </row>
    <row r="29" spans="2:6" x14ac:dyDescent="0.25">
      <c r="B29" s="112">
        <v>544</v>
      </c>
      <c r="C29" s="113" t="s">
        <v>261</v>
      </c>
      <c r="D29" s="114">
        <f>SUM(D30:D30)</f>
        <v>800</v>
      </c>
      <c r="E29" s="114">
        <f>SUM(E30:E30)</f>
        <v>0</v>
      </c>
      <c r="F29" s="114">
        <f>SUM(F30:F30)</f>
        <v>800</v>
      </c>
    </row>
    <row r="30" spans="2:6" x14ac:dyDescent="0.25">
      <c r="B30" s="122">
        <v>54401</v>
      </c>
      <c r="C30" s="121" t="s">
        <v>262</v>
      </c>
      <c r="D30" s="135">
        <v>800</v>
      </c>
      <c r="E30" s="120">
        <v>0</v>
      </c>
      <c r="F30" s="120">
        <f>SUM(D30:E30)</f>
        <v>800</v>
      </c>
    </row>
    <row r="31" spans="2:6" x14ac:dyDescent="0.25">
      <c r="B31" s="115">
        <v>55</v>
      </c>
      <c r="C31" s="123" t="s">
        <v>129</v>
      </c>
      <c r="D31" s="117">
        <f>SUM(D32)</f>
        <v>900</v>
      </c>
      <c r="E31" s="117">
        <f t="shared" ref="E31:F31" si="2">SUM(E32)</f>
        <v>200</v>
      </c>
      <c r="F31" s="117">
        <f t="shared" si="2"/>
        <v>1100</v>
      </c>
    </row>
    <row r="32" spans="2:6" x14ac:dyDescent="0.25">
      <c r="B32" s="115">
        <v>556</v>
      </c>
      <c r="C32" s="123" t="s">
        <v>268</v>
      </c>
      <c r="D32" s="117">
        <f>SUM(D33:D33)</f>
        <v>900</v>
      </c>
      <c r="E32" s="117">
        <f>SUM(E33:E33)</f>
        <v>200</v>
      </c>
      <c r="F32" s="117">
        <f>SUM(F33:F33)</f>
        <v>1100</v>
      </c>
    </row>
    <row r="33" spans="2:6" x14ac:dyDescent="0.25">
      <c r="B33" s="122">
        <v>55603</v>
      </c>
      <c r="C33" s="121" t="s">
        <v>319</v>
      </c>
      <c r="D33" s="120">
        <v>900</v>
      </c>
      <c r="E33" s="120">
        <v>200</v>
      </c>
      <c r="F33" s="120">
        <f>SUM(D33:E33)</f>
        <v>1100</v>
      </c>
    </row>
    <row r="34" spans="2:6" x14ac:dyDescent="0.25">
      <c r="B34" s="122"/>
      <c r="C34" s="121"/>
      <c r="D34" s="120"/>
      <c r="E34" s="120"/>
      <c r="F34" s="120"/>
    </row>
    <row r="35" spans="2:6" x14ac:dyDescent="0.25">
      <c r="B35" s="122"/>
      <c r="C35" s="123" t="s">
        <v>69</v>
      </c>
      <c r="D35" s="117">
        <f>SUM(D11+D19+D31)</f>
        <v>36669.58</v>
      </c>
      <c r="E35" s="117">
        <f>SUM(E11+E19+E31)</f>
        <v>27314.949999999997</v>
      </c>
      <c r="F35" s="117">
        <f>SUM(D35:E35)</f>
        <v>63984.53</v>
      </c>
    </row>
    <row r="36" spans="2:6" x14ac:dyDescent="0.25">
      <c r="B36" s="122"/>
      <c r="C36" s="121"/>
      <c r="D36" s="120"/>
      <c r="E36" s="120"/>
      <c r="F36" s="120"/>
    </row>
    <row r="37" spans="2:6" x14ac:dyDescent="0.25">
      <c r="B37" s="115"/>
      <c r="C37" s="123" t="s">
        <v>60</v>
      </c>
      <c r="D37" s="117">
        <f>SUM(D11+D19+D31)</f>
        <v>36669.58</v>
      </c>
      <c r="E37" s="117">
        <f>SUM(E11+E19+E31)</f>
        <v>27314.949999999997</v>
      </c>
      <c r="F37" s="117">
        <f>SUM(F11+F19+F31)</f>
        <v>63984.53</v>
      </c>
    </row>
    <row r="38" spans="2:6" x14ac:dyDescent="0.25">
      <c r="B38" s="115"/>
      <c r="C38" s="123" t="s">
        <v>61</v>
      </c>
      <c r="D38" s="117">
        <f>SUM(D12+D15+D17+D20+D26+D29+D32)</f>
        <v>36669.58</v>
      </c>
      <c r="E38" s="117">
        <f>SUM(E12+E15+E17+E20+E26+E29+E32)</f>
        <v>27314.949999999997</v>
      </c>
      <c r="F38" s="117">
        <f>SUM(F12+F15+F17+F20+F26+F29+F32)</f>
        <v>63984.53</v>
      </c>
    </row>
    <row r="39" spans="2:6" x14ac:dyDescent="0.25">
      <c r="B39" s="115"/>
      <c r="C39" s="123" t="s">
        <v>62</v>
      </c>
      <c r="D39" s="117">
        <f>SUM(D13+D14+D16+D18+D21+D22+D23+D24+D25+D27+D28+D30+D33)</f>
        <v>36669.58</v>
      </c>
      <c r="E39" s="117">
        <f>SUM(E13+E14+E16+E18+E21+E22+E23+E24+E25+E27+E28+E30+E33)</f>
        <v>27314.949999999997</v>
      </c>
      <c r="F39" s="117">
        <f>SUM(F13+F14+F16+F18+F21+F22+F23+F24+F25+F28+F30+F33)</f>
        <v>53901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opLeftCell="A10" workbookViewId="0">
      <selection activeCell="F31" sqref="F31"/>
    </sheetView>
  </sheetViews>
  <sheetFormatPr baseColWidth="10" defaultRowHeight="15" x14ac:dyDescent="0.25"/>
  <cols>
    <col min="1" max="1" width="6.42578125" style="28" customWidth="1"/>
    <col min="2" max="2" width="41.42578125" style="28" customWidth="1"/>
    <col min="3" max="3" width="21" style="28" customWidth="1"/>
    <col min="4" max="4" width="41.7109375" style="28" customWidth="1"/>
    <col min="5" max="6" width="22.28515625" style="28" customWidth="1"/>
    <col min="7" max="7" width="19.85546875" style="28" customWidth="1"/>
    <col min="8" max="8" width="11.42578125" style="28"/>
    <col min="9" max="9" width="12.5703125" style="28" bestFit="1" customWidth="1"/>
    <col min="10" max="10" width="11.42578125" style="28"/>
    <col min="11" max="11" width="14.140625" style="380" bestFit="1" customWidth="1"/>
    <col min="12" max="16384" width="11.42578125" style="28"/>
  </cols>
  <sheetData>
    <row r="1" spans="2:11" ht="15.75" thickBot="1" x14ac:dyDescent="0.3"/>
    <row r="2" spans="2:11" s="19" customFormat="1" ht="19.5" thickTop="1" thickBot="1" x14ac:dyDescent="0.3">
      <c r="B2" s="395" t="s">
        <v>63</v>
      </c>
      <c r="C2" s="395"/>
      <c r="D2" s="395"/>
      <c r="E2" s="395"/>
      <c r="F2" s="456"/>
      <c r="K2" s="368"/>
    </row>
    <row r="3" spans="2:11" s="19" customFormat="1" ht="19.5" thickTop="1" thickBot="1" x14ac:dyDescent="0.3">
      <c r="B3" s="396" t="s">
        <v>64</v>
      </c>
      <c r="C3" s="395"/>
      <c r="D3" s="395"/>
      <c r="E3" s="395"/>
      <c r="F3" s="456"/>
      <c r="K3" s="368"/>
    </row>
    <row r="4" spans="2:11" s="19" customFormat="1" ht="19.5" thickTop="1" thickBot="1" x14ac:dyDescent="0.3">
      <c r="B4" s="396" t="s">
        <v>65</v>
      </c>
      <c r="C4" s="395"/>
      <c r="D4" s="395"/>
      <c r="E4" s="395"/>
      <c r="F4" s="456"/>
      <c r="K4" s="368"/>
    </row>
    <row r="5" spans="2:11" s="19" customFormat="1" ht="19.5" thickTop="1" thickBot="1" x14ac:dyDescent="0.3">
      <c r="B5" s="396" t="s">
        <v>432</v>
      </c>
      <c r="C5" s="395"/>
      <c r="D5" s="395"/>
      <c r="E5" s="395"/>
      <c r="F5" s="456"/>
      <c r="K5" s="368"/>
    </row>
    <row r="6" spans="2:11" ht="15.75" thickTop="1" x14ac:dyDescent="0.25"/>
    <row r="7" spans="2:11" ht="18" x14ac:dyDescent="0.25">
      <c r="B7" s="397" t="s">
        <v>448</v>
      </c>
      <c r="C7" s="398"/>
      <c r="D7" s="397" t="s">
        <v>449</v>
      </c>
      <c r="E7" s="398"/>
      <c r="F7" s="457"/>
      <c r="K7" s="380">
        <v>1509802.48</v>
      </c>
    </row>
    <row r="8" spans="2:11" ht="22.5" x14ac:dyDescent="0.55000000000000004">
      <c r="B8" s="181" t="s">
        <v>118</v>
      </c>
      <c r="C8" s="182">
        <f>+'PRESU INGRESOS'!F72-'PRESU INGRESOS'!F59</f>
        <v>1509802.4799999997</v>
      </c>
      <c r="D8" s="183" t="s">
        <v>119</v>
      </c>
      <c r="E8" s="184">
        <f>+F.PROPIOS!D14</f>
        <v>1509802.4775</v>
      </c>
      <c r="F8" s="458"/>
      <c r="G8" s="362">
        <f>C8-E8</f>
        <v>2.4999997112900019E-3</v>
      </c>
      <c r="K8" s="380">
        <v>45905.97</v>
      </c>
    </row>
    <row r="9" spans="2:11" ht="18.75" x14ac:dyDescent="0.3">
      <c r="B9" s="185"/>
      <c r="C9" s="185"/>
      <c r="D9" s="185"/>
      <c r="E9" s="185"/>
      <c r="F9" s="459"/>
      <c r="G9" s="363"/>
      <c r="K9" s="380">
        <v>1202802.97</v>
      </c>
    </row>
    <row r="10" spans="2:11" ht="22.5" x14ac:dyDescent="0.55000000000000004">
      <c r="B10" s="181" t="s">
        <v>397</v>
      </c>
      <c r="C10" s="182">
        <f>+'PRESU INGRESOS'!F59</f>
        <v>45905.97</v>
      </c>
      <c r="D10" s="183" t="s">
        <v>397</v>
      </c>
      <c r="E10" s="184">
        <f>+'GASTO DONACION'!D25</f>
        <v>45905.969999999994</v>
      </c>
      <c r="F10" s="458"/>
      <c r="G10" s="362">
        <f>C10-E10</f>
        <v>0</v>
      </c>
      <c r="K10" s="380">
        <v>3817173.79</v>
      </c>
    </row>
    <row r="11" spans="2:11" ht="18.75" x14ac:dyDescent="0.3">
      <c r="B11" s="185"/>
      <c r="C11" s="185"/>
      <c r="D11" s="185"/>
      <c r="E11" s="185"/>
      <c r="F11" s="459"/>
      <c r="G11" s="363"/>
      <c r="K11" s="380">
        <v>1455799.96</v>
      </c>
    </row>
    <row r="12" spans="2:11" ht="22.5" x14ac:dyDescent="0.55000000000000004">
      <c r="B12" s="181" t="s">
        <v>120</v>
      </c>
      <c r="C12" s="184">
        <f>+'PRESU INGRESOS'!E48+'PRESU INGRESOS'!E61+412663.21</f>
        <v>1202802.72</v>
      </c>
      <c r="D12" s="181" t="s">
        <v>121</v>
      </c>
      <c r="E12" s="184">
        <f>+'FODES 25%'!D14</f>
        <v>1202802.7175000003</v>
      </c>
      <c r="F12" s="458"/>
      <c r="G12" s="362">
        <f>C12-E12</f>
        <v>2.4999997112900019E-3</v>
      </c>
      <c r="I12" s="365"/>
      <c r="K12" s="380">
        <v>50008.14</v>
      </c>
    </row>
    <row r="13" spans="2:11" ht="18.75" x14ac:dyDescent="0.3">
      <c r="B13" s="185"/>
      <c r="C13" s="185" t="s">
        <v>416</v>
      </c>
      <c r="D13" s="185"/>
      <c r="E13" s="185"/>
      <c r="F13" s="459"/>
      <c r="G13" s="363"/>
      <c r="K13" s="380">
        <v>283958.07</v>
      </c>
    </row>
    <row r="14" spans="2:11" ht="22.5" x14ac:dyDescent="0.55000000000000004">
      <c r="B14" s="181" t="s">
        <v>122</v>
      </c>
      <c r="C14" s="184">
        <f>'PRESU INGRESOS'!E53+'PRESU INGRESOS'!E60+'PRESU INGRESOS'!E62+1149139.51</f>
        <v>3817173.79</v>
      </c>
      <c r="D14" s="181" t="s">
        <v>123</v>
      </c>
      <c r="E14" s="186">
        <f>+'FODES 75%'!D15</f>
        <v>3817173.79</v>
      </c>
      <c r="F14" s="460"/>
      <c r="G14" s="362">
        <f>C14-E14</f>
        <v>0</v>
      </c>
      <c r="K14" s="380">
        <v>136700</v>
      </c>
    </row>
    <row r="15" spans="2:11" ht="17.25" customHeight="1" x14ac:dyDescent="0.55000000000000004">
      <c r="B15" s="181"/>
      <c r="C15" s="184"/>
      <c r="D15" s="181"/>
      <c r="E15" s="186"/>
      <c r="F15" s="460"/>
      <c r="G15" s="363"/>
      <c r="I15" s="28" t="s">
        <v>383</v>
      </c>
      <c r="K15" s="380">
        <v>2195.98</v>
      </c>
    </row>
    <row r="16" spans="2:11" ht="17.25" customHeight="1" x14ac:dyDescent="0.3">
      <c r="B16" s="183" t="s">
        <v>405</v>
      </c>
      <c r="C16" s="337">
        <f>'PRESU INGRESOS'!E54+'PRESU INGRESOS'!E63+414449.42</f>
        <v>1455799.96</v>
      </c>
      <c r="D16" s="181" t="s">
        <v>406</v>
      </c>
      <c r="E16" s="186">
        <f>'FODES 2% '!D11</f>
        <v>1455799.96</v>
      </c>
      <c r="F16" s="460"/>
      <c r="G16" s="362">
        <f>C16-E16</f>
        <v>0</v>
      </c>
      <c r="K16" s="382">
        <f>SUM(K7:K15)</f>
        <v>8504347.3599999994</v>
      </c>
    </row>
    <row r="17" spans="2:11" ht="17.25" customHeight="1" x14ac:dyDescent="0.55000000000000004">
      <c r="B17" s="181"/>
      <c r="C17" s="184"/>
      <c r="D17" s="181"/>
      <c r="E17" s="186"/>
      <c r="F17" s="460"/>
      <c r="G17" s="363"/>
    </row>
    <row r="18" spans="2:11" ht="22.5" x14ac:dyDescent="0.55000000000000004">
      <c r="B18" s="181" t="s">
        <v>398</v>
      </c>
      <c r="C18" s="184">
        <f>'PRESU INGRESOS'!E64</f>
        <v>50008.14</v>
      </c>
      <c r="D18" s="181" t="s">
        <v>398</v>
      </c>
      <c r="E18" s="186">
        <f>+'GASTO FISDL'!D29</f>
        <v>50008.14</v>
      </c>
      <c r="F18" s="460"/>
      <c r="G18" s="362">
        <f>C18-E18</f>
        <v>0</v>
      </c>
    </row>
    <row r="19" spans="2:11" ht="22.5" x14ac:dyDescent="0.55000000000000004">
      <c r="B19" s="181"/>
      <c r="C19" s="184"/>
      <c r="D19" s="181"/>
      <c r="E19" s="186"/>
      <c r="F19" s="460"/>
      <c r="G19" s="362"/>
    </row>
    <row r="20" spans="2:11" ht="22.5" x14ac:dyDescent="0.55000000000000004">
      <c r="B20" s="181" t="s">
        <v>442</v>
      </c>
      <c r="C20" s="184">
        <f>'PRESU INGRESOS'!E65</f>
        <v>283958.07</v>
      </c>
      <c r="D20" s="181" t="s">
        <v>442</v>
      </c>
      <c r="E20" s="186">
        <f>'FONDO DE EMERGENCIA'!D27</f>
        <v>283958.07</v>
      </c>
      <c r="F20" s="460"/>
      <c r="G20" s="362">
        <f>C20-E20</f>
        <v>0</v>
      </c>
    </row>
    <row r="21" spans="2:11" ht="22.5" x14ac:dyDescent="0.55000000000000004">
      <c r="B21" s="181"/>
      <c r="C21" s="184"/>
      <c r="D21" s="181"/>
      <c r="E21" s="186"/>
      <c r="F21" s="460"/>
      <c r="G21" s="362"/>
      <c r="K21" s="380">
        <f>C14+C16</f>
        <v>5272973.75</v>
      </c>
    </row>
    <row r="22" spans="2:11" ht="22.5" x14ac:dyDescent="0.55000000000000004">
      <c r="B22" s="181" t="s">
        <v>454</v>
      </c>
      <c r="C22" s="184">
        <f>'PRESU INGRESOS'!E67</f>
        <v>136700</v>
      </c>
      <c r="D22" s="181" t="s">
        <v>455</v>
      </c>
      <c r="E22" s="186">
        <f>PRESTAMO!D19</f>
        <v>136700</v>
      </c>
      <c r="F22" s="460"/>
      <c r="G22" s="362"/>
      <c r="K22" s="382">
        <f>K21-'FODES 75%'!F11</f>
        <v>4621704.21</v>
      </c>
    </row>
    <row r="23" spans="2:11" ht="15.75" x14ac:dyDescent="0.25">
      <c r="B23" s="185"/>
      <c r="C23" s="185"/>
      <c r="D23" s="185"/>
      <c r="E23" s="185"/>
      <c r="F23" s="459"/>
      <c r="G23" s="361"/>
    </row>
    <row r="24" spans="2:11" ht="22.5" x14ac:dyDescent="0.55000000000000004">
      <c r="B24" s="181" t="s">
        <v>456</v>
      </c>
      <c r="C24" s="184">
        <f>'PRESU INGRESOS'!E66</f>
        <v>2195.98</v>
      </c>
      <c r="D24" s="181" t="s">
        <v>456</v>
      </c>
      <c r="E24" s="186">
        <f>MJSP!D19</f>
        <v>2195.98</v>
      </c>
      <c r="F24" s="460"/>
      <c r="G24" s="361"/>
      <c r="K24" s="380">
        <f>K21-K22</f>
        <v>651269.54</v>
      </c>
    </row>
    <row r="25" spans="2:11" ht="15.75" x14ac:dyDescent="0.25">
      <c r="B25" s="185"/>
      <c r="C25" s="185"/>
      <c r="D25" s="185"/>
      <c r="E25" s="185"/>
      <c r="F25" s="459"/>
      <c r="G25" s="361"/>
    </row>
    <row r="26" spans="2:11" ht="22.5" x14ac:dyDescent="0.55000000000000004">
      <c r="B26" s="185"/>
      <c r="C26" s="184">
        <f>SUM(C8:C25)</f>
        <v>8504347.1099999994</v>
      </c>
      <c r="D26" s="185"/>
      <c r="E26" s="184">
        <f>SUM(E8:E25)</f>
        <v>8504347.1050000004</v>
      </c>
      <c r="F26" s="458"/>
      <c r="G26" s="374">
        <f>C26-E26</f>
        <v>4.9999989569187164E-3</v>
      </c>
    </row>
    <row r="27" spans="2:11" x14ac:dyDescent="0.25">
      <c r="B27" s="185"/>
      <c r="C27" s="185"/>
      <c r="D27" s="185"/>
      <c r="E27" s="185"/>
      <c r="F27" s="459"/>
    </row>
    <row r="29" spans="2:11" x14ac:dyDescent="0.25">
      <c r="F29" s="365"/>
    </row>
    <row r="30" spans="2:11" x14ac:dyDescent="0.25">
      <c r="F30" s="365">
        <f>C26-E26</f>
        <v>4.9999989569187164E-3</v>
      </c>
    </row>
  </sheetData>
  <mergeCells count="6">
    <mergeCell ref="B2:E2"/>
    <mergeCell ref="B3:E3"/>
    <mergeCell ref="B4:E4"/>
    <mergeCell ref="B5:E5"/>
    <mergeCell ref="B7:C7"/>
    <mergeCell ref="D7:E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workbookViewId="0">
      <pane ySplit="10" topLeftCell="A11" activePane="bottomLeft" state="frozen"/>
      <selection pane="bottomLeft" activeCell="E18" sqref="E18"/>
    </sheetView>
  </sheetViews>
  <sheetFormatPr baseColWidth="10" defaultRowHeight="15" x14ac:dyDescent="0.25"/>
  <cols>
    <col min="1" max="1" width="2.42578125" style="28" customWidth="1"/>
    <col min="2" max="2" width="8.140625" style="28" customWidth="1"/>
    <col min="3" max="3" width="42.7109375" style="28" customWidth="1"/>
    <col min="4" max="4" width="13.7109375" style="28" customWidth="1"/>
    <col min="5" max="5" width="16.28515625" style="28" customWidth="1"/>
    <col min="6" max="16384" width="11.42578125" style="28"/>
  </cols>
  <sheetData>
    <row r="2" spans="2:6" ht="15.75" x14ac:dyDescent="0.25">
      <c r="B2" s="424" t="s">
        <v>425</v>
      </c>
      <c r="C2" s="424"/>
      <c r="D2" s="424"/>
      <c r="E2" s="424"/>
      <c r="F2" s="424"/>
    </row>
    <row r="3" spans="2:6" ht="15.75" x14ac:dyDescent="0.25">
      <c r="B3" s="424" t="s">
        <v>220</v>
      </c>
      <c r="C3" s="424"/>
      <c r="D3" s="424"/>
      <c r="E3" s="424"/>
      <c r="F3" s="424"/>
    </row>
    <row r="4" spans="2:6" ht="15.75" x14ac:dyDescent="0.25">
      <c r="B4" s="447" t="s">
        <v>221</v>
      </c>
      <c r="C4" s="447"/>
      <c r="D4" s="447"/>
      <c r="E4" s="447"/>
      <c r="F4" s="447"/>
    </row>
    <row r="5" spans="2:6" ht="15.75" x14ac:dyDescent="0.25">
      <c r="B5" s="447" t="s">
        <v>315</v>
      </c>
      <c r="C5" s="447"/>
      <c r="D5" s="447"/>
      <c r="E5" s="447"/>
      <c r="F5" s="447"/>
    </row>
    <row r="6" spans="2:6" ht="15.75" x14ac:dyDescent="0.25">
      <c r="B6" s="447" t="s">
        <v>223</v>
      </c>
      <c r="C6" s="447"/>
      <c r="D6" s="447"/>
      <c r="E6" s="447"/>
      <c r="F6" s="447"/>
    </row>
    <row r="7" spans="2:6" ht="15.75" x14ac:dyDescent="0.25">
      <c r="B7" s="424" t="s">
        <v>321</v>
      </c>
      <c r="C7" s="424"/>
      <c r="D7" s="424"/>
      <c r="E7" s="424"/>
      <c r="F7" s="424"/>
    </row>
    <row r="8" spans="2:6" x14ac:dyDescent="0.25">
      <c r="B8" s="37"/>
      <c r="C8" s="37"/>
      <c r="D8" s="37"/>
      <c r="E8" s="38"/>
      <c r="F8" s="37"/>
    </row>
    <row r="9" spans="2:6" x14ac:dyDescent="0.25">
      <c r="B9" s="446" t="s">
        <v>225</v>
      </c>
      <c r="C9" s="446" t="s">
        <v>226</v>
      </c>
      <c r="D9" s="111" t="s">
        <v>227</v>
      </c>
      <c r="E9" s="111" t="s">
        <v>228</v>
      </c>
      <c r="F9" s="446" t="s">
        <v>0</v>
      </c>
    </row>
    <row r="10" spans="2:6" ht="25.5" x14ac:dyDescent="0.25">
      <c r="B10" s="446"/>
      <c r="C10" s="446"/>
      <c r="D10" s="111" t="s">
        <v>229</v>
      </c>
      <c r="E10" s="325" t="s">
        <v>230</v>
      </c>
      <c r="F10" s="446"/>
    </row>
    <row r="11" spans="2:6" x14ac:dyDescent="0.25">
      <c r="B11" s="112">
        <v>51</v>
      </c>
      <c r="C11" s="113" t="s">
        <v>127</v>
      </c>
      <c r="D11" s="114">
        <f>SUM(D12+D15+D17)</f>
        <v>11607.75</v>
      </c>
      <c r="E11" s="114">
        <f>SUM(E12+E15+E17)</f>
        <v>10392.75</v>
      </c>
      <c r="F11" s="114">
        <f>SUM(F12+F15+F17)</f>
        <v>22000.5</v>
      </c>
    </row>
    <row r="12" spans="2:6" x14ac:dyDescent="0.25">
      <c r="B12" s="115">
        <v>511</v>
      </c>
      <c r="C12" s="116" t="s">
        <v>231</v>
      </c>
      <c r="D12" s="117">
        <f>SUM(D13:D14)</f>
        <v>10155</v>
      </c>
      <c r="E12" s="117">
        <f>SUM(E13:E14)</f>
        <v>8940</v>
      </c>
      <c r="F12" s="117">
        <f>SUM(F13:F14)</f>
        <v>19095</v>
      </c>
    </row>
    <row r="13" spans="2:6" x14ac:dyDescent="0.25">
      <c r="B13" s="118">
        <v>51101</v>
      </c>
      <c r="C13" s="119" t="s">
        <v>232</v>
      </c>
      <c r="D13" s="120">
        <v>8940</v>
      </c>
      <c r="E13" s="120">
        <v>8940</v>
      </c>
      <c r="F13" s="120">
        <f>SUM(D13:E13)</f>
        <v>17880</v>
      </c>
    </row>
    <row r="14" spans="2:6" x14ac:dyDescent="0.25">
      <c r="B14" s="118">
        <v>51103</v>
      </c>
      <c r="C14" s="121" t="s">
        <v>233</v>
      </c>
      <c r="D14" s="120">
        <v>1215</v>
      </c>
      <c r="E14" s="120">
        <v>0</v>
      </c>
      <c r="F14" s="120">
        <f>SUM(D14:E14)</f>
        <v>1215</v>
      </c>
    </row>
    <row r="15" spans="2:6" x14ac:dyDescent="0.25">
      <c r="B15" s="115">
        <v>514</v>
      </c>
      <c r="C15" s="113" t="s">
        <v>236</v>
      </c>
      <c r="D15" s="117">
        <f>SUM(D16)</f>
        <v>759.90000000000009</v>
      </c>
      <c r="E15" s="117">
        <f>SUM(E16)</f>
        <v>759.90000000000009</v>
      </c>
      <c r="F15" s="117">
        <f>SUM(F16)</f>
        <v>1519.8000000000002</v>
      </c>
    </row>
    <row r="16" spans="2:6" x14ac:dyDescent="0.25">
      <c r="B16" s="122">
        <v>51401</v>
      </c>
      <c r="C16" s="121" t="s">
        <v>237</v>
      </c>
      <c r="D16" s="120">
        <f>D13*8.5%</f>
        <v>759.90000000000009</v>
      </c>
      <c r="E16" s="120">
        <f>E13*8.5%</f>
        <v>759.90000000000009</v>
      </c>
      <c r="F16" s="120">
        <f>SUM(D16:E16)</f>
        <v>1519.8000000000002</v>
      </c>
    </row>
    <row r="17" spans="2:6" x14ac:dyDescent="0.25">
      <c r="B17" s="115">
        <v>515</v>
      </c>
      <c r="C17" s="123" t="s">
        <v>238</v>
      </c>
      <c r="D17" s="117">
        <f>SUM(D18:D18)</f>
        <v>692.85</v>
      </c>
      <c r="E17" s="117">
        <f>SUM(E18:E18)</f>
        <v>692.85</v>
      </c>
      <c r="F17" s="117">
        <f>SUM(F18:F18)</f>
        <v>1385.7</v>
      </c>
    </row>
    <row r="18" spans="2:6" x14ac:dyDescent="0.25">
      <c r="B18" s="122">
        <v>51501</v>
      </c>
      <c r="C18" s="121" t="s">
        <v>237</v>
      </c>
      <c r="D18" s="120">
        <f>D13*7.75%</f>
        <v>692.85</v>
      </c>
      <c r="E18" s="120">
        <f>E13*7.75%</f>
        <v>692.85</v>
      </c>
      <c r="F18" s="120">
        <f>SUM(D18:E18)</f>
        <v>1385.7</v>
      </c>
    </row>
    <row r="19" spans="2:6" x14ac:dyDescent="0.25">
      <c r="B19" s="115">
        <v>54</v>
      </c>
      <c r="C19" s="123" t="s">
        <v>282</v>
      </c>
      <c r="D19" s="117">
        <f>SUM(D20+D24)</f>
        <v>1073.25</v>
      </c>
      <c r="E19" s="117">
        <f>SUM(E20+E24)</f>
        <v>0</v>
      </c>
      <c r="F19" s="117">
        <f>SUM(F20+F24)</f>
        <v>1073.25</v>
      </c>
    </row>
    <row r="20" spans="2:6" x14ac:dyDescent="0.25">
      <c r="B20" s="115">
        <v>541</v>
      </c>
      <c r="C20" s="123" t="s">
        <v>322</v>
      </c>
      <c r="D20" s="117">
        <f>SUM(D21:D23)</f>
        <v>1052.25</v>
      </c>
      <c r="E20" s="117">
        <f>SUM(E21:E23)</f>
        <v>0</v>
      </c>
      <c r="F20" s="117">
        <f>SUM(F21:F23)</f>
        <v>1052.25</v>
      </c>
    </row>
    <row r="21" spans="2:6" x14ac:dyDescent="0.25">
      <c r="B21" s="122">
        <v>54105</v>
      </c>
      <c r="C21" s="121" t="s">
        <v>246</v>
      </c>
      <c r="D21" s="120">
        <v>205.8</v>
      </c>
      <c r="E21" s="120"/>
      <c r="F21" s="120">
        <f>D21+E21</f>
        <v>205.8</v>
      </c>
    </row>
    <row r="22" spans="2:6" x14ac:dyDescent="0.25">
      <c r="B22" s="122">
        <v>54114</v>
      </c>
      <c r="C22" s="121" t="s">
        <v>250</v>
      </c>
      <c r="D22" s="120">
        <v>460.45</v>
      </c>
      <c r="E22" s="120"/>
      <c r="F22" s="120">
        <f>SUM(D22:E22)</f>
        <v>460.45</v>
      </c>
    </row>
    <row r="23" spans="2:6" x14ac:dyDescent="0.25">
      <c r="B23" s="122">
        <v>54115</v>
      </c>
      <c r="C23" s="121" t="s">
        <v>251</v>
      </c>
      <c r="D23" s="120">
        <v>386</v>
      </c>
      <c r="E23" s="120"/>
      <c r="F23" s="120">
        <f>SUM(D23:E23)</f>
        <v>386</v>
      </c>
    </row>
    <row r="24" spans="2:6" x14ac:dyDescent="0.25">
      <c r="B24" s="112">
        <v>544</v>
      </c>
      <c r="C24" s="113" t="s">
        <v>261</v>
      </c>
      <c r="D24" s="114">
        <f>SUM(D25:D25)</f>
        <v>21</v>
      </c>
      <c r="E24" s="114">
        <f>SUM(E25:E25)</f>
        <v>0</v>
      </c>
      <c r="F24" s="114">
        <f>SUM(F25:F25)</f>
        <v>21</v>
      </c>
    </row>
    <row r="25" spans="2:6" x14ac:dyDescent="0.25">
      <c r="B25" s="122">
        <v>54401</v>
      </c>
      <c r="C25" s="121" t="s">
        <v>262</v>
      </c>
      <c r="D25" s="120">
        <v>21</v>
      </c>
      <c r="E25" s="120"/>
      <c r="F25" s="120">
        <f>SUM(D25:E25)</f>
        <v>21</v>
      </c>
    </row>
    <row r="26" spans="2:6" x14ac:dyDescent="0.25">
      <c r="B26" s="91">
        <v>61</v>
      </c>
      <c r="C26" s="103" t="s">
        <v>277</v>
      </c>
      <c r="D26" s="104">
        <f>SUM(D27)</f>
        <v>150</v>
      </c>
      <c r="E26" s="104">
        <f t="shared" ref="E26:F26" si="0">SUM(E27)</f>
        <v>0</v>
      </c>
      <c r="F26" s="104">
        <f t="shared" si="0"/>
        <v>150</v>
      </c>
    </row>
    <row r="27" spans="2:6" x14ac:dyDescent="0.25">
      <c r="B27" s="91">
        <v>611</v>
      </c>
      <c r="C27" s="103" t="s">
        <v>324</v>
      </c>
      <c r="D27" s="104">
        <f>SUM(D28:D28)</f>
        <v>150</v>
      </c>
      <c r="E27" s="104">
        <f>SUM(E28:E28)</f>
        <v>0</v>
      </c>
      <c r="F27" s="104">
        <f>SUM(F28:F28)</f>
        <v>150</v>
      </c>
    </row>
    <row r="28" spans="2:6" x14ac:dyDescent="0.25">
      <c r="B28" s="105">
        <v>61104</v>
      </c>
      <c r="C28" s="106" t="s">
        <v>325</v>
      </c>
      <c r="D28" s="107">
        <v>150</v>
      </c>
      <c r="E28" s="107"/>
      <c r="F28" s="107">
        <f>SUM(D28:E28)</f>
        <v>150</v>
      </c>
    </row>
    <row r="29" spans="2:6" x14ac:dyDescent="0.25">
      <c r="B29" s="122"/>
      <c r="C29" s="121"/>
      <c r="D29" s="120"/>
      <c r="E29" s="120"/>
      <c r="F29" s="120"/>
    </row>
    <row r="30" spans="2:6" x14ac:dyDescent="0.25">
      <c r="B30" s="122"/>
      <c r="C30" s="123" t="s">
        <v>69</v>
      </c>
      <c r="D30" s="117">
        <f>SUM(D11+D19+D26)</f>
        <v>12831</v>
      </c>
      <c r="E30" s="117">
        <f>SUM(E11+E19)</f>
        <v>10392.75</v>
      </c>
      <c r="F30" s="117">
        <f>SUM(D30:E30)</f>
        <v>23223.75</v>
      </c>
    </row>
    <row r="31" spans="2:6" x14ac:dyDescent="0.25">
      <c r="B31" s="122"/>
      <c r="C31" s="121"/>
      <c r="D31" s="120"/>
      <c r="E31" s="120"/>
      <c r="F31" s="120"/>
    </row>
    <row r="32" spans="2:6" x14ac:dyDescent="0.25">
      <c r="B32" s="115"/>
      <c r="C32" s="123" t="s">
        <v>60</v>
      </c>
      <c r="D32" s="117">
        <f>SUM(D11+D19+D26)</f>
        <v>12831</v>
      </c>
      <c r="E32" s="117">
        <f>SUM(E11+E19)</f>
        <v>10392.75</v>
      </c>
      <c r="F32" s="117">
        <f>SUM(F11+F19+F26)</f>
        <v>23223.75</v>
      </c>
    </row>
    <row r="33" spans="2:6" x14ac:dyDescent="0.25">
      <c r="B33" s="115"/>
      <c r="C33" s="123" t="s">
        <v>61</v>
      </c>
      <c r="D33" s="117">
        <f>SUM(D12+D15+D17+D20+D24+D27)</f>
        <v>12831</v>
      </c>
      <c r="E33" s="117">
        <f>SUM(E12+E15+E17+E20+E24)</f>
        <v>10392.75</v>
      </c>
      <c r="F33" s="117">
        <f>SUM(F12+F15+F17+F20+F24+F27)</f>
        <v>23223.75</v>
      </c>
    </row>
    <row r="34" spans="2:6" x14ac:dyDescent="0.25">
      <c r="B34" s="115"/>
      <c r="C34" s="123" t="s">
        <v>62</v>
      </c>
      <c r="D34" s="117">
        <f>SUM(D13+D14+D16+D18+D21+D22+D23+D25+D28)</f>
        <v>12831</v>
      </c>
      <c r="E34" s="117">
        <f>SUM(E13+E14+E16+E18+E21+E22+E23+E25)</f>
        <v>10392.75</v>
      </c>
      <c r="F34" s="117">
        <f>SUM(F13+F14+F16+F18+F21+F22+F23+F25+F28)</f>
        <v>23223.75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workbookViewId="0">
      <pane ySplit="10" topLeftCell="A11" activePane="bottomLeft" state="frozen"/>
      <selection pane="bottomLeft" activeCell="H31" sqref="H31"/>
    </sheetView>
  </sheetViews>
  <sheetFormatPr baseColWidth="10" defaultRowHeight="15" x14ac:dyDescent="0.25"/>
  <cols>
    <col min="1" max="1" width="2.85546875" style="28" customWidth="1"/>
    <col min="2" max="2" width="8.140625" style="28" customWidth="1"/>
    <col min="3" max="3" width="42.85546875" style="28" customWidth="1"/>
    <col min="4" max="4" width="13.28515625" style="28" customWidth="1"/>
    <col min="5" max="5" width="16" style="28" customWidth="1"/>
    <col min="6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315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5.75" x14ac:dyDescent="0.25">
      <c r="B7" s="425" t="s">
        <v>147</v>
      </c>
      <c r="C7" s="425"/>
      <c r="D7" s="425"/>
      <c r="E7" s="425"/>
      <c r="F7" s="425"/>
    </row>
    <row r="8" spans="2:6" x14ac:dyDescent="0.25">
      <c r="B8" s="29"/>
      <c r="C8" s="29"/>
      <c r="D8" s="29"/>
      <c r="E8" s="30"/>
      <c r="F8" s="29"/>
    </row>
    <row r="9" spans="2:6" x14ac:dyDescent="0.25">
      <c r="B9" s="421" t="s">
        <v>225</v>
      </c>
      <c r="C9" s="421" t="s">
        <v>226</v>
      </c>
      <c r="D9" s="92" t="s">
        <v>227</v>
      </c>
      <c r="E9" s="92" t="s">
        <v>228</v>
      </c>
      <c r="F9" s="421" t="s">
        <v>0</v>
      </c>
    </row>
    <row r="10" spans="2:6" ht="25.5" x14ac:dyDescent="0.25">
      <c r="B10" s="421"/>
      <c r="C10" s="421"/>
      <c r="D10" s="92" t="s">
        <v>229</v>
      </c>
      <c r="E10" s="323" t="s">
        <v>230</v>
      </c>
      <c r="F10" s="421"/>
    </row>
    <row r="11" spans="2:6" x14ac:dyDescent="0.25">
      <c r="B11" s="71">
        <v>51</v>
      </c>
      <c r="C11" s="100" t="s">
        <v>127</v>
      </c>
      <c r="D11" s="94">
        <f>SUM(D12+D15+D17)</f>
        <v>45671.932500000003</v>
      </c>
      <c r="E11" s="238">
        <f t="shared" ref="E11:F11" si="0">SUM(E12+E15+E17)</f>
        <v>12909.5625</v>
      </c>
      <c r="F11" s="94">
        <f t="shared" si="0"/>
        <v>58581.494999999995</v>
      </c>
    </row>
    <row r="12" spans="2:6" x14ac:dyDescent="0.25">
      <c r="B12" s="76">
        <v>511</v>
      </c>
      <c r="C12" s="108" t="s">
        <v>231</v>
      </c>
      <c r="D12" s="96">
        <f>SUM(D13:D14)</f>
        <v>39735</v>
      </c>
      <c r="E12" s="96">
        <f>SUM(E13:E14)</f>
        <v>11105</v>
      </c>
      <c r="F12" s="96">
        <f>SUM(F13:F14)</f>
        <v>50840</v>
      </c>
    </row>
    <row r="13" spans="2:6" x14ac:dyDescent="0.25">
      <c r="B13" s="79">
        <v>51101</v>
      </c>
      <c r="C13" s="97" t="s">
        <v>232</v>
      </c>
      <c r="D13" s="98">
        <v>36535</v>
      </c>
      <c r="E13" s="98">
        <v>11105</v>
      </c>
      <c r="F13" s="98">
        <f>SUM(D13:E13)</f>
        <v>47640</v>
      </c>
    </row>
    <row r="14" spans="2:6" x14ac:dyDescent="0.25">
      <c r="B14" s="79">
        <v>51103</v>
      </c>
      <c r="C14" s="99" t="s">
        <v>233</v>
      </c>
      <c r="D14" s="98">
        <v>3200</v>
      </c>
      <c r="E14" s="98">
        <v>0</v>
      </c>
      <c r="F14" s="98">
        <f>SUM(D14:E14)</f>
        <v>3200</v>
      </c>
    </row>
    <row r="15" spans="2:6" x14ac:dyDescent="0.25">
      <c r="B15" s="76">
        <v>514</v>
      </c>
      <c r="C15" s="100" t="s">
        <v>236</v>
      </c>
      <c r="D15" s="96">
        <f>SUM(D16)</f>
        <v>3105.47</v>
      </c>
      <c r="E15" s="96">
        <f t="shared" ref="E15:F15" si="1">SUM(E16)</f>
        <v>943.92500000000007</v>
      </c>
      <c r="F15" s="96">
        <f t="shared" si="1"/>
        <v>4049.395</v>
      </c>
    </row>
    <row r="16" spans="2:6" x14ac:dyDescent="0.25">
      <c r="B16" s="85">
        <v>51401</v>
      </c>
      <c r="C16" s="99" t="s">
        <v>237</v>
      </c>
      <c r="D16" s="98">
        <v>3105.47</v>
      </c>
      <c r="E16" s="107">
        <f>E13*8.5%</f>
        <v>943.92500000000007</v>
      </c>
      <c r="F16" s="98">
        <f>SUM(D16:E16)</f>
        <v>4049.395</v>
      </c>
    </row>
    <row r="17" spans="2:6" x14ac:dyDescent="0.25">
      <c r="B17" s="76">
        <v>515</v>
      </c>
      <c r="C17" s="101" t="s">
        <v>238</v>
      </c>
      <c r="D17" s="96">
        <f>SUM(D18:D18)</f>
        <v>2831.4625000000001</v>
      </c>
      <c r="E17" s="96">
        <f>SUM(E18:E18)</f>
        <v>860.63750000000005</v>
      </c>
      <c r="F17" s="96">
        <f>SUM(F18:F18)</f>
        <v>3692.1000000000004</v>
      </c>
    </row>
    <row r="18" spans="2:6" x14ac:dyDescent="0.25">
      <c r="B18" s="85">
        <v>51501</v>
      </c>
      <c r="C18" s="99" t="s">
        <v>237</v>
      </c>
      <c r="D18" s="98">
        <f>D13*7.75%</f>
        <v>2831.4625000000001</v>
      </c>
      <c r="E18" s="98">
        <f>E13*7.75%</f>
        <v>860.63750000000005</v>
      </c>
      <c r="F18" s="98">
        <f>SUM(D18:E18)</f>
        <v>3692.1000000000004</v>
      </c>
    </row>
    <row r="19" spans="2:6" x14ac:dyDescent="0.25">
      <c r="B19" s="76">
        <v>54</v>
      </c>
      <c r="C19" s="101" t="s">
        <v>282</v>
      </c>
      <c r="D19" s="96">
        <f>SUM(D20+D25+D28)</f>
        <v>7900</v>
      </c>
      <c r="E19" s="96">
        <f>SUM(E20+E25+E28)</f>
        <v>0</v>
      </c>
      <c r="F19" s="96">
        <f>SUM(F20+F25+F28)</f>
        <v>7900</v>
      </c>
    </row>
    <row r="20" spans="2:6" x14ac:dyDescent="0.25">
      <c r="B20" s="76">
        <v>541</v>
      </c>
      <c r="C20" s="101" t="s">
        <v>283</v>
      </c>
      <c r="D20" s="96">
        <f>SUM(D21:D24)</f>
        <v>4500</v>
      </c>
      <c r="E20" s="96">
        <f>SUM(E21:E24)</f>
        <v>0</v>
      </c>
      <c r="F20" s="96">
        <f>SUM(F21:F24)</f>
        <v>4500</v>
      </c>
    </row>
    <row r="21" spans="2:6" x14ac:dyDescent="0.25">
      <c r="B21" s="85">
        <v>54105</v>
      </c>
      <c r="C21" s="99" t="s">
        <v>246</v>
      </c>
      <c r="D21" s="98">
        <v>1200</v>
      </c>
      <c r="E21" s="98">
        <v>0</v>
      </c>
      <c r="F21" s="98">
        <f t="shared" ref="F21:F24" si="2">SUM(D21:E21)</f>
        <v>1200</v>
      </c>
    </row>
    <row r="22" spans="2:6" x14ac:dyDescent="0.25">
      <c r="B22" s="85">
        <v>54114</v>
      </c>
      <c r="C22" s="99" t="s">
        <v>250</v>
      </c>
      <c r="D22" s="98">
        <v>1000</v>
      </c>
      <c r="E22" s="98">
        <v>0</v>
      </c>
      <c r="F22" s="98">
        <f t="shared" si="2"/>
        <v>1000</v>
      </c>
    </row>
    <row r="23" spans="2:6" x14ac:dyDescent="0.25">
      <c r="B23" s="85">
        <v>54115</v>
      </c>
      <c r="C23" s="99" t="s">
        <v>251</v>
      </c>
      <c r="D23" s="98">
        <v>1500</v>
      </c>
      <c r="E23" s="98">
        <v>0</v>
      </c>
      <c r="F23" s="98">
        <f t="shared" si="2"/>
        <v>1500</v>
      </c>
    </row>
    <row r="24" spans="2:6" x14ac:dyDescent="0.25">
      <c r="B24" s="85">
        <v>54118</v>
      </c>
      <c r="C24" s="99" t="s">
        <v>372</v>
      </c>
      <c r="D24" s="98">
        <v>800</v>
      </c>
      <c r="E24" s="136">
        <v>0</v>
      </c>
      <c r="F24" s="137">
        <f t="shared" si="2"/>
        <v>800</v>
      </c>
    </row>
    <row r="25" spans="2:6" x14ac:dyDescent="0.25">
      <c r="B25" s="76">
        <v>543</v>
      </c>
      <c r="C25" s="101" t="s">
        <v>254</v>
      </c>
      <c r="D25" s="96">
        <f>SUM(D26:D27)</f>
        <v>2800</v>
      </c>
      <c r="E25" s="96">
        <f>SUM(E26:E27)</f>
        <v>0</v>
      </c>
      <c r="F25" s="96">
        <f>SUM(F26:F27)</f>
        <v>2800</v>
      </c>
    </row>
    <row r="26" spans="2:6" x14ac:dyDescent="0.25">
      <c r="B26" s="85">
        <v>54301</v>
      </c>
      <c r="C26" s="99" t="s">
        <v>323</v>
      </c>
      <c r="D26" s="107">
        <v>800</v>
      </c>
      <c r="E26" s="98">
        <v>0</v>
      </c>
      <c r="F26" s="98">
        <f>SUM(D26:E26)</f>
        <v>800</v>
      </c>
    </row>
    <row r="27" spans="2:6" x14ac:dyDescent="0.25">
      <c r="B27" s="85">
        <v>54313</v>
      </c>
      <c r="C27" s="99" t="s">
        <v>258</v>
      </c>
      <c r="D27" s="107">
        <v>2000</v>
      </c>
      <c r="E27" s="98">
        <v>0</v>
      </c>
      <c r="F27" s="98">
        <f>SUM(D27:E27)</f>
        <v>2000</v>
      </c>
    </row>
    <row r="28" spans="2:6" x14ac:dyDescent="0.25">
      <c r="B28" s="71">
        <v>544</v>
      </c>
      <c r="C28" s="100" t="s">
        <v>261</v>
      </c>
      <c r="D28" s="94">
        <f>SUM(D29:D29)</f>
        <v>600</v>
      </c>
      <c r="E28" s="94">
        <f t="shared" ref="E28" si="3">SUM(E29:E29)</f>
        <v>0</v>
      </c>
      <c r="F28" s="94">
        <f>SUM(F29:F29)</f>
        <v>600</v>
      </c>
    </row>
    <row r="29" spans="2:6" x14ac:dyDescent="0.25">
      <c r="B29" s="85">
        <v>54401</v>
      </c>
      <c r="C29" s="99" t="s">
        <v>262</v>
      </c>
      <c r="D29" s="98">
        <v>600</v>
      </c>
      <c r="E29" s="98">
        <v>0</v>
      </c>
      <c r="F29" s="98">
        <f>SUM(D29:E29)</f>
        <v>600</v>
      </c>
    </row>
    <row r="30" spans="2:6" x14ac:dyDescent="0.25">
      <c r="B30" s="76">
        <v>55</v>
      </c>
      <c r="C30" s="101" t="s">
        <v>129</v>
      </c>
      <c r="D30" s="96">
        <f>SUM(D31:D31)</f>
        <v>15000</v>
      </c>
      <c r="E30" s="96">
        <f>SUM(E31:E31)</f>
        <v>0</v>
      </c>
      <c r="F30" s="96">
        <f>SUM(F31)</f>
        <v>15000</v>
      </c>
    </row>
    <row r="31" spans="2:6" x14ac:dyDescent="0.25">
      <c r="B31" s="76">
        <v>557</v>
      </c>
      <c r="C31" s="101" t="s">
        <v>393</v>
      </c>
      <c r="D31" s="96">
        <f>SUM(D32:D32)</f>
        <v>15000</v>
      </c>
      <c r="E31" s="96">
        <f>SUM(E32:E32)</f>
        <v>0</v>
      </c>
      <c r="F31" s="96">
        <f>SUM(F32:F32)</f>
        <v>15000</v>
      </c>
    </row>
    <row r="32" spans="2:6" x14ac:dyDescent="0.25">
      <c r="B32" s="85">
        <v>55704</v>
      </c>
      <c r="C32" s="99" t="s">
        <v>392</v>
      </c>
      <c r="D32" s="107">
        <v>15000</v>
      </c>
      <c r="E32" s="107">
        <v>0</v>
      </c>
      <c r="F32" s="98">
        <f>D32+E32</f>
        <v>15000</v>
      </c>
    </row>
    <row r="33" spans="2:6" x14ac:dyDescent="0.25">
      <c r="B33" s="76">
        <v>61</v>
      </c>
      <c r="C33" s="101" t="s">
        <v>277</v>
      </c>
      <c r="D33" s="104">
        <f>SUM(D34)</f>
        <v>1100</v>
      </c>
      <c r="E33" s="104">
        <f t="shared" ref="E33:F33" si="4">SUM(E34)</f>
        <v>0</v>
      </c>
      <c r="F33" s="96">
        <f t="shared" si="4"/>
        <v>1100</v>
      </c>
    </row>
    <row r="34" spans="2:6" x14ac:dyDescent="0.25">
      <c r="B34" s="76">
        <v>611</v>
      </c>
      <c r="C34" s="101" t="s">
        <v>324</v>
      </c>
      <c r="D34" s="104">
        <f>SUM(D35:D35)</f>
        <v>1100</v>
      </c>
      <c r="E34" s="104">
        <f>SUM(E35:E35)</f>
        <v>0</v>
      </c>
      <c r="F34" s="96">
        <f>SUM(F35:F36)</f>
        <v>1100</v>
      </c>
    </row>
    <row r="35" spans="2:6" x14ac:dyDescent="0.25">
      <c r="B35" s="85">
        <v>61104</v>
      </c>
      <c r="C35" s="99" t="s">
        <v>325</v>
      </c>
      <c r="D35" s="107">
        <v>1100</v>
      </c>
      <c r="E35" s="107">
        <v>0</v>
      </c>
      <c r="F35" s="98">
        <f>SUM(D35:E35)</f>
        <v>1100</v>
      </c>
    </row>
    <row r="36" spans="2:6" x14ac:dyDescent="0.25">
      <c r="B36" s="85"/>
      <c r="C36" s="99"/>
      <c r="D36" s="107"/>
      <c r="E36" s="107"/>
      <c r="F36" s="98"/>
    </row>
    <row r="37" spans="2:6" x14ac:dyDescent="0.25">
      <c r="B37" s="85"/>
      <c r="C37" s="101" t="s">
        <v>69</v>
      </c>
      <c r="D37" s="96">
        <f>SUM(D11+D19+D30+D33)</f>
        <v>69671.932499999995</v>
      </c>
      <c r="E37" s="96">
        <f>SUM(E11+E19+E30+E33)</f>
        <v>12909.5625</v>
      </c>
      <c r="F37" s="96">
        <f>SUM(D37:E37)</f>
        <v>82581.494999999995</v>
      </c>
    </row>
    <row r="38" spans="2:6" x14ac:dyDescent="0.25">
      <c r="B38" s="85"/>
      <c r="C38" s="99"/>
      <c r="D38" s="98"/>
      <c r="E38" s="98"/>
      <c r="F38" s="98"/>
    </row>
    <row r="39" spans="2:6" x14ac:dyDescent="0.25">
      <c r="B39" s="76"/>
      <c r="C39" s="101" t="s">
        <v>60</v>
      </c>
      <c r="D39" s="96">
        <f>SUM(D11+D19+D30+D33)</f>
        <v>69671.932499999995</v>
      </c>
      <c r="E39" s="96">
        <f>SUM(E11+E19+E33)</f>
        <v>12909.5625</v>
      </c>
      <c r="F39" s="96">
        <f>SUM(F11+F19+F30+F33)</f>
        <v>82581.494999999995</v>
      </c>
    </row>
    <row r="40" spans="2:6" x14ac:dyDescent="0.25">
      <c r="B40" s="76"/>
      <c r="C40" s="101" t="s">
        <v>61</v>
      </c>
      <c r="D40" s="96">
        <f>SUM(D12+D15+D17+D20+D25+D28+D31+D34)</f>
        <v>69671.932499999995</v>
      </c>
      <c r="E40" s="96">
        <f>SUM(E12+E15+E17+E20+E25+E28+E34)</f>
        <v>12909.5625</v>
      </c>
      <c r="F40" s="96">
        <f>SUM(F12+F15+F17+F20+F25+F28+F31+F34)</f>
        <v>82581.494999999995</v>
      </c>
    </row>
    <row r="41" spans="2:6" x14ac:dyDescent="0.25">
      <c r="B41" s="76"/>
      <c r="C41" s="101" t="s">
        <v>62</v>
      </c>
      <c r="D41" s="96">
        <f>SUM(D13+D14+D16+D18+D21+D22+D23+D24+D26+D27+D29+D32+D35)</f>
        <v>69671.932499999995</v>
      </c>
      <c r="E41" s="96">
        <f>SUM(E13+E14+E16+E18+E21+E22+E23+E24+E26+E27+E29+E35)</f>
        <v>12909.5625</v>
      </c>
      <c r="F41" s="96">
        <f>SUM(F13+F14+F16+F18+F21+F22+F23+F24+F26+F27+F29+F32+F35)</f>
        <v>82581.494999999995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workbookViewId="0">
      <pane ySplit="10" topLeftCell="A11" activePane="bottomLeft" state="frozen"/>
      <selection pane="bottomLeft" activeCell="H27" sqref="H27"/>
    </sheetView>
  </sheetViews>
  <sheetFormatPr baseColWidth="10" defaultRowHeight="15" x14ac:dyDescent="0.25"/>
  <cols>
    <col min="1" max="1" width="3.140625" style="28" customWidth="1"/>
    <col min="2" max="2" width="8" style="28" customWidth="1"/>
    <col min="3" max="3" width="42.28515625" style="28" customWidth="1"/>
    <col min="4" max="4" width="12.42578125" style="28" customWidth="1"/>
    <col min="5" max="5" width="16" style="28" customWidth="1"/>
    <col min="6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47" t="s">
        <v>221</v>
      </c>
      <c r="C4" s="447"/>
      <c r="D4" s="447"/>
      <c r="E4" s="447"/>
      <c r="F4" s="447"/>
    </row>
    <row r="5" spans="2:6" ht="15.75" x14ac:dyDescent="0.25">
      <c r="B5" s="447" t="s">
        <v>315</v>
      </c>
      <c r="C5" s="447"/>
      <c r="D5" s="447"/>
      <c r="E5" s="447"/>
      <c r="F5" s="447"/>
    </row>
    <row r="6" spans="2:6" ht="15.75" x14ac:dyDescent="0.25">
      <c r="B6" s="447" t="s">
        <v>223</v>
      </c>
      <c r="C6" s="447"/>
      <c r="D6" s="447"/>
      <c r="E6" s="447"/>
      <c r="F6" s="447"/>
    </row>
    <row r="7" spans="2:6" ht="15.75" x14ac:dyDescent="0.25">
      <c r="B7" s="425" t="s">
        <v>148</v>
      </c>
      <c r="C7" s="425"/>
      <c r="D7" s="425"/>
      <c r="E7" s="425"/>
      <c r="F7" s="425"/>
    </row>
    <row r="8" spans="2:6" x14ac:dyDescent="0.25">
      <c r="B8" s="41"/>
      <c r="C8" s="41"/>
      <c r="D8" s="41"/>
      <c r="E8" s="38"/>
      <c r="F8" s="41"/>
    </row>
    <row r="9" spans="2:6" x14ac:dyDescent="0.25">
      <c r="B9" s="446" t="s">
        <v>225</v>
      </c>
      <c r="C9" s="446" t="s">
        <v>226</v>
      </c>
      <c r="D9" s="111" t="s">
        <v>227</v>
      </c>
      <c r="E9" s="111" t="s">
        <v>228</v>
      </c>
      <c r="F9" s="448" t="s">
        <v>0</v>
      </c>
    </row>
    <row r="10" spans="2:6" ht="25.5" x14ac:dyDescent="0.25">
      <c r="B10" s="446"/>
      <c r="C10" s="446"/>
      <c r="D10" s="111" t="s">
        <v>229</v>
      </c>
      <c r="E10" s="325" t="s">
        <v>230</v>
      </c>
      <c r="F10" s="448"/>
    </row>
    <row r="11" spans="2:6" x14ac:dyDescent="0.25">
      <c r="B11" s="112">
        <v>51</v>
      </c>
      <c r="C11" s="113" t="s">
        <v>127</v>
      </c>
      <c r="D11" s="114">
        <f>SUM(D12+D15+D17)</f>
        <v>15184.875</v>
      </c>
      <c r="E11" s="114">
        <f>SUM(E12+E15+E17)</f>
        <v>6242.625</v>
      </c>
      <c r="F11" s="114">
        <f>SUM(F12+F15+F17)</f>
        <v>21427.5</v>
      </c>
    </row>
    <row r="12" spans="2:6" x14ac:dyDescent="0.25">
      <c r="B12" s="115">
        <v>511</v>
      </c>
      <c r="C12" s="116" t="s">
        <v>231</v>
      </c>
      <c r="D12" s="117">
        <f>SUM(D13:D14)</f>
        <v>13230</v>
      </c>
      <c r="E12" s="117">
        <f>SUM(E13:E14)</f>
        <v>5370</v>
      </c>
      <c r="F12" s="117">
        <f>SUM(F13:F14)</f>
        <v>18600</v>
      </c>
    </row>
    <row r="13" spans="2:6" x14ac:dyDescent="0.25">
      <c r="B13" s="118">
        <v>51101</v>
      </c>
      <c r="C13" s="119" t="s">
        <v>232</v>
      </c>
      <c r="D13" s="120">
        <v>12030</v>
      </c>
      <c r="E13" s="120">
        <v>5370</v>
      </c>
      <c r="F13" s="120">
        <f>SUM(D13:E13)</f>
        <v>17400</v>
      </c>
    </row>
    <row r="14" spans="2:6" x14ac:dyDescent="0.25">
      <c r="B14" s="118">
        <v>51103</v>
      </c>
      <c r="C14" s="121" t="s">
        <v>233</v>
      </c>
      <c r="D14" s="120">
        <v>1200</v>
      </c>
      <c r="E14" s="120">
        <v>0</v>
      </c>
      <c r="F14" s="120">
        <f>SUM(D14:E14)</f>
        <v>1200</v>
      </c>
    </row>
    <row r="15" spans="2:6" x14ac:dyDescent="0.25">
      <c r="B15" s="115">
        <v>514</v>
      </c>
      <c r="C15" s="113" t="s">
        <v>236</v>
      </c>
      <c r="D15" s="117">
        <f>SUM(D16)</f>
        <v>1022.5500000000001</v>
      </c>
      <c r="E15" s="117">
        <f t="shared" ref="E15:F15" si="0">SUM(E16)</f>
        <v>456.45000000000005</v>
      </c>
      <c r="F15" s="117">
        <f t="shared" si="0"/>
        <v>1479</v>
      </c>
    </row>
    <row r="16" spans="2:6" x14ac:dyDescent="0.25">
      <c r="B16" s="122">
        <v>51401</v>
      </c>
      <c r="C16" s="121" t="s">
        <v>237</v>
      </c>
      <c r="D16" s="120">
        <f>D13*8.5%</f>
        <v>1022.5500000000001</v>
      </c>
      <c r="E16" s="120">
        <f>E13*8.5%</f>
        <v>456.45000000000005</v>
      </c>
      <c r="F16" s="120">
        <f>SUM(D16:E16)</f>
        <v>1479</v>
      </c>
    </row>
    <row r="17" spans="2:6" x14ac:dyDescent="0.25">
      <c r="B17" s="115">
        <v>515</v>
      </c>
      <c r="C17" s="123" t="s">
        <v>238</v>
      </c>
      <c r="D17" s="117">
        <f>SUM(D18:D18)</f>
        <v>932.32500000000005</v>
      </c>
      <c r="E17" s="117">
        <f>SUM(E18:E18)</f>
        <v>416.17500000000001</v>
      </c>
      <c r="F17" s="117">
        <f>SUM(F18:F18)</f>
        <v>1348.5</v>
      </c>
    </row>
    <row r="18" spans="2:6" x14ac:dyDescent="0.25">
      <c r="B18" s="122">
        <v>51501</v>
      </c>
      <c r="C18" s="121" t="s">
        <v>237</v>
      </c>
      <c r="D18" s="120">
        <f>D13*7.75%</f>
        <v>932.32500000000005</v>
      </c>
      <c r="E18" s="120">
        <f>E13*7.75%</f>
        <v>416.17500000000001</v>
      </c>
      <c r="F18" s="120">
        <f>SUM(D18:E18)</f>
        <v>1348.5</v>
      </c>
    </row>
    <row r="19" spans="2:6" x14ac:dyDescent="0.25">
      <c r="B19" s="115">
        <v>54</v>
      </c>
      <c r="C19" s="123" t="s">
        <v>282</v>
      </c>
      <c r="D19" s="117">
        <f>SUM(D20+D25)</f>
        <v>3800</v>
      </c>
      <c r="E19" s="117">
        <f t="shared" ref="E19:F19" si="1">SUM(E20+E25)</f>
        <v>0</v>
      </c>
      <c r="F19" s="117">
        <f t="shared" si="1"/>
        <v>3800</v>
      </c>
    </row>
    <row r="20" spans="2:6" x14ac:dyDescent="0.25">
      <c r="B20" s="115">
        <v>541</v>
      </c>
      <c r="C20" s="123" t="s">
        <v>242</v>
      </c>
      <c r="D20" s="117">
        <f>SUM(D21:D24)</f>
        <v>2400</v>
      </c>
      <c r="E20" s="117">
        <f>SUM(E21:E24)</f>
        <v>0</v>
      </c>
      <c r="F20" s="117">
        <f>SUM(F21:F24)</f>
        <v>2400</v>
      </c>
    </row>
    <row r="21" spans="2:6" x14ac:dyDescent="0.25">
      <c r="B21" s="122">
        <v>54105</v>
      </c>
      <c r="C21" s="121" t="s">
        <v>246</v>
      </c>
      <c r="D21" s="135">
        <v>1200</v>
      </c>
      <c r="E21" s="120">
        <v>0</v>
      </c>
      <c r="F21" s="120">
        <f>SUM(D21:E21)</f>
        <v>1200</v>
      </c>
    </row>
    <row r="22" spans="2:6" x14ac:dyDescent="0.25">
      <c r="B22" s="122">
        <v>54114</v>
      </c>
      <c r="C22" s="121" t="s">
        <v>250</v>
      </c>
      <c r="D22" s="135">
        <v>600</v>
      </c>
      <c r="E22" s="120">
        <v>0</v>
      </c>
      <c r="F22" s="120">
        <f>SUM(D22:E22)</f>
        <v>600</v>
      </c>
    </row>
    <row r="23" spans="2:6" x14ac:dyDescent="0.25">
      <c r="B23" s="122">
        <v>54115</v>
      </c>
      <c r="C23" s="121" t="s">
        <v>251</v>
      </c>
      <c r="D23" s="135">
        <v>500</v>
      </c>
      <c r="E23" s="120">
        <v>0</v>
      </c>
      <c r="F23" s="120">
        <f>SUM(D23:E23)</f>
        <v>500</v>
      </c>
    </row>
    <row r="24" spans="2:6" x14ac:dyDescent="0.25">
      <c r="B24" s="122">
        <v>54199</v>
      </c>
      <c r="C24" s="121" t="s">
        <v>253</v>
      </c>
      <c r="D24" s="120">
        <v>100</v>
      </c>
      <c r="E24" s="120">
        <v>0</v>
      </c>
      <c r="F24" s="120">
        <f>SUM(D24:E24)</f>
        <v>100</v>
      </c>
    </row>
    <row r="25" spans="2:6" x14ac:dyDescent="0.25">
      <c r="B25" s="115">
        <v>543</v>
      </c>
      <c r="C25" s="123" t="s">
        <v>254</v>
      </c>
      <c r="D25" s="117">
        <f>SUM(D26:D27)</f>
        <v>1400</v>
      </c>
      <c r="E25" s="117">
        <f>SUM(E27:E27)</f>
        <v>0</v>
      </c>
      <c r="F25" s="117">
        <f>SUM(F26:F27)</f>
        <v>1400</v>
      </c>
    </row>
    <row r="26" spans="2:6" x14ac:dyDescent="0.25">
      <c r="B26" s="122">
        <v>54301</v>
      </c>
      <c r="C26" s="121" t="s">
        <v>323</v>
      </c>
      <c r="D26" s="120">
        <v>400</v>
      </c>
      <c r="E26" s="120">
        <v>0</v>
      </c>
      <c r="F26" s="120">
        <f>SUM(D26:E26)</f>
        <v>400</v>
      </c>
    </row>
    <row r="27" spans="2:6" x14ac:dyDescent="0.25">
      <c r="B27" s="122">
        <v>54313</v>
      </c>
      <c r="C27" s="131" t="s">
        <v>258</v>
      </c>
      <c r="D27" s="135">
        <v>1000</v>
      </c>
      <c r="E27" s="135">
        <v>0</v>
      </c>
      <c r="F27" s="135">
        <f>SUM(D27:E27)</f>
        <v>1000</v>
      </c>
    </row>
    <row r="28" spans="2:6" x14ac:dyDescent="0.25">
      <c r="B28" s="122"/>
      <c r="C28" s="121"/>
      <c r="D28" s="120"/>
      <c r="E28" s="120"/>
      <c r="F28" s="120"/>
    </row>
    <row r="29" spans="2:6" x14ac:dyDescent="0.25">
      <c r="B29" s="122"/>
      <c r="C29" s="123" t="s">
        <v>69</v>
      </c>
      <c r="D29" s="117">
        <f>SUM(D11+D19)</f>
        <v>18984.875</v>
      </c>
      <c r="E29" s="117">
        <f>SUM(E11+E19)</f>
        <v>6242.625</v>
      </c>
      <c r="F29" s="117">
        <f>SUM(D29:E29)</f>
        <v>25227.5</v>
      </c>
    </row>
    <row r="30" spans="2:6" x14ac:dyDescent="0.25">
      <c r="B30" s="122"/>
      <c r="C30" s="121"/>
      <c r="D30" s="120"/>
      <c r="E30" s="120"/>
      <c r="F30" s="120"/>
    </row>
    <row r="31" spans="2:6" x14ac:dyDescent="0.25">
      <c r="B31" s="115"/>
      <c r="C31" s="123" t="s">
        <v>60</v>
      </c>
      <c r="D31" s="117">
        <f>SUM(D11+D19)</f>
        <v>18984.875</v>
      </c>
      <c r="E31" s="117">
        <f>SUM(E11+E19)</f>
        <v>6242.625</v>
      </c>
      <c r="F31" s="117">
        <f>SUM(F11+F19)</f>
        <v>25227.5</v>
      </c>
    </row>
    <row r="32" spans="2:6" x14ac:dyDescent="0.25">
      <c r="B32" s="115"/>
      <c r="C32" s="123" t="s">
        <v>61</v>
      </c>
      <c r="D32" s="117">
        <f>SUM(D12+D15+D17+D20+D25)</f>
        <v>18984.875</v>
      </c>
      <c r="E32" s="117">
        <f>SUM(E12+E15+E17+E20+E25)</f>
        <v>6242.625</v>
      </c>
      <c r="F32" s="117">
        <f>SUM(F12+F15+F17+F20+F25)</f>
        <v>25227.5</v>
      </c>
    </row>
    <row r="33" spans="2:6" x14ac:dyDescent="0.25">
      <c r="B33" s="115"/>
      <c r="C33" s="123" t="s">
        <v>62</v>
      </c>
      <c r="D33" s="117">
        <f>SUM(D13+D14+D16+D18+D21+D22+D23+D24+D26+D27)</f>
        <v>18984.875</v>
      </c>
      <c r="E33" s="117">
        <f>SUM(E13+E14+E16+E18+E21+E22+E23+E24+E27)</f>
        <v>6242.625</v>
      </c>
      <c r="F33" s="117">
        <f>SUM(F13+F14+F16+F18+F21+F22+F23+F24+F26+F27)</f>
        <v>25227.5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workbookViewId="0">
      <pane ySplit="10" topLeftCell="A11" activePane="bottomLeft" state="frozen"/>
      <selection pane="bottomLeft" activeCell="E20" sqref="E20"/>
    </sheetView>
  </sheetViews>
  <sheetFormatPr baseColWidth="10" defaultRowHeight="15" x14ac:dyDescent="0.25"/>
  <cols>
    <col min="1" max="1" width="2.7109375" style="28" customWidth="1"/>
    <col min="2" max="2" width="7.85546875" style="28" customWidth="1"/>
    <col min="3" max="3" width="41.85546875" style="28" customWidth="1"/>
    <col min="4" max="4" width="12.7109375" style="28" customWidth="1"/>
    <col min="5" max="5" width="16" style="28" customWidth="1"/>
    <col min="6" max="6" width="12.2851562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315</v>
      </c>
      <c r="C5" s="423"/>
      <c r="D5" s="423"/>
      <c r="E5" s="423"/>
      <c r="F5" s="423"/>
    </row>
    <row r="6" spans="2:6" ht="15.75" x14ac:dyDescent="0.25">
      <c r="B6" s="423" t="s">
        <v>223</v>
      </c>
      <c r="C6" s="423"/>
      <c r="D6" s="423"/>
      <c r="E6" s="423"/>
      <c r="F6" s="423"/>
    </row>
    <row r="7" spans="2:6" ht="15.75" x14ac:dyDescent="0.25">
      <c r="B7" s="425" t="s">
        <v>326</v>
      </c>
      <c r="C7" s="425"/>
      <c r="D7" s="425"/>
      <c r="E7" s="425"/>
      <c r="F7" s="425"/>
    </row>
    <row r="8" spans="2:6" x14ac:dyDescent="0.25">
      <c r="B8" s="29"/>
      <c r="C8" s="29"/>
      <c r="D8" s="29"/>
      <c r="E8" s="30"/>
      <c r="F8" s="29"/>
    </row>
    <row r="9" spans="2:6" x14ac:dyDescent="0.25">
      <c r="B9" s="421" t="s">
        <v>225</v>
      </c>
      <c r="C9" s="421" t="s">
        <v>226</v>
      </c>
      <c r="D9" s="92" t="s">
        <v>227</v>
      </c>
      <c r="E9" s="92" t="s">
        <v>228</v>
      </c>
      <c r="F9" s="421" t="s">
        <v>0</v>
      </c>
    </row>
    <row r="10" spans="2:6" ht="25.5" x14ac:dyDescent="0.25">
      <c r="B10" s="421"/>
      <c r="C10" s="421"/>
      <c r="D10" s="92" t="s">
        <v>229</v>
      </c>
      <c r="E10" s="323" t="s">
        <v>230</v>
      </c>
      <c r="F10" s="421"/>
    </row>
    <row r="11" spans="2:6" x14ac:dyDescent="0.25">
      <c r="B11" s="71">
        <v>51</v>
      </c>
      <c r="C11" s="100" t="s">
        <v>127</v>
      </c>
      <c r="D11" s="94">
        <f>SUM(D12+D16+D18)</f>
        <v>11217.5</v>
      </c>
      <c r="E11" s="94">
        <f>SUM(E12+E16+E18)</f>
        <v>9067.5</v>
      </c>
      <c r="F11" s="94">
        <f>SUM(F12+F16+F18)</f>
        <v>20285</v>
      </c>
    </row>
    <row r="12" spans="2:6" x14ac:dyDescent="0.25">
      <c r="B12" s="76">
        <v>511</v>
      </c>
      <c r="C12" s="108" t="s">
        <v>231</v>
      </c>
      <c r="D12" s="96">
        <f>SUM(D13:D15)</f>
        <v>9950</v>
      </c>
      <c r="E12" s="96">
        <f>SUM(E13:E15)</f>
        <v>7800</v>
      </c>
      <c r="F12" s="96">
        <f>SUM(F13:F15)</f>
        <v>17750</v>
      </c>
    </row>
    <row r="13" spans="2:6" x14ac:dyDescent="0.25">
      <c r="B13" s="79">
        <v>51101</v>
      </c>
      <c r="C13" s="97" t="s">
        <v>232</v>
      </c>
      <c r="D13" s="98">
        <v>7800</v>
      </c>
      <c r="E13" s="98">
        <v>7800</v>
      </c>
      <c r="F13" s="98">
        <f>SUM(D13:E13)</f>
        <v>15600</v>
      </c>
    </row>
    <row r="14" spans="2:6" x14ac:dyDescent="0.25">
      <c r="B14" s="79">
        <v>51103</v>
      </c>
      <c r="C14" s="99" t="s">
        <v>233</v>
      </c>
      <c r="D14" s="98">
        <v>1150</v>
      </c>
      <c r="E14" s="98">
        <v>0</v>
      </c>
      <c r="F14" s="98">
        <f>SUM(D14:E14)</f>
        <v>1150</v>
      </c>
    </row>
    <row r="15" spans="2:6" x14ac:dyDescent="0.25">
      <c r="B15" s="85">
        <v>51107</v>
      </c>
      <c r="C15" s="138" t="s">
        <v>235</v>
      </c>
      <c r="D15" s="98">
        <v>1000</v>
      </c>
      <c r="E15" s="98">
        <v>0</v>
      </c>
      <c r="F15" s="98">
        <f>SUM(D15:E15)</f>
        <v>1000</v>
      </c>
    </row>
    <row r="16" spans="2:6" x14ac:dyDescent="0.25">
      <c r="B16" s="76">
        <v>514</v>
      </c>
      <c r="C16" s="100" t="s">
        <v>236</v>
      </c>
      <c r="D16" s="96">
        <f>SUM(D17)</f>
        <v>663</v>
      </c>
      <c r="E16" s="96">
        <f t="shared" ref="E16:F16" si="0">SUM(E17)</f>
        <v>663</v>
      </c>
      <c r="F16" s="96">
        <f t="shared" si="0"/>
        <v>1326</v>
      </c>
    </row>
    <row r="17" spans="2:6" x14ac:dyDescent="0.25">
      <c r="B17" s="85">
        <v>51401</v>
      </c>
      <c r="C17" s="99" t="s">
        <v>237</v>
      </c>
      <c r="D17" s="98">
        <f>D13*8.5%</f>
        <v>663</v>
      </c>
      <c r="E17" s="98">
        <f>E13*8.5%</f>
        <v>663</v>
      </c>
      <c r="F17" s="98">
        <f>SUM(D17:E17)</f>
        <v>1326</v>
      </c>
    </row>
    <row r="18" spans="2:6" x14ac:dyDescent="0.25">
      <c r="B18" s="76">
        <v>515</v>
      </c>
      <c r="C18" s="101" t="s">
        <v>238</v>
      </c>
      <c r="D18" s="96">
        <f>SUM(D19:D19)</f>
        <v>604.5</v>
      </c>
      <c r="E18" s="96">
        <f>SUM(E19:E19)</f>
        <v>604.5</v>
      </c>
      <c r="F18" s="96">
        <f>SUM(F19:F19)</f>
        <v>1209</v>
      </c>
    </row>
    <row r="19" spans="2:6" x14ac:dyDescent="0.25">
      <c r="B19" s="85">
        <v>51501</v>
      </c>
      <c r="C19" s="99" t="s">
        <v>237</v>
      </c>
      <c r="D19" s="98">
        <f>D13*7.75%</f>
        <v>604.5</v>
      </c>
      <c r="E19" s="98">
        <f>E13*7.75%</f>
        <v>604.5</v>
      </c>
      <c r="F19" s="98">
        <f>SUM(D19:E19)</f>
        <v>1209</v>
      </c>
    </row>
    <row r="20" spans="2:6" x14ac:dyDescent="0.25">
      <c r="B20" s="76">
        <v>54</v>
      </c>
      <c r="C20" s="101" t="s">
        <v>282</v>
      </c>
      <c r="D20" s="96">
        <f>SUM(D21+D30)</f>
        <v>6868.35</v>
      </c>
      <c r="E20" s="96">
        <f>SUM(E21+E30)</f>
        <v>2300</v>
      </c>
      <c r="F20" s="96">
        <f>SUM(F21+F30)</f>
        <v>9168.35</v>
      </c>
    </row>
    <row r="21" spans="2:6" x14ac:dyDescent="0.25">
      <c r="B21" s="76">
        <v>541</v>
      </c>
      <c r="C21" s="101" t="s">
        <v>242</v>
      </c>
      <c r="D21" s="96">
        <f>SUM(D22:D29)</f>
        <v>6506.35</v>
      </c>
      <c r="E21" s="96">
        <f>SUM(E22:E29)</f>
        <v>0</v>
      </c>
      <c r="F21" s="96">
        <f>SUM(F22:F29)</f>
        <v>6506.35</v>
      </c>
    </row>
    <row r="22" spans="2:6" x14ac:dyDescent="0.25">
      <c r="B22" s="85">
        <v>54105</v>
      </c>
      <c r="C22" s="99" t="s">
        <v>246</v>
      </c>
      <c r="D22" s="98">
        <v>150</v>
      </c>
      <c r="E22" s="98">
        <v>0</v>
      </c>
      <c r="F22" s="98">
        <f t="shared" ref="F22:F29" si="1">SUM(D22:E22)</f>
        <v>150</v>
      </c>
    </row>
    <row r="23" spans="2:6" x14ac:dyDescent="0.25">
      <c r="B23" s="85">
        <v>54111</v>
      </c>
      <c r="C23" s="99" t="s">
        <v>328</v>
      </c>
      <c r="D23" s="107">
        <v>3000</v>
      </c>
      <c r="E23" s="98">
        <v>0</v>
      </c>
      <c r="F23" s="98">
        <f t="shared" si="1"/>
        <v>3000</v>
      </c>
    </row>
    <row r="24" spans="2:6" x14ac:dyDescent="0.25">
      <c r="B24" s="85">
        <v>54112</v>
      </c>
      <c r="C24" s="99" t="s">
        <v>249</v>
      </c>
      <c r="D24" s="107">
        <v>2000</v>
      </c>
      <c r="E24" s="98">
        <v>0</v>
      </c>
      <c r="F24" s="98">
        <f t="shared" si="1"/>
        <v>2000</v>
      </c>
    </row>
    <row r="25" spans="2:6" x14ac:dyDescent="0.25">
      <c r="B25" s="85">
        <v>54114</v>
      </c>
      <c r="C25" s="99" t="s">
        <v>250</v>
      </c>
      <c r="D25" s="98">
        <v>100</v>
      </c>
      <c r="E25" s="98">
        <v>0</v>
      </c>
      <c r="F25" s="98">
        <f t="shared" si="1"/>
        <v>100</v>
      </c>
    </row>
    <row r="26" spans="2:6" x14ac:dyDescent="0.25">
      <c r="B26" s="85">
        <v>54115</v>
      </c>
      <c r="C26" s="99" t="s">
        <v>251</v>
      </c>
      <c r="D26" s="98">
        <v>65</v>
      </c>
      <c r="E26" s="98">
        <v>0</v>
      </c>
      <c r="F26" s="98">
        <f t="shared" si="1"/>
        <v>65</v>
      </c>
    </row>
    <row r="27" spans="2:6" x14ac:dyDescent="0.25">
      <c r="B27" s="85">
        <v>54118</v>
      </c>
      <c r="C27" s="99" t="s">
        <v>291</v>
      </c>
      <c r="D27" s="98">
        <v>300</v>
      </c>
      <c r="E27" s="98">
        <v>0</v>
      </c>
      <c r="F27" s="98">
        <f t="shared" si="1"/>
        <v>300</v>
      </c>
    </row>
    <row r="28" spans="2:6" x14ac:dyDescent="0.25">
      <c r="B28" s="85">
        <v>54119</v>
      </c>
      <c r="C28" s="99" t="s">
        <v>252</v>
      </c>
      <c r="D28" s="98">
        <v>785.35</v>
      </c>
      <c r="E28" s="98">
        <v>0</v>
      </c>
      <c r="F28" s="98">
        <f t="shared" si="1"/>
        <v>785.35</v>
      </c>
    </row>
    <row r="29" spans="2:6" x14ac:dyDescent="0.25">
      <c r="B29" s="85">
        <v>54199</v>
      </c>
      <c r="C29" s="99" t="s">
        <v>253</v>
      </c>
      <c r="D29" s="98">
        <v>106</v>
      </c>
      <c r="E29" s="98">
        <v>0</v>
      </c>
      <c r="F29" s="98">
        <f t="shared" si="1"/>
        <v>106</v>
      </c>
    </row>
    <row r="30" spans="2:6" x14ac:dyDescent="0.25">
      <c r="B30" s="76">
        <v>543</v>
      </c>
      <c r="C30" s="101" t="s">
        <v>254</v>
      </c>
      <c r="D30" s="96">
        <f>SUM(D31:D31)</f>
        <v>362</v>
      </c>
      <c r="E30" s="96">
        <f>SUM(E31:E33)</f>
        <v>2300</v>
      </c>
      <c r="F30" s="96">
        <f>SUM(F31:F33)</f>
        <v>2662</v>
      </c>
    </row>
    <row r="31" spans="2:6" x14ac:dyDescent="0.25">
      <c r="B31" s="85">
        <v>54301</v>
      </c>
      <c r="C31" s="99" t="s">
        <v>255</v>
      </c>
      <c r="D31" s="98">
        <v>362</v>
      </c>
      <c r="E31" s="98">
        <v>0</v>
      </c>
      <c r="F31" s="98">
        <f>SUM(D31:E31)</f>
        <v>362</v>
      </c>
    </row>
    <row r="32" spans="2:6" ht="15.75" x14ac:dyDescent="0.25">
      <c r="B32" s="85">
        <v>54303</v>
      </c>
      <c r="C32" s="99" t="s">
        <v>256</v>
      </c>
      <c r="D32" s="321">
        <v>0</v>
      </c>
      <c r="E32" s="98">
        <v>1300</v>
      </c>
      <c r="F32" s="98">
        <f>SUM(D32:E32)</f>
        <v>1300</v>
      </c>
    </row>
    <row r="33" spans="2:6" ht="15.75" x14ac:dyDescent="0.25">
      <c r="B33" s="85">
        <v>54305</v>
      </c>
      <c r="C33" s="99" t="s">
        <v>401</v>
      </c>
      <c r="D33" s="264">
        <v>0</v>
      </c>
      <c r="E33" s="98">
        <v>1000</v>
      </c>
      <c r="F33" s="98">
        <f>SUM(D33:E33)</f>
        <v>1000</v>
      </c>
    </row>
    <row r="34" spans="2:6" x14ac:dyDescent="0.25">
      <c r="B34" s="85"/>
      <c r="C34" s="99"/>
      <c r="D34" s="98"/>
      <c r="E34" s="98"/>
      <c r="F34" s="98"/>
    </row>
    <row r="35" spans="2:6" x14ac:dyDescent="0.25">
      <c r="B35" s="85"/>
      <c r="C35" s="101" t="s">
        <v>69</v>
      </c>
      <c r="D35" s="96">
        <f>SUM(D11+D20)</f>
        <v>18085.849999999999</v>
      </c>
      <c r="E35" s="96">
        <f>SUM(E11+E20)</f>
        <v>11367.5</v>
      </c>
      <c r="F35" s="96">
        <f>SUM(D35:E35)</f>
        <v>29453.35</v>
      </c>
    </row>
    <row r="36" spans="2:6" x14ac:dyDescent="0.25">
      <c r="B36" s="85"/>
      <c r="C36" s="99"/>
      <c r="D36" s="98"/>
      <c r="E36" s="98"/>
      <c r="F36" s="98"/>
    </row>
    <row r="37" spans="2:6" x14ac:dyDescent="0.25">
      <c r="B37" s="76"/>
      <c r="C37" s="101" t="s">
        <v>60</v>
      </c>
      <c r="D37" s="96">
        <f>SUM(D11+D20)</f>
        <v>18085.849999999999</v>
      </c>
      <c r="E37" s="96">
        <f>SUM(E11+E20)</f>
        <v>11367.5</v>
      </c>
      <c r="F37" s="96">
        <f>SUM(F11+F20)</f>
        <v>29453.35</v>
      </c>
    </row>
    <row r="38" spans="2:6" x14ac:dyDescent="0.25">
      <c r="B38" s="76"/>
      <c r="C38" s="101" t="s">
        <v>61</v>
      </c>
      <c r="D38" s="96">
        <f>SUM(D12+D16+D18+D21+D30)</f>
        <v>18085.849999999999</v>
      </c>
      <c r="E38" s="96">
        <f>SUM(E12+E16+E18+E21+E30)</f>
        <v>11367.5</v>
      </c>
      <c r="F38" s="96">
        <f>SUM(F12+F16+F18+F21+F30)</f>
        <v>29453.35</v>
      </c>
    </row>
    <row r="39" spans="2:6" x14ac:dyDescent="0.25">
      <c r="B39" s="76"/>
      <c r="C39" s="101" t="s">
        <v>62</v>
      </c>
      <c r="D39" s="96">
        <f>+D13+D14+D15+D17+D19+D22+D23+D24+D25+D26+D27+D28+D29+D31</f>
        <v>18085.849999999999</v>
      </c>
      <c r="E39" s="96">
        <f>+E13+E14+E15+E17+E19+E22+E23+E24+E25+E26+E27+E28+E29+E31+E32+E33</f>
        <v>11367.5</v>
      </c>
      <c r="F39" s="96">
        <f>+F13+F14+F15+F17+F19+F22+F23+F24+F25+F26+F27+F28+F29+F31+F32+F33</f>
        <v>29453.35</v>
      </c>
    </row>
  </sheetData>
  <mergeCells count="9">
    <mergeCell ref="B9:B10"/>
    <mergeCell ref="C9:C10"/>
    <mergeCell ref="F9:F10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pane ySplit="11" topLeftCell="A12" activePane="bottomLeft" state="frozen"/>
      <selection pane="bottomLeft" activeCell="C21" sqref="C21"/>
    </sheetView>
  </sheetViews>
  <sheetFormatPr baseColWidth="10" defaultRowHeight="15" x14ac:dyDescent="0.25"/>
  <cols>
    <col min="1" max="1" width="3" style="28" customWidth="1"/>
    <col min="2" max="2" width="8" style="28" customWidth="1"/>
    <col min="3" max="3" width="42.140625" style="28" customWidth="1"/>
    <col min="4" max="4" width="13.5703125" style="28" customWidth="1"/>
    <col min="5" max="5" width="13.85546875" style="28" customWidth="1"/>
    <col min="6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329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187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13498.25</v>
      </c>
      <c r="E12" s="94">
        <f>SUM(E13+E16+E18)</f>
        <v>16251.75</v>
      </c>
      <c r="F12" s="94">
        <f>SUM(F13+F16+F18)</f>
        <v>29750</v>
      </c>
    </row>
    <row r="13" spans="2:6" x14ac:dyDescent="0.25">
      <c r="B13" s="76">
        <v>511</v>
      </c>
      <c r="C13" s="108" t="s">
        <v>231</v>
      </c>
      <c r="D13" s="96">
        <f>SUM(D14:D15)</f>
        <v>11870</v>
      </c>
      <c r="E13" s="96">
        <f>SUM(E14:E15)</f>
        <v>13980</v>
      </c>
      <c r="F13" s="96">
        <f>SUM(F14:F15)</f>
        <v>25850</v>
      </c>
    </row>
    <row r="14" spans="2:6" x14ac:dyDescent="0.25">
      <c r="B14" s="79">
        <v>51101</v>
      </c>
      <c r="C14" s="97" t="s">
        <v>232</v>
      </c>
      <c r="D14" s="98">
        <v>10020</v>
      </c>
      <c r="E14" s="98">
        <v>13980</v>
      </c>
      <c r="F14" s="98">
        <f>SUM(D14:E14)</f>
        <v>24000</v>
      </c>
    </row>
    <row r="15" spans="2:6" x14ac:dyDescent="0.25">
      <c r="B15" s="79">
        <v>51103</v>
      </c>
      <c r="C15" s="99" t="s">
        <v>233</v>
      </c>
      <c r="D15" s="98">
        <v>1850</v>
      </c>
      <c r="E15" s="98">
        <v>0</v>
      </c>
      <c r="F15" s="98">
        <f>SUM(D15:E15)</f>
        <v>1850</v>
      </c>
    </row>
    <row r="16" spans="2:6" x14ac:dyDescent="0.25">
      <c r="B16" s="76">
        <v>514</v>
      </c>
      <c r="C16" s="100" t="s">
        <v>236</v>
      </c>
      <c r="D16" s="96">
        <f>SUM(D17)</f>
        <v>851.7</v>
      </c>
      <c r="E16" s="96">
        <f t="shared" ref="E16:F16" si="0">SUM(E17)</f>
        <v>1188.3000000000002</v>
      </c>
      <c r="F16" s="96">
        <f t="shared" si="0"/>
        <v>2040.0000000000002</v>
      </c>
    </row>
    <row r="17" spans="2:6" x14ac:dyDescent="0.25">
      <c r="B17" s="85">
        <v>51401</v>
      </c>
      <c r="C17" s="99" t="s">
        <v>237</v>
      </c>
      <c r="D17" s="98">
        <f>D14*8.5%</f>
        <v>851.7</v>
      </c>
      <c r="E17" s="98">
        <f>E14*8.5%</f>
        <v>1188.3000000000002</v>
      </c>
      <c r="F17" s="98">
        <f>SUM(D17:E17)</f>
        <v>2040.0000000000002</v>
      </c>
    </row>
    <row r="18" spans="2:6" x14ac:dyDescent="0.25">
      <c r="B18" s="76">
        <v>515</v>
      </c>
      <c r="C18" s="101" t="s">
        <v>238</v>
      </c>
      <c r="D18" s="96">
        <f>SUM(D19:D19)</f>
        <v>776.55</v>
      </c>
      <c r="E18" s="96">
        <f>SUM(E19:E19)</f>
        <v>1083.45</v>
      </c>
      <c r="F18" s="96">
        <f>SUM(F19:F19)</f>
        <v>1860</v>
      </c>
    </row>
    <row r="19" spans="2:6" x14ac:dyDescent="0.25">
      <c r="B19" s="85">
        <v>51501</v>
      </c>
      <c r="C19" s="99" t="s">
        <v>237</v>
      </c>
      <c r="D19" s="98">
        <f>D14*7.75%</f>
        <v>776.55</v>
      </c>
      <c r="E19" s="98">
        <f>E14*7.75%</f>
        <v>1083.45</v>
      </c>
      <c r="F19" s="98">
        <f>SUM(D19:E19)</f>
        <v>1860</v>
      </c>
    </row>
    <row r="20" spans="2:6" x14ac:dyDescent="0.25">
      <c r="B20" s="76">
        <v>54</v>
      </c>
      <c r="C20" s="101" t="s">
        <v>282</v>
      </c>
      <c r="D20" s="96">
        <f>SUM(D21+D26)</f>
        <v>4098.1900000000005</v>
      </c>
      <c r="E20" s="96">
        <f>SUM(E21+E26)</f>
        <v>0</v>
      </c>
      <c r="F20" s="96">
        <f>SUM(F21+F26)</f>
        <v>4098.1900000000005</v>
      </c>
    </row>
    <row r="21" spans="2:6" x14ac:dyDescent="0.25">
      <c r="B21" s="76">
        <v>541</v>
      </c>
      <c r="C21" s="101" t="s">
        <v>283</v>
      </c>
      <c r="D21" s="96">
        <f>SUM(D22:D25)</f>
        <v>3198.19</v>
      </c>
      <c r="E21" s="96">
        <f>SUM(E22:E25)</f>
        <v>0</v>
      </c>
      <c r="F21" s="96">
        <f>SUM(F22:F25)</f>
        <v>3198.19</v>
      </c>
    </row>
    <row r="22" spans="2:6" x14ac:dyDescent="0.25">
      <c r="B22" s="85">
        <v>54105</v>
      </c>
      <c r="C22" s="99" t="s">
        <v>246</v>
      </c>
      <c r="D22" s="98">
        <v>869.62</v>
      </c>
      <c r="E22" s="98">
        <v>0</v>
      </c>
      <c r="F22" s="98">
        <f>SUM(D22:E22)</f>
        <v>869.62</v>
      </c>
    </row>
    <row r="23" spans="2:6" x14ac:dyDescent="0.25">
      <c r="B23" s="85">
        <v>54114</v>
      </c>
      <c r="C23" s="99" t="s">
        <v>250</v>
      </c>
      <c r="D23" s="98">
        <v>58.57</v>
      </c>
      <c r="E23" s="98">
        <v>0</v>
      </c>
      <c r="F23" s="98">
        <f>SUM(D23:E23)</f>
        <v>58.57</v>
      </c>
    </row>
    <row r="24" spans="2:6" x14ac:dyDescent="0.25">
      <c r="B24" s="85">
        <v>54115</v>
      </c>
      <c r="C24" s="99" t="s">
        <v>251</v>
      </c>
      <c r="D24" s="98">
        <v>1970</v>
      </c>
      <c r="E24" s="98">
        <v>0</v>
      </c>
      <c r="F24" s="98">
        <f>SUM(D24:E24)</f>
        <v>1970</v>
      </c>
    </row>
    <row r="25" spans="2:6" x14ac:dyDescent="0.25">
      <c r="B25" s="85">
        <v>54199</v>
      </c>
      <c r="C25" s="99" t="s">
        <v>253</v>
      </c>
      <c r="D25" s="98">
        <v>300</v>
      </c>
      <c r="E25" s="98">
        <v>0</v>
      </c>
      <c r="F25" s="98">
        <f>SUM(D25:E25)</f>
        <v>300</v>
      </c>
    </row>
    <row r="26" spans="2:6" x14ac:dyDescent="0.25">
      <c r="B26" s="76">
        <v>543</v>
      </c>
      <c r="C26" s="101" t="s">
        <v>254</v>
      </c>
      <c r="D26" s="96">
        <f>SUM(D27:D28)</f>
        <v>900</v>
      </c>
      <c r="E26" s="96">
        <f>SUM(E27:E27)</f>
        <v>0</v>
      </c>
      <c r="F26" s="96">
        <f>SUM(F27:F28)</f>
        <v>900</v>
      </c>
    </row>
    <row r="27" spans="2:6" x14ac:dyDescent="0.25">
      <c r="B27" s="85">
        <v>54301</v>
      </c>
      <c r="C27" s="99" t="s">
        <v>255</v>
      </c>
      <c r="D27" s="98">
        <v>300</v>
      </c>
      <c r="E27" s="98">
        <v>0</v>
      </c>
      <c r="F27" s="98">
        <f>SUM(D27:E27)</f>
        <v>300</v>
      </c>
    </row>
    <row r="28" spans="2:6" x14ac:dyDescent="0.25">
      <c r="B28" s="85">
        <v>54313</v>
      </c>
      <c r="C28" s="99" t="s">
        <v>258</v>
      </c>
      <c r="D28" s="98">
        <v>600</v>
      </c>
      <c r="E28" s="98">
        <v>0</v>
      </c>
      <c r="F28" s="98">
        <f>SUM(D28:E28)</f>
        <v>600</v>
      </c>
    </row>
    <row r="29" spans="2:6" x14ac:dyDescent="0.25">
      <c r="B29" s="76">
        <v>61</v>
      </c>
      <c r="C29" s="101" t="s">
        <v>277</v>
      </c>
      <c r="D29" s="96">
        <f>SUM(D30)</f>
        <v>3600</v>
      </c>
      <c r="E29" s="96">
        <f t="shared" ref="E29:F29" si="1">SUM(E30)</f>
        <v>0</v>
      </c>
      <c r="F29" s="96">
        <f t="shared" si="1"/>
        <v>3600</v>
      </c>
    </row>
    <row r="30" spans="2:6" x14ac:dyDescent="0.25">
      <c r="B30" s="76">
        <v>611</v>
      </c>
      <c r="C30" s="101" t="s">
        <v>278</v>
      </c>
      <c r="D30" s="96">
        <f>SUM(D31:D31)</f>
        <v>3600</v>
      </c>
      <c r="E30" s="96">
        <f>SUM(E31:E31)</f>
        <v>0</v>
      </c>
      <c r="F30" s="96">
        <f>SUM(F31:F31)</f>
        <v>3600</v>
      </c>
    </row>
    <row r="31" spans="2:6" x14ac:dyDescent="0.25">
      <c r="B31" s="85">
        <v>61104</v>
      </c>
      <c r="C31" s="99" t="s">
        <v>332</v>
      </c>
      <c r="D31" s="98">
        <v>3600</v>
      </c>
      <c r="E31" s="98">
        <v>0</v>
      </c>
      <c r="F31" s="98">
        <f>SUM(D31:E31)</f>
        <v>3600</v>
      </c>
    </row>
    <row r="32" spans="2:6" x14ac:dyDescent="0.25">
      <c r="B32" s="85"/>
      <c r="C32" s="99"/>
      <c r="D32" s="98"/>
      <c r="E32" s="98"/>
      <c r="F32" s="98"/>
    </row>
    <row r="33" spans="2:6" x14ac:dyDescent="0.25">
      <c r="B33" s="85"/>
      <c r="C33" s="101" t="s">
        <v>69</v>
      </c>
      <c r="D33" s="96">
        <f>SUM(D12+D20+D29)</f>
        <v>21196.440000000002</v>
      </c>
      <c r="E33" s="96">
        <f>SUM(E12+E20+E29)</f>
        <v>16251.75</v>
      </c>
      <c r="F33" s="96">
        <f>SUM(D33:E33)</f>
        <v>37448.19</v>
      </c>
    </row>
    <row r="34" spans="2:6" x14ac:dyDescent="0.25">
      <c r="B34" s="85"/>
      <c r="C34" s="99"/>
      <c r="D34" s="98"/>
      <c r="E34" s="98"/>
      <c r="F34" s="98"/>
    </row>
    <row r="35" spans="2:6" x14ac:dyDescent="0.25">
      <c r="B35" s="76"/>
      <c r="C35" s="101" t="s">
        <v>60</v>
      </c>
      <c r="D35" s="96">
        <f>SUM(D12+D20+D29)</f>
        <v>21196.440000000002</v>
      </c>
      <c r="E35" s="96">
        <f>SUM(E12+E20+E29)</f>
        <v>16251.75</v>
      </c>
      <c r="F35" s="96">
        <f>SUM(F12+F20+F29)</f>
        <v>37448.19</v>
      </c>
    </row>
    <row r="36" spans="2:6" x14ac:dyDescent="0.25">
      <c r="B36" s="76"/>
      <c r="C36" s="101" t="s">
        <v>61</v>
      </c>
      <c r="D36" s="96">
        <f>SUM(D13+D16+D18+D21+D26+D30)</f>
        <v>21196.44</v>
      </c>
      <c r="E36" s="96">
        <f>SUM(E13+E16+E18+E21+E26+E30)</f>
        <v>16251.75</v>
      </c>
      <c r="F36" s="96">
        <f>SUM(F13+F16+F18+F21+F26+F30)</f>
        <v>37448.19</v>
      </c>
    </row>
    <row r="37" spans="2:6" x14ac:dyDescent="0.25">
      <c r="B37" s="76"/>
      <c r="C37" s="101" t="s">
        <v>62</v>
      </c>
      <c r="D37" s="96">
        <f>SUM(D14+D15+D17+D19+D22+D23+D24+D25+D27+D28+D31)</f>
        <v>21196.440000000002</v>
      </c>
      <c r="E37" s="96">
        <f>SUM(E14+E15+E17+E19+E22+E23+E24+E25+E27+E31)</f>
        <v>16251.75</v>
      </c>
      <c r="F37" s="96">
        <f>SUM(F14+F15+F17+F19+F22+F23+F24+F25+F27+F28+F31)</f>
        <v>37448.19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workbookViewId="0">
      <pane ySplit="11" topLeftCell="A12" activePane="bottomLeft" state="frozen"/>
      <selection pane="bottomLeft" activeCell="F31" sqref="F31"/>
    </sheetView>
  </sheetViews>
  <sheetFormatPr baseColWidth="10" defaultRowHeight="15" x14ac:dyDescent="0.25"/>
  <cols>
    <col min="1" max="1" width="2.85546875" style="28" customWidth="1"/>
    <col min="2" max="2" width="7.7109375" style="28" customWidth="1"/>
    <col min="3" max="3" width="42.28515625" style="28" customWidth="1"/>
    <col min="4" max="4" width="13.28515625" style="28" customWidth="1"/>
    <col min="5" max="5" width="15.7109375" style="28" customWidth="1"/>
    <col min="6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329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426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3190</v>
      </c>
      <c r="E12" s="94">
        <f>SUM(E13+E16+E18)</f>
        <v>2790</v>
      </c>
      <c r="F12" s="94">
        <f>SUM(F13+F16+F18)</f>
        <v>5980</v>
      </c>
    </row>
    <row r="13" spans="2:6" x14ac:dyDescent="0.25">
      <c r="B13" s="76">
        <v>511</v>
      </c>
      <c r="C13" s="108" t="s">
        <v>231</v>
      </c>
      <c r="D13" s="96">
        <f>SUM(D14:D15)</f>
        <v>2800</v>
      </c>
      <c r="E13" s="96">
        <f>SUM(E14:E15)</f>
        <v>2400</v>
      </c>
      <c r="F13" s="96">
        <f>SUM(F14:F15)</f>
        <v>5200</v>
      </c>
    </row>
    <row r="14" spans="2:6" x14ac:dyDescent="0.25">
      <c r="B14" s="79">
        <v>51101</v>
      </c>
      <c r="C14" s="97" t="s">
        <v>232</v>
      </c>
      <c r="D14" s="98">
        <v>2400</v>
      </c>
      <c r="E14" s="98">
        <v>2400</v>
      </c>
      <c r="F14" s="98">
        <f>SUM(D14:E14)</f>
        <v>4800</v>
      </c>
    </row>
    <row r="15" spans="2:6" x14ac:dyDescent="0.25">
      <c r="B15" s="79">
        <v>51103</v>
      </c>
      <c r="C15" s="99" t="s">
        <v>233</v>
      </c>
      <c r="D15" s="98">
        <v>400</v>
      </c>
      <c r="E15" s="98">
        <v>0</v>
      </c>
      <c r="F15" s="98">
        <f>SUM(D15:E15)</f>
        <v>400</v>
      </c>
    </row>
    <row r="16" spans="2:6" x14ac:dyDescent="0.25">
      <c r="B16" s="76">
        <v>514</v>
      </c>
      <c r="C16" s="100" t="s">
        <v>236</v>
      </c>
      <c r="D16" s="96">
        <f>SUM(D17)</f>
        <v>204.00000000000003</v>
      </c>
      <c r="E16" s="96">
        <f t="shared" ref="E16:F16" si="0">SUM(E17)</f>
        <v>204.00000000000003</v>
      </c>
      <c r="F16" s="96">
        <f t="shared" si="0"/>
        <v>408.00000000000006</v>
      </c>
    </row>
    <row r="17" spans="2:6" x14ac:dyDescent="0.25">
      <c r="B17" s="85">
        <v>51401</v>
      </c>
      <c r="C17" s="99" t="s">
        <v>237</v>
      </c>
      <c r="D17" s="98">
        <f>D14*8.5%</f>
        <v>204.00000000000003</v>
      </c>
      <c r="E17" s="98">
        <f>E14*8.5%</f>
        <v>204.00000000000003</v>
      </c>
      <c r="F17" s="98">
        <f>SUM(D17:E17)</f>
        <v>408.00000000000006</v>
      </c>
    </row>
    <row r="18" spans="2:6" x14ac:dyDescent="0.25">
      <c r="B18" s="76">
        <v>515</v>
      </c>
      <c r="C18" s="101" t="s">
        <v>238</v>
      </c>
      <c r="D18" s="96">
        <f>SUM(D19:D19)</f>
        <v>186</v>
      </c>
      <c r="E18" s="96">
        <f>SUM(E19:E19)</f>
        <v>186</v>
      </c>
      <c r="F18" s="96">
        <f>SUM(F19:F19)</f>
        <v>372</v>
      </c>
    </row>
    <row r="19" spans="2:6" x14ac:dyDescent="0.25">
      <c r="B19" s="85">
        <v>51501</v>
      </c>
      <c r="C19" s="99" t="s">
        <v>237</v>
      </c>
      <c r="D19" s="98">
        <f>D14*7.75%</f>
        <v>186</v>
      </c>
      <c r="E19" s="98">
        <f>E14*7.75%</f>
        <v>186</v>
      </c>
      <c r="F19" s="98">
        <f>SUM(D19:E19)</f>
        <v>372</v>
      </c>
    </row>
    <row r="20" spans="2:6" x14ac:dyDescent="0.25">
      <c r="B20" s="76">
        <v>54</v>
      </c>
      <c r="C20" s="101" t="s">
        <v>282</v>
      </c>
      <c r="D20" s="96">
        <f>SUM(D21+D31)</f>
        <v>3500.55</v>
      </c>
      <c r="E20" s="96">
        <f>SUM(E21+E31)</f>
        <v>1524</v>
      </c>
      <c r="F20" s="96">
        <f>SUM(F21+F31)</f>
        <v>5024.55</v>
      </c>
    </row>
    <row r="21" spans="2:6" x14ac:dyDescent="0.25">
      <c r="B21" s="76">
        <v>541</v>
      </c>
      <c r="C21" s="101" t="s">
        <v>283</v>
      </c>
      <c r="D21" s="96">
        <f>SUM(D22:D30)</f>
        <v>2000.55</v>
      </c>
      <c r="E21" s="96">
        <f>SUM(E22:E30)</f>
        <v>1524</v>
      </c>
      <c r="F21" s="96">
        <f>SUM(F22:F30)</f>
        <v>3524.55</v>
      </c>
    </row>
    <row r="22" spans="2:6" s="193" customFormat="1" x14ac:dyDescent="0.25">
      <c r="B22" s="85">
        <v>54104</v>
      </c>
      <c r="C22" s="99" t="s">
        <v>427</v>
      </c>
      <c r="D22" s="98">
        <v>100</v>
      </c>
      <c r="E22" s="98">
        <v>0</v>
      </c>
      <c r="F22" s="98">
        <f>SUM(D22:E22)</f>
        <v>100</v>
      </c>
    </row>
    <row r="23" spans="2:6" x14ac:dyDescent="0.25">
      <c r="B23" s="85">
        <v>54105</v>
      </c>
      <c r="C23" s="99" t="s">
        <v>246</v>
      </c>
      <c r="D23" s="98">
        <v>161</v>
      </c>
      <c r="E23" s="98">
        <v>0</v>
      </c>
      <c r="F23" s="98">
        <f>SUM(D23:E23)</f>
        <v>161</v>
      </c>
    </row>
    <row r="24" spans="2:6" x14ac:dyDescent="0.25">
      <c r="B24" s="85">
        <v>54106</v>
      </c>
      <c r="C24" s="99" t="s">
        <v>247</v>
      </c>
      <c r="D24" s="98">
        <v>15</v>
      </c>
      <c r="E24" s="98">
        <v>0</v>
      </c>
      <c r="F24" s="98">
        <f t="shared" ref="F24:F30" si="1">SUM(D24:E24)</f>
        <v>15</v>
      </c>
    </row>
    <row r="25" spans="2:6" x14ac:dyDescent="0.25">
      <c r="B25" s="85">
        <v>54107</v>
      </c>
      <c r="C25" s="99" t="s">
        <v>312</v>
      </c>
      <c r="D25" s="98">
        <v>86.4</v>
      </c>
      <c r="E25" s="98">
        <v>600</v>
      </c>
      <c r="F25" s="98">
        <f t="shared" si="1"/>
        <v>686.4</v>
      </c>
    </row>
    <row r="26" spans="2:6" x14ac:dyDescent="0.25">
      <c r="B26" s="85">
        <v>54111</v>
      </c>
      <c r="C26" s="99" t="s">
        <v>248</v>
      </c>
      <c r="D26" s="98">
        <v>433.6</v>
      </c>
      <c r="E26" s="98">
        <v>924</v>
      </c>
      <c r="F26" s="98">
        <f t="shared" si="1"/>
        <v>1357.6</v>
      </c>
    </row>
    <row r="27" spans="2:6" x14ac:dyDescent="0.25">
      <c r="B27" s="85">
        <v>54112</v>
      </c>
      <c r="C27" s="99" t="s">
        <v>335</v>
      </c>
      <c r="D27" s="107">
        <v>1000</v>
      </c>
      <c r="E27" s="98">
        <v>0</v>
      </c>
      <c r="F27" s="98">
        <f t="shared" si="1"/>
        <v>1000</v>
      </c>
    </row>
    <row r="28" spans="2:6" x14ac:dyDescent="0.25">
      <c r="B28" s="85">
        <v>54114</v>
      </c>
      <c r="C28" s="99" t="s">
        <v>250</v>
      </c>
      <c r="D28" s="98">
        <v>59.75</v>
      </c>
      <c r="E28" s="98">
        <v>0</v>
      </c>
      <c r="F28" s="98">
        <f t="shared" si="1"/>
        <v>59.75</v>
      </c>
    </row>
    <row r="29" spans="2:6" x14ac:dyDescent="0.25">
      <c r="B29" s="85">
        <v>54115</v>
      </c>
      <c r="C29" s="99" t="s">
        <v>251</v>
      </c>
      <c r="D29" s="98">
        <v>40</v>
      </c>
      <c r="E29" s="98">
        <v>0</v>
      </c>
      <c r="F29" s="98">
        <f t="shared" si="1"/>
        <v>40</v>
      </c>
    </row>
    <row r="30" spans="2:6" x14ac:dyDescent="0.25">
      <c r="B30" s="85">
        <v>54118</v>
      </c>
      <c r="C30" s="99" t="s">
        <v>291</v>
      </c>
      <c r="D30" s="98">
        <v>104.8</v>
      </c>
      <c r="E30" s="98">
        <v>0</v>
      </c>
      <c r="F30" s="98">
        <f t="shared" si="1"/>
        <v>104.8</v>
      </c>
    </row>
    <row r="31" spans="2:6" x14ac:dyDescent="0.25">
      <c r="B31" s="76">
        <v>543</v>
      </c>
      <c r="C31" s="101" t="s">
        <v>254</v>
      </c>
      <c r="D31" s="96">
        <f>SUM(D32:D32)</f>
        <v>1500</v>
      </c>
      <c r="E31" s="96">
        <f>SUM(E32:E32)</f>
        <v>0</v>
      </c>
      <c r="F31" s="96">
        <f>SUM(F32:F32)</f>
        <v>1500</v>
      </c>
    </row>
    <row r="32" spans="2:6" x14ac:dyDescent="0.25">
      <c r="B32" s="85">
        <v>54303</v>
      </c>
      <c r="C32" s="99" t="s">
        <v>256</v>
      </c>
      <c r="D32" s="107">
        <v>1500</v>
      </c>
      <c r="E32" s="98">
        <v>0</v>
      </c>
      <c r="F32" s="98">
        <f>SUM(D32:E32)</f>
        <v>1500</v>
      </c>
    </row>
    <row r="33" spans="2:6" x14ac:dyDescent="0.25">
      <c r="B33" s="85"/>
      <c r="C33" s="99"/>
      <c r="D33" s="98"/>
      <c r="E33" s="98"/>
      <c r="F33" s="98"/>
    </row>
    <row r="34" spans="2:6" x14ac:dyDescent="0.25">
      <c r="B34" s="85"/>
      <c r="C34" s="101" t="s">
        <v>69</v>
      </c>
      <c r="D34" s="96">
        <f>SUM(D12+D20)</f>
        <v>6690.55</v>
      </c>
      <c r="E34" s="96">
        <f>SUM(E12+E20)</f>
        <v>4314</v>
      </c>
      <c r="F34" s="364">
        <f>SUM(D34:E34)</f>
        <v>11004.55</v>
      </c>
    </row>
    <row r="35" spans="2:6" x14ac:dyDescent="0.25">
      <c r="B35" s="85"/>
      <c r="C35" s="99"/>
      <c r="D35" s="98"/>
      <c r="E35" s="98"/>
      <c r="F35" s="98"/>
    </row>
    <row r="36" spans="2:6" x14ac:dyDescent="0.25">
      <c r="B36" s="76"/>
      <c r="C36" s="101" t="s">
        <v>60</v>
      </c>
      <c r="D36" s="96">
        <f>SUM(D12+D20)</f>
        <v>6690.55</v>
      </c>
      <c r="E36" s="96">
        <f>SUM(E12+E20)</f>
        <v>4314</v>
      </c>
      <c r="F36" s="96">
        <f>SUM(F12+F20)</f>
        <v>11004.55</v>
      </c>
    </row>
    <row r="37" spans="2:6" x14ac:dyDescent="0.25">
      <c r="B37" s="76"/>
      <c r="C37" s="101" t="s">
        <v>61</v>
      </c>
      <c r="D37" s="96">
        <f>SUM(D13+D16+D18+D21+D31)</f>
        <v>6690.55</v>
      </c>
      <c r="E37" s="96">
        <f>SUM(E13+E16+E18+E21+E31)</f>
        <v>4314</v>
      </c>
      <c r="F37" s="96">
        <f>SUM(F13+F16+F18+F21+F31)</f>
        <v>11004.55</v>
      </c>
    </row>
    <row r="38" spans="2:6" x14ac:dyDescent="0.25">
      <c r="B38" s="76"/>
      <c r="C38" s="101" t="s">
        <v>62</v>
      </c>
      <c r="D38" s="96">
        <f>SUM(D22+D14+D15+D17+D19+D23+D24+D25+D26+D27+D28+D29+D30+D32)</f>
        <v>6690.55</v>
      </c>
      <c r="E38" s="96">
        <f>SUM(E14+E15+E17+E19+E23+E24+E25+E26+E28+E29+E30+E32)</f>
        <v>4314</v>
      </c>
      <c r="F38" s="96">
        <f>SUM(F22+F14+F15+F17+F19+F23+F24+F25+F26+F27+F28+F29+F30+F32)</f>
        <v>11004.55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"/>
  <sheetViews>
    <sheetView workbookViewId="0">
      <pane ySplit="11" topLeftCell="A39" activePane="bottomLeft" state="frozen"/>
      <selection pane="bottomLeft" activeCell="E35" sqref="E35"/>
    </sheetView>
  </sheetViews>
  <sheetFormatPr baseColWidth="10" defaultRowHeight="15" x14ac:dyDescent="0.25"/>
  <cols>
    <col min="1" max="1" width="4.28515625" style="28" customWidth="1"/>
    <col min="2" max="2" width="8.5703125" style="28" customWidth="1"/>
    <col min="3" max="3" width="42.85546875" style="28" customWidth="1"/>
    <col min="4" max="4" width="13.42578125" style="28" customWidth="1"/>
    <col min="5" max="5" width="16" style="28" customWidth="1"/>
    <col min="6" max="16384" width="11.42578125" style="28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329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334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52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52"/>
    </row>
    <row r="12" spans="2:6" x14ac:dyDescent="0.25">
      <c r="B12" s="71">
        <v>51</v>
      </c>
      <c r="C12" s="100" t="s">
        <v>127</v>
      </c>
      <c r="D12" s="94">
        <f>SUM(D13+D16+D18)</f>
        <v>34226.25</v>
      </c>
      <c r="E12" s="94">
        <f>SUM(E13+E16+E18)</f>
        <v>19692.75</v>
      </c>
      <c r="F12" s="94">
        <f>SUM(F13+F16+F18)</f>
        <v>53919</v>
      </c>
    </row>
    <row r="13" spans="2:6" x14ac:dyDescent="0.25">
      <c r="B13" s="76">
        <v>511</v>
      </c>
      <c r="C13" s="108" t="s">
        <v>231</v>
      </c>
      <c r="D13" s="96">
        <f>SUM(D14:D15)</f>
        <v>29920</v>
      </c>
      <c r="E13" s="96">
        <f>SUM(E14:E15)</f>
        <v>16940</v>
      </c>
      <c r="F13" s="96">
        <f>SUM(F14:F15)</f>
        <v>46860</v>
      </c>
    </row>
    <row r="14" spans="2:6" x14ac:dyDescent="0.25">
      <c r="B14" s="79">
        <v>51101</v>
      </c>
      <c r="C14" s="97" t="s">
        <v>232</v>
      </c>
      <c r="D14" s="98">
        <v>26500</v>
      </c>
      <c r="E14" s="98">
        <v>16940</v>
      </c>
      <c r="F14" s="98">
        <f>SUM(D14:E14)</f>
        <v>43440</v>
      </c>
    </row>
    <row r="15" spans="2:6" x14ac:dyDescent="0.25">
      <c r="B15" s="79">
        <v>51103</v>
      </c>
      <c r="C15" s="99" t="s">
        <v>233</v>
      </c>
      <c r="D15" s="98">
        <v>3420</v>
      </c>
      <c r="E15" s="98">
        <v>0</v>
      </c>
      <c r="F15" s="98">
        <f>SUM(D15:E15)</f>
        <v>3420</v>
      </c>
    </row>
    <row r="16" spans="2:6" x14ac:dyDescent="0.25">
      <c r="B16" s="76">
        <v>514</v>
      </c>
      <c r="C16" s="100" t="s">
        <v>236</v>
      </c>
      <c r="D16" s="96">
        <f>SUM(D17)</f>
        <v>2252.5</v>
      </c>
      <c r="E16" s="96">
        <f t="shared" ref="E16:F16" si="0">SUM(E17)</f>
        <v>1439.9</v>
      </c>
      <c r="F16" s="96">
        <f t="shared" si="0"/>
        <v>3692.4</v>
      </c>
    </row>
    <row r="17" spans="2:6" x14ac:dyDescent="0.25">
      <c r="B17" s="85">
        <v>51401</v>
      </c>
      <c r="C17" s="99" t="s">
        <v>237</v>
      </c>
      <c r="D17" s="98">
        <f>D14*8.5%</f>
        <v>2252.5</v>
      </c>
      <c r="E17" s="98">
        <f>E14*8.5%</f>
        <v>1439.9</v>
      </c>
      <c r="F17" s="98">
        <f>SUM(D17:E17)</f>
        <v>3692.4</v>
      </c>
    </row>
    <row r="18" spans="2:6" x14ac:dyDescent="0.25">
      <c r="B18" s="76">
        <v>515</v>
      </c>
      <c r="C18" s="101" t="s">
        <v>238</v>
      </c>
      <c r="D18" s="96">
        <f>SUM(D19:D19)</f>
        <v>2053.75</v>
      </c>
      <c r="E18" s="96">
        <f>SUM(E19:E19)</f>
        <v>1312.85</v>
      </c>
      <c r="F18" s="96">
        <f>SUM(F19:F19)</f>
        <v>3366.6</v>
      </c>
    </row>
    <row r="19" spans="2:6" x14ac:dyDescent="0.25">
      <c r="B19" s="85">
        <v>51501</v>
      </c>
      <c r="C19" s="99" t="s">
        <v>237</v>
      </c>
      <c r="D19" s="98">
        <f>D14*7.75%</f>
        <v>2053.75</v>
      </c>
      <c r="E19" s="98">
        <f>E14*7.75%</f>
        <v>1312.85</v>
      </c>
      <c r="F19" s="98">
        <f>SUM(D19:E19)</f>
        <v>3366.6</v>
      </c>
    </row>
    <row r="20" spans="2:6" x14ac:dyDescent="0.25">
      <c r="B20" s="76">
        <v>54</v>
      </c>
      <c r="C20" s="101" t="s">
        <v>282</v>
      </c>
      <c r="D20" s="96">
        <f>SUM(D21+D30+D34)</f>
        <v>13724.04</v>
      </c>
      <c r="E20" s="96">
        <f>SUM(E21+E30+E34)</f>
        <v>28000</v>
      </c>
      <c r="F20" s="96">
        <f>SUM(F21+F30+F34)</f>
        <v>41724.04</v>
      </c>
    </row>
    <row r="21" spans="2:6" x14ac:dyDescent="0.25">
      <c r="B21" s="76">
        <v>541</v>
      </c>
      <c r="C21" s="101" t="s">
        <v>283</v>
      </c>
      <c r="D21" s="96">
        <f>SUM(D22:D29)</f>
        <v>2474.04</v>
      </c>
      <c r="E21" s="96">
        <f>SUM(E22:E29)</f>
        <v>12100</v>
      </c>
      <c r="F21" s="96">
        <f>SUM(F22:F29)</f>
        <v>14574.04</v>
      </c>
    </row>
    <row r="22" spans="2:6" x14ac:dyDescent="0.25">
      <c r="B22" s="85">
        <v>54105</v>
      </c>
      <c r="C22" s="99" t="s">
        <v>246</v>
      </c>
      <c r="D22" s="98">
        <v>150</v>
      </c>
      <c r="E22" s="98">
        <v>0</v>
      </c>
      <c r="F22" s="98">
        <f>SUM(D22:E22)</f>
        <v>150</v>
      </c>
    </row>
    <row r="23" spans="2:6" x14ac:dyDescent="0.25">
      <c r="B23" s="85">
        <v>54111</v>
      </c>
      <c r="C23" s="99" t="s">
        <v>248</v>
      </c>
      <c r="D23" s="98">
        <v>300</v>
      </c>
      <c r="E23" s="98">
        <v>3000</v>
      </c>
      <c r="F23" s="98">
        <f t="shared" ref="F23:F29" si="1">SUM(D23:E23)</f>
        <v>3300</v>
      </c>
    </row>
    <row r="24" spans="2:6" x14ac:dyDescent="0.25">
      <c r="B24" s="85">
        <v>54112</v>
      </c>
      <c r="C24" s="99" t="s">
        <v>335</v>
      </c>
      <c r="D24" s="98">
        <v>250</v>
      </c>
      <c r="E24" s="98">
        <v>4200</v>
      </c>
      <c r="F24" s="98">
        <f t="shared" si="1"/>
        <v>4450</v>
      </c>
    </row>
    <row r="25" spans="2:6" x14ac:dyDescent="0.25">
      <c r="B25" s="85">
        <v>54114</v>
      </c>
      <c r="C25" s="99" t="s">
        <v>250</v>
      </c>
      <c r="D25" s="98">
        <v>334.84</v>
      </c>
      <c r="E25" s="98">
        <v>0</v>
      </c>
      <c r="F25" s="98">
        <f t="shared" si="1"/>
        <v>334.84</v>
      </c>
    </row>
    <row r="26" spans="2:6" x14ac:dyDescent="0.25">
      <c r="B26" s="85">
        <v>54115</v>
      </c>
      <c r="C26" s="99" t="s">
        <v>251</v>
      </c>
      <c r="D26" s="98">
        <v>839.2</v>
      </c>
      <c r="E26" s="98">
        <v>0</v>
      </c>
      <c r="F26" s="98">
        <f t="shared" si="1"/>
        <v>839.2</v>
      </c>
    </row>
    <row r="27" spans="2:6" x14ac:dyDescent="0.25">
      <c r="B27" s="85">
        <v>54118</v>
      </c>
      <c r="C27" s="99" t="s">
        <v>291</v>
      </c>
      <c r="D27" s="107">
        <v>400</v>
      </c>
      <c r="E27" s="98">
        <v>2300</v>
      </c>
      <c r="F27" s="98">
        <f t="shared" si="1"/>
        <v>2700</v>
      </c>
    </row>
    <row r="28" spans="2:6" x14ac:dyDescent="0.25">
      <c r="B28" s="85">
        <v>54119</v>
      </c>
      <c r="C28" s="99" t="s">
        <v>252</v>
      </c>
      <c r="D28" s="98">
        <v>100</v>
      </c>
      <c r="E28" s="98">
        <v>2000</v>
      </c>
      <c r="F28" s="98">
        <f t="shared" si="1"/>
        <v>2100</v>
      </c>
    </row>
    <row r="29" spans="2:6" x14ac:dyDescent="0.25">
      <c r="B29" s="85">
        <v>54199</v>
      </c>
      <c r="C29" s="99" t="s">
        <v>253</v>
      </c>
      <c r="D29" s="98">
        <v>100</v>
      </c>
      <c r="E29" s="98">
        <v>600</v>
      </c>
      <c r="F29" s="98">
        <f t="shared" si="1"/>
        <v>700</v>
      </c>
    </row>
    <row r="30" spans="2:6" x14ac:dyDescent="0.25">
      <c r="B30" s="76">
        <v>542</v>
      </c>
      <c r="C30" s="101" t="s">
        <v>331</v>
      </c>
      <c r="D30" s="96">
        <f>SUM(D31:D33)</f>
        <v>7000</v>
      </c>
      <c r="E30" s="96">
        <f>SUM(E31:E33)</f>
        <v>7100</v>
      </c>
      <c r="F30" s="96">
        <f>SUM(F31:F33)</f>
        <v>14100</v>
      </c>
    </row>
    <row r="31" spans="2:6" x14ac:dyDescent="0.25">
      <c r="B31" s="85">
        <v>54201</v>
      </c>
      <c r="C31" s="99" t="s">
        <v>336</v>
      </c>
      <c r="D31" s="98">
        <v>3000</v>
      </c>
      <c r="E31" s="98">
        <v>3100</v>
      </c>
      <c r="F31" s="98">
        <f>SUM(D31:E31)</f>
        <v>6100</v>
      </c>
    </row>
    <row r="32" spans="2:6" x14ac:dyDescent="0.25">
      <c r="B32" s="85">
        <v>54202</v>
      </c>
      <c r="C32" s="99" t="s">
        <v>337</v>
      </c>
      <c r="D32" s="98">
        <v>2500</v>
      </c>
      <c r="E32" s="98">
        <v>2500</v>
      </c>
      <c r="F32" s="98">
        <f>SUM(D32:E32)</f>
        <v>5000</v>
      </c>
    </row>
    <row r="33" spans="2:6" x14ac:dyDescent="0.25">
      <c r="B33" s="85">
        <v>54203</v>
      </c>
      <c r="C33" s="99" t="s">
        <v>338</v>
      </c>
      <c r="D33" s="98">
        <v>1500</v>
      </c>
      <c r="E33" s="98">
        <v>1500</v>
      </c>
      <c r="F33" s="98">
        <f>SUM(D33:E33)</f>
        <v>3000</v>
      </c>
    </row>
    <row r="34" spans="2:6" x14ac:dyDescent="0.25">
      <c r="B34" s="76">
        <v>543</v>
      </c>
      <c r="C34" s="101" t="s">
        <v>254</v>
      </c>
      <c r="D34" s="96">
        <f>SUM(D35:D38)</f>
        <v>4250</v>
      </c>
      <c r="E34" s="96">
        <f>SUM(E35:E38)</f>
        <v>8800</v>
      </c>
      <c r="F34" s="96">
        <f>SUM(F35:F38)</f>
        <v>13050</v>
      </c>
    </row>
    <row r="35" spans="2:6" x14ac:dyDescent="0.25">
      <c r="B35" s="85">
        <v>54301</v>
      </c>
      <c r="C35" s="99" t="s">
        <v>255</v>
      </c>
      <c r="D35" s="98">
        <v>1000</v>
      </c>
      <c r="E35" s="98">
        <v>2000</v>
      </c>
      <c r="F35" s="98">
        <f>SUM(D35:E35)</f>
        <v>3000</v>
      </c>
    </row>
    <row r="36" spans="2:6" x14ac:dyDescent="0.25">
      <c r="B36" s="85">
        <v>54303</v>
      </c>
      <c r="C36" s="99" t="s">
        <v>339</v>
      </c>
      <c r="D36" s="107">
        <v>2500</v>
      </c>
      <c r="E36" s="98">
        <v>5000</v>
      </c>
      <c r="F36" s="98">
        <f>SUM(D36:E36)</f>
        <v>7500</v>
      </c>
    </row>
    <row r="37" spans="2:6" x14ac:dyDescent="0.25">
      <c r="B37" s="85">
        <v>54316</v>
      </c>
      <c r="C37" s="99" t="s">
        <v>340</v>
      </c>
      <c r="D37" s="107">
        <v>350</v>
      </c>
      <c r="E37" s="98">
        <v>1800</v>
      </c>
      <c r="F37" s="98">
        <f>SUM(D37:E37)</f>
        <v>2150</v>
      </c>
    </row>
    <row r="38" spans="2:6" x14ac:dyDescent="0.25">
      <c r="B38" s="85">
        <v>54399</v>
      </c>
      <c r="C38" s="99" t="s">
        <v>260</v>
      </c>
      <c r="D38" s="107">
        <v>400</v>
      </c>
      <c r="E38" s="98">
        <v>0</v>
      </c>
      <c r="F38" s="98">
        <f>SUM(D38:E38)</f>
        <v>400</v>
      </c>
    </row>
    <row r="39" spans="2:6" x14ac:dyDescent="0.25">
      <c r="B39" s="76">
        <v>61</v>
      </c>
      <c r="C39" s="101" t="s">
        <v>277</v>
      </c>
      <c r="D39" s="96">
        <f>SUM(D40)</f>
        <v>900</v>
      </c>
      <c r="E39" s="96">
        <f t="shared" ref="E39:F39" si="2">SUM(E40)</f>
        <v>0</v>
      </c>
      <c r="F39" s="96">
        <f t="shared" si="2"/>
        <v>900</v>
      </c>
    </row>
    <row r="40" spans="2:6" x14ac:dyDescent="0.25">
      <c r="B40" s="76">
        <v>611</v>
      </c>
      <c r="C40" s="101" t="s">
        <v>278</v>
      </c>
      <c r="D40" s="96">
        <f>SUM(D41:D41)</f>
        <v>900</v>
      </c>
      <c r="E40" s="96">
        <f>SUM(E41:E41)</f>
        <v>0</v>
      </c>
      <c r="F40" s="96">
        <f>SUM(F41:F41)</f>
        <v>900</v>
      </c>
    </row>
    <row r="41" spans="2:6" x14ac:dyDescent="0.25">
      <c r="B41" s="85">
        <v>61101</v>
      </c>
      <c r="C41" s="99" t="s">
        <v>279</v>
      </c>
      <c r="D41" s="107">
        <v>900</v>
      </c>
      <c r="E41" s="98">
        <v>0</v>
      </c>
      <c r="F41" s="98">
        <f>SUM(D41:E41)</f>
        <v>900</v>
      </c>
    </row>
    <row r="42" spans="2:6" x14ac:dyDescent="0.25">
      <c r="B42" s="85"/>
      <c r="C42" s="99"/>
      <c r="D42" s="98"/>
      <c r="E42" s="98"/>
      <c r="F42" s="98"/>
    </row>
    <row r="43" spans="2:6" x14ac:dyDescent="0.25">
      <c r="B43" s="85"/>
      <c r="C43" s="101" t="s">
        <v>69</v>
      </c>
      <c r="D43" s="96">
        <f>SUM(D12+D20+D39)</f>
        <v>48850.29</v>
      </c>
      <c r="E43" s="96">
        <f>SUM(E12+E20)</f>
        <v>47692.75</v>
      </c>
      <c r="F43" s="96">
        <f>SUM(D43:E43)</f>
        <v>96543.040000000008</v>
      </c>
    </row>
    <row r="44" spans="2:6" x14ac:dyDescent="0.25">
      <c r="B44" s="85"/>
      <c r="C44" s="99"/>
      <c r="D44" s="98"/>
      <c r="E44" s="98"/>
      <c r="F44" s="98"/>
    </row>
    <row r="45" spans="2:6" x14ac:dyDescent="0.25">
      <c r="B45" s="76"/>
      <c r="C45" s="101" t="s">
        <v>60</v>
      </c>
      <c r="D45" s="96">
        <f>SUM(D12+D20+D39)</f>
        <v>48850.29</v>
      </c>
      <c r="E45" s="96">
        <f>SUM(E12+E20+E39)</f>
        <v>47692.75</v>
      </c>
      <c r="F45" s="96">
        <f>SUM(F12+F20+F39)</f>
        <v>96543.040000000008</v>
      </c>
    </row>
    <row r="46" spans="2:6" x14ac:dyDescent="0.25">
      <c r="B46" s="76"/>
      <c r="C46" s="101" t="s">
        <v>61</v>
      </c>
      <c r="D46" s="96">
        <f>SUM(D13+D16+D18+D21+D30+D34+D40)</f>
        <v>48850.29</v>
      </c>
      <c r="E46" s="96">
        <f>SUM(E13+E16+E18+E21+E30+E34+E40)</f>
        <v>47692.75</v>
      </c>
      <c r="F46" s="96">
        <f>SUM(F13+F16+F18+F21+F30+F34+F40)</f>
        <v>96543.040000000008</v>
      </c>
    </row>
    <row r="47" spans="2:6" x14ac:dyDescent="0.25">
      <c r="B47" s="76"/>
      <c r="C47" s="101" t="s">
        <v>62</v>
      </c>
      <c r="D47" s="96">
        <f>SUM(D14+D15+D17+D19+D22+D23+D24+D25+D26+D27+D28+D29+D31+D32+D33+D35+D36+D37+D38+D41)</f>
        <v>48850.289999999994</v>
      </c>
      <c r="E47" s="96">
        <f>SUM(E14+E15+E17+E19+E22+E23+E24+E25+E26+E27+E28+E29+E31+E32+E33+E35+E36+E37+E38+E41)</f>
        <v>47692.75</v>
      </c>
      <c r="F47" s="96">
        <f>SUM(F14+F15+F17+F19+F22+F23+F24+F25+F26+F27+F28+F29+F31+F32+F33+F35+F36+F37+F38+F41)</f>
        <v>96543.039999999994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workbookViewId="0">
      <pane ySplit="11" topLeftCell="A12" activePane="bottomLeft" state="frozen"/>
      <selection pane="bottomLeft" activeCell="I23" sqref="I23"/>
    </sheetView>
  </sheetViews>
  <sheetFormatPr baseColWidth="10" defaultRowHeight="15" x14ac:dyDescent="0.25"/>
  <cols>
    <col min="1" max="1" width="2.5703125" style="28" customWidth="1"/>
    <col min="2" max="2" width="8.85546875" style="28" customWidth="1"/>
    <col min="3" max="3" width="42.7109375" style="28" customWidth="1"/>
    <col min="4" max="4" width="12.5703125" style="28" customWidth="1"/>
    <col min="5" max="5" width="16.42578125" style="28" customWidth="1"/>
    <col min="6" max="6" width="13.710937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341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52" t="s">
        <v>226</v>
      </c>
      <c r="D10" s="237" t="s">
        <v>227</v>
      </c>
      <c r="E10" s="237" t="s">
        <v>228</v>
      </c>
      <c r="F10" s="452" t="s">
        <v>0</v>
      </c>
    </row>
    <row r="11" spans="2:6" ht="25.5" x14ac:dyDescent="0.25">
      <c r="B11" s="421"/>
      <c r="C11" s="452"/>
      <c r="D11" s="237" t="s">
        <v>229</v>
      </c>
      <c r="E11" s="324" t="s">
        <v>230</v>
      </c>
      <c r="F11" s="452"/>
    </row>
    <row r="12" spans="2:6" x14ac:dyDescent="0.25">
      <c r="B12" s="71">
        <v>51</v>
      </c>
      <c r="C12" s="93" t="s">
        <v>127</v>
      </c>
      <c r="D12" s="238">
        <f>SUM(D13+D16+D18)</f>
        <v>20766.25</v>
      </c>
      <c r="E12" s="238">
        <f>SUM(E13+E16+E18)</f>
        <v>11973.75</v>
      </c>
      <c r="F12" s="238">
        <f>SUM(F13+F16+F18)</f>
        <v>32740</v>
      </c>
    </row>
    <row r="13" spans="2:6" x14ac:dyDescent="0.25">
      <c r="B13" s="76">
        <v>511</v>
      </c>
      <c r="C13" s="95" t="s">
        <v>231</v>
      </c>
      <c r="D13" s="104">
        <f>SUM(D14:D15)</f>
        <v>18150</v>
      </c>
      <c r="E13" s="104">
        <f>SUM(E14:E15)</f>
        <v>10300</v>
      </c>
      <c r="F13" s="104">
        <f>SUM(F14:F15)</f>
        <v>28450</v>
      </c>
    </row>
    <row r="14" spans="2:6" x14ac:dyDescent="0.25">
      <c r="B14" s="79">
        <v>51101</v>
      </c>
      <c r="C14" s="239" t="s">
        <v>232</v>
      </c>
      <c r="D14" s="107">
        <v>16100</v>
      </c>
      <c r="E14" s="107">
        <v>10300</v>
      </c>
      <c r="F14" s="107">
        <f>SUM(D14:E14)</f>
        <v>26400</v>
      </c>
    </row>
    <row r="15" spans="2:6" x14ac:dyDescent="0.25">
      <c r="B15" s="79">
        <v>51103</v>
      </c>
      <c r="C15" s="106" t="s">
        <v>233</v>
      </c>
      <c r="D15" s="107">
        <v>2050</v>
      </c>
      <c r="E15" s="107">
        <v>0</v>
      </c>
      <c r="F15" s="107">
        <f>SUM(D15:D15)</f>
        <v>2050</v>
      </c>
    </row>
    <row r="16" spans="2:6" x14ac:dyDescent="0.25">
      <c r="B16" s="76">
        <v>514</v>
      </c>
      <c r="C16" s="93" t="s">
        <v>236</v>
      </c>
      <c r="D16" s="104">
        <f>SUM(D17)</f>
        <v>1368.5</v>
      </c>
      <c r="E16" s="104">
        <f t="shared" ref="E16:F16" si="0">SUM(E17)</f>
        <v>875.50000000000011</v>
      </c>
      <c r="F16" s="104">
        <f t="shared" si="0"/>
        <v>2244</v>
      </c>
    </row>
    <row r="17" spans="2:6" x14ac:dyDescent="0.25">
      <c r="B17" s="85">
        <v>51401</v>
      </c>
      <c r="C17" s="106" t="s">
        <v>237</v>
      </c>
      <c r="D17" s="107">
        <f>D14*8.5%</f>
        <v>1368.5</v>
      </c>
      <c r="E17" s="107">
        <f>E14*8.5%</f>
        <v>875.50000000000011</v>
      </c>
      <c r="F17" s="107">
        <f>SUM(D17:E17)</f>
        <v>2244</v>
      </c>
    </row>
    <row r="18" spans="2:6" x14ac:dyDescent="0.25">
      <c r="B18" s="76">
        <v>515</v>
      </c>
      <c r="C18" s="103" t="s">
        <v>238</v>
      </c>
      <c r="D18" s="104">
        <f>SUM(D19:D19)</f>
        <v>1247.75</v>
      </c>
      <c r="E18" s="104">
        <f>SUM(E19:E19)</f>
        <v>798.25</v>
      </c>
      <c r="F18" s="104">
        <f>SUM(F19:F19)</f>
        <v>2046</v>
      </c>
    </row>
    <row r="19" spans="2:6" x14ac:dyDescent="0.25">
      <c r="B19" s="85">
        <v>51501</v>
      </c>
      <c r="C19" s="106" t="s">
        <v>237</v>
      </c>
      <c r="D19" s="107">
        <f>D14*7.75%</f>
        <v>1247.75</v>
      </c>
      <c r="E19" s="107">
        <f>E14*7.75%</f>
        <v>798.25</v>
      </c>
      <c r="F19" s="107">
        <f>SUM(D19:E19)</f>
        <v>2046</v>
      </c>
    </row>
    <row r="20" spans="2:6" x14ac:dyDescent="0.25">
      <c r="B20" s="76">
        <v>54</v>
      </c>
      <c r="C20" s="103" t="s">
        <v>282</v>
      </c>
      <c r="D20" s="104">
        <f>SUM(D21+D31)</f>
        <v>17529.22</v>
      </c>
      <c r="E20" s="104">
        <f>SUM(E21+E31)</f>
        <v>57205.67</v>
      </c>
      <c r="F20" s="104">
        <f>SUM(F21+F31)</f>
        <v>74734.89</v>
      </c>
    </row>
    <row r="21" spans="2:6" x14ac:dyDescent="0.25">
      <c r="B21" s="76">
        <v>541</v>
      </c>
      <c r="C21" s="103" t="s">
        <v>283</v>
      </c>
      <c r="D21" s="104">
        <f>SUM(D22:D30)</f>
        <v>14129.220000000001</v>
      </c>
      <c r="E21" s="104">
        <f>SUM(E22:E30)</f>
        <v>52705.67</v>
      </c>
      <c r="F21" s="104">
        <f>SUM(F22:F30)</f>
        <v>66834.89</v>
      </c>
    </row>
    <row r="22" spans="2:6" x14ac:dyDescent="0.25">
      <c r="B22" s="85">
        <v>54105</v>
      </c>
      <c r="C22" s="106" t="s">
        <v>246</v>
      </c>
      <c r="D22" s="107">
        <v>604.22</v>
      </c>
      <c r="E22" s="107">
        <v>200</v>
      </c>
      <c r="F22" s="107">
        <f>SUM(D22:E22)</f>
        <v>804.22</v>
      </c>
    </row>
    <row r="23" spans="2:6" x14ac:dyDescent="0.25">
      <c r="B23" s="85">
        <v>54109</v>
      </c>
      <c r="C23" s="106" t="s">
        <v>290</v>
      </c>
      <c r="D23" s="107">
        <v>2000</v>
      </c>
      <c r="E23" s="107">
        <v>3500</v>
      </c>
      <c r="F23" s="107">
        <f t="shared" ref="F23:F30" si="1">SUM(D23:E23)</f>
        <v>5500</v>
      </c>
    </row>
    <row r="24" spans="2:6" x14ac:dyDescent="0.25">
      <c r="B24" s="85">
        <v>54110</v>
      </c>
      <c r="C24" s="106" t="s">
        <v>327</v>
      </c>
      <c r="D24" s="107">
        <v>3000</v>
      </c>
      <c r="E24" s="107">
        <v>4800</v>
      </c>
      <c r="F24" s="107">
        <f t="shared" si="1"/>
        <v>7800</v>
      </c>
    </row>
    <row r="25" spans="2:6" x14ac:dyDescent="0.25">
      <c r="B25" s="85">
        <v>54111</v>
      </c>
      <c r="C25" s="106" t="s">
        <v>328</v>
      </c>
      <c r="D25" s="107">
        <v>3000</v>
      </c>
      <c r="E25" s="107">
        <v>20000</v>
      </c>
      <c r="F25" s="107">
        <f t="shared" si="1"/>
        <v>23000</v>
      </c>
    </row>
    <row r="26" spans="2:6" x14ac:dyDescent="0.25">
      <c r="B26" s="85">
        <v>54112</v>
      </c>
      <c r="C26" s="106" t="s">
        <v>333</v>
      </c>
      <c r="D26" s="107">
        <v>3000</v>
      </c>
      <c r="E26" s="107">
        <v>19855.669999999998</v>
      </c>
      <c r="F26" s="107">
        <f t="shared" si="1"/>
        <v>22855.67</v>
      </c>
    </row>
    <row r="27" spans="2:6" x14ac:dyDescent="0.25">
      <c r="B27" s="85">
        <v>54114</v>
      </c>
      <c r="C27" s="106" t="s">
        <v>250</v>
      </c>
      <c r="D27" s="107">
        <v>600</v>
      </c>
      <c r="E27" s="107">
        <v>0</v>
      </c>
      <c r="F27" s="107">
        <f t="shared" si="1"/>
        <v>600</v>
      </c>
    </row>
    <row r="28" spans="2:6" x14ac:dyDescent="0.25">
      <c r="B28" s="85">
        <v>54115</v>
      </c>
      <c r="C28" s="106" t="s">
        <v>251</v>
      </c>
      <c r="D28" s="107">
        <v>675</v>
      </c>
      <c r="E28" s="107">
        <v>0</v>
      </c>
      <c r="F28" s="107">
        <f t="shared" si="1"/>
        <v>675</v>
      </c>
    </row>
    <row r="29" spans="2:6" x14ac:dyDescent="0.25">
      <c r="B29" s="85">
        <v>54118</v>
      </c>
      <c r="C29" s="106" t="s">
        <v>291</v>
      </c>
      <c r="D29" s="375">
        <v>1000</v>
      </c>
      <c r="E29" s="107">
        <v>4000</v>
      </c>
      <c r="F29" s="107">
        <f t="shared" si="1"/>
        <v>5000</v>
      </c>
    </row>
    <row r="30" spans="2:6" x14ac:dyDescent="0.25">
      <c r="B30" s="85">
        <v>54199</v>
      </c>
      <c r="C30" s="106" t="s">
        <v>253</v>
      </c>
      <c r="D30" s="107">
        <v>250</v>
      </c>
      <c r="E30" s="107">
        <v>350</v>
      </c>
      <c r="F30" s="107">
        <f t="shared" si="1"/>
        <v>600</v>
      </c>
    </row>
    <row r="31" spans="2:6" x14ac:dyDescent="0.25">
      <c r="B31" s="76">
        <v>543</v>
      </c>
      <c r="C31" s="103" t="s">
        <v>254</v>
      </c>
      <c r="D31" s="104">
        <f>SUM(D32:D34)</f>
        <v>3400</v>
      </c>
      <c r="E31" s="104">
        <f>SUM(E32:E34)</f>
        <v>4500</v>
      </c>
      <c r="F31" s="104">
        <f>SUM(F32:F34)</f>
        <v>7900</v>
      </c>
    </row>
    <row r="32" spans="2:6" x14ac:dyDescent="0.25">
      <c r="B32" s="85">
        <v>54301</v>
      </c>
      <c r="C32" s="106" t="s">
        <v>255</v>
      </c>
      <c r="D32" s="107">
        <v>800</v>
      </c>
      <c r="E32" s="107">
        <v>500</v>
      </c>
      <c r="F32" s="107">
        <f>SUM(D32:E32)</f>
        <v>1300</v>
      </c>
    </row>
    <row r="33" spans="2:6" x14ac:dyDescent="0.25">
      <c r="B33" s="85">
        <v>54302</v>
      </c>
      <c r="C33" s="106" t="s">
        <v>342</v>
      </c>
      <c r="D33" s="107">
        <v>2000</v>
      </c>
      <c r="E33" s="107">
        <v>4000</v>
      </c>
      <c r="F33" s="107">
        <f>SUM(D33:E33)</f>
        <v>6000</v>
      </c>
    </row>
    <row r="34" spans="2:6" x14ac:dyDescent="0.25">
      <c r="B34" s="85">
        <v>54304</v>
      </c>
      <c r="C34" s="106" t="s">
        <v>428</v>
      </c>
      <c r="D34" s="107">
        <v>600</v>
      </c>
      <c r="E34" s="107">
        <v>0</v>
      </c>
      <c r="F34" s="107">
        <f>SUM(D34:E34)</f>
        <v>600</v>
      </c>
    </row>
    <row r="35" spans="2:6" x14ac:dyDescent="0.25">
      <c r="B35" s="76">
        <v>61</v>
      </c>
      <c r="C35" s="103" t="s">
        <v>277</v>
      </c>
      <c r="D35" s="104">
        <f>SUM(D36)</f>
        <v>1000</v>
      </c>
      <c r="E35" s="104">
        <f t="shared" ref="E35:F35" si="2">SUM(E36)</f>
        <v>0</v>
      </c>
      <c r="F35" s="104">
        <f t="shared" si="2"/>
        <v>1000</v>
      </c>
    </row>
    <row r="36" spans="2:6" x14ac:dyDescent="0.25">
      <c r="B36" s="76">
        <v>611</v>
      </c>
      <c r="C36" s="103" t="s">
        <v>278</v>
      </c>
      <c r="D36" s="104">
        <f>SUM(D37:D37)</f>
        <v>1000</v>
      </c>
      <c r="E36" s="104">
        <f>SUM(E37:E37)</f>
        <v>0</v>
      </c>
      <c r="F36" s="104">
        <f>SUM(F37:F37)</f>
        <v>1000</v>
      </c>
    </row>
    <row r="37" spans="2:6" x14ac:dyDescent="0.25">
      <c r="B37" s="85">
        <v>61104</v>
      </c>
      <c r="C37" s="106" t="s">
        <v>332</v>
      </c>
      <c r="D37" s="107">
        <v>1000</v>
      </c>
      <c r="E37" s="107">
        <v>0</v>
      </c>
      <c r="F37" s="107">
        <f>SUM(D37:E37)</f>
        <v>1000</v>
      </c>
    </row>
    <row r="38" spans="2:6" x14ac:dyDescent="0.25">
      <c r="B38" s="85"/>
      <c r="C38" s="106"/>
      <c r="D38" s="107"/>
      <c r="E38" s="107"/>
      <c r="F38" s="107"/>
    </row>
    <row r="39" spans="2:6" x14ac:dyDescent="0.25">
      <c r="B39" s="85"/>
      <c r="C39" s="103" t="s">
        <v>69</v>
      </c>
      <c r="D39" s="104">
        <f>SUM(D12+D20+D35)</f>
        <v>39295.47</v>
      </c>
      <c r="E39" s="104">
        <f>SUM(E12+E20+E35)</f>
        <v>69179.42</v>
      </c>
      <c r="F39" s="104">
        <f>SUM(D39:E39)</f>
        <v>108474.89</v>
      </c>
    </row>
    <row r="40" spans="2:6" x14ac:dyDescent="0.25">
      <c r="B40" s="85"/>
      <c r="C40" s="106"/>
      <c r="D40" s="107"/>
      <c r="E40" s="107"/>
      <c r="F40" s="107"/>
    </row>
    <row r="41" spans="2:6" x14ac:dyDescent="0.25">
      <c r="B41" s="76"/>
      <c r="C41" s="103" t="s">
        <v>60</v>
      </c>
      <c r="D41" s="104">
        <f>SUM(D12+D20+D35)</f>
        <v>39295.47</v>
      </c>
      <c r="E41" s="104">
        <f>SUM(E12+E20+E35)</f>
        <v>69179.42</v>
      </c>
      <c r="F41" s="104">
        <f>SUM(F12+F20+F35)</f>
        <v>108474.89</v>
      </c>
    </row>
    <row r="42" spans="2:6" x14ac:dyDescent="0.25">
      <c r="B42" s="76"/>
      <c r="C42" s="103" t="s">
        <v>61</v>
      </c>
      <c r="D42" s="104">
        <f>SUM(D13+D16+D18+D21+D31+D36)</f>
        <v>39295.47</v>
      </c>
      <c r="E42" s="104">
        <f>SUM(E13+E16+E18+E21+E31+E36)</f>
        <v>69179.42</v>
      </c>
      <c r="F42" s="104">
        <f>SUM(F13+F16+F18+F21+F31+F36)</f>
        <v>108474.89</v>
      </c>
    </row>
    <row r="43" spans="2:6" x14ac:dyDescent="0.25">
      <c r="B43" s="76"/>
      <c r="C43" s="103" t="s">
        <v>62</v>
      </c>
      <c r="D43" s="104">
        <f>SUM(D14+D15+D17+D19+D22+D23+D24+D25+D26+D27+D28+D29+D30+D32+D33+D34+D37)</f>
        <v>39295.47</v>
      </c>
      <c r="E43" s="104">
        <f>SUM(E14+E15+E17+E19+E22+E23+E24+E25+E26+E27+E28+E29+E30+E32+E33+E37)</f>
        <v>69179.42</v>
      </c>
      <c r="F43" s="104">
        <f>SUM(F14+F15+F17+F19+F22+F23+F24+F25+F26+F27+F28+F29+F30+F32+F33+F34+F37)</f>
        <v>108474.89</v>
      </c>
    </row>
    <row r="44" spans="2:6" x14ac:dyDescent="0.25">
      <c r="C44" s="40"/>
      <c r="D44" s="40"/>
      <c r="E44" s="40"/>
      <c r="F44" s="40"/>
    </row>
    <row r="45" spans="2:6" x14ac:dyDescent="0.25">
      <c r="C45" s="40"/>
      <c r="D45" s="40"/>
      <c r="E45" s="40"/>
      <c r="F45" s="40"/>
    </row>
    <row r="46" spans="2:6" x14ac:dyDescent="0.25">
      <c r="C46" s="40"/>
      <c r="D46" s="40"/>
      <c r="E46" s="40"/>
      <c r="F46" s="40"/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workbookViewId="0">
      <pane ySplit="11" topLeftCell="A12" activePane="bottomLeft" state="frozen"/>
      <selection pane="bottomLeft" activeCell="D17" sqref="D17"/>
    </sheetView>
  </sheetViews>
  <sheetFormatPr baseColWidth="10" defaultRowHeight="15" x14ac:dyDescent="0.25"/>
  <cols>
    <col min="1" max="1" width="3.140625" style="28" customWidth="1"/>
    <col min="2" max="2" width="8.5703125" style="28" customWidth="1"/>
    <col min="3" max="3" width="43" style="28" customWidth="1"/>
    <col min="4" max="4" width="13.28515625" style="28" customWidth="1"/>
    <col min="5" max="5" width="16.140625" style="28" customWidth="1"/>
    <col min="6" max="6" width="13.140625" style="28" customWidth="1"/>
    <col min="7" max="16384" width="11.42578125" style="28"/>
  </cols>
  <sheetData>
    <row r="2" spans="2:6" ht="15.75" x14ac:dyDescent="0.25">
      <c r="B2" s="422" t="s">
        <v>425</v>
      </c>
      <c r="C2" s="422"/>
      <c r="D2" s="422"/>
      <c r="E2" s="422"/>
      <c r="F2" s="422"/>
    </row>
    <row r="3" spans="2:6" ht="15.75" x14ac:dyDescent="0.25">
      <c r="B3" s="422" t="s">
        <v>220</v>
      </c>
      <c r="C3" s="422"/>
      <c r="D3" s="422"/>
      <c r="E3" s="422"/>
      <c r="F3" s="422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329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189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3937.5</v>
      </c>
      <c r="E12" s="94">
        <f>SUM(E13+E16+E18)</f>
        <v>3487.5</v>
      </c>
      <c r="F12" s="94">
        <f>SUM(F13+F16+F18)</f>
        <v>7425</v>
      </c>
    </row>
    <row r="13" spans="2:6" x14ac:dyDescent="0.25">
      <c r="B13" s="76">
        <v>511</v>
      </c>
      <c r="C13" s="108" t="s">
        <v>231</v>
      </c>
      <c r="D13" s="96">
        <f>SUM(D14:D15)</f>
        <v>3450</v>
      </c>
      <c r="E13" s="96">
        <f>SUM(E14:E15)</f>
        <v>3000</v>
      </c>
      <c r="F13" s="96">
        <f>SUM(F14:F15)</f>
        <v>6450</v>
      </c>
    </row>
    <row r="14" spans="2:6" x14ac:dyDescent="0.25">
      <c r="B14" s="79">
        <v>51101</v>
      </c>
      <c r="C14" s="97" t="s">
        <v>232</v>
      </c>
      <c r="D14" s="98">
        <v>3000</v>
      </c>
      <c r="E14" s="98">
        <v>3000</v>
      </c>
      <c r="F14" s="98">
        <f>SUM(D14:E14)</f>
        <v>6000</v>
      </c>
    </row>
    <row r="15" spans="2:6" x14ac:dyDescent="0.25">
      <c r="B15" s="79">
        <v>51103</v>
      </c>
      <c r="C15" s="99" t="s">
        <v>233</v>
      </c>
      <c r="D15" s="98">
        <v>450</v>
      </c>
      <c r="E15" s="98">
        <v>0</v>
      </c>
      <c r="F15" s="98">
        <f>SUM(D15:E15)</f>
        <v>450</v>
      </c>
    </row>
    <row r="16" spans="2:6" x14ac:dyDescent="0.25">
      <c r="B16" s="76">
        <v>514</v>
      </c>
      <c r="C16" s="100" t="s">
        <v>236</v>
      </c>
      <c r="D16" s="96">
        <f>SUM(D17)</f>
        <v>255.00000000000003</v>
      </c>
      <c r="E16" s="96">
        <f t="shared" ref="E16:F16" si="0">SUM(E17)</f>
        <v>255.00000000000003</v>
      </c>
      <c r="F16" s="96">
        <f t="shared" si="0"/>
        <v>510.00000000000006</v>
      </c>
    </row>
    <row r="17" spans="2:6" x14ac:dyDescent="0.25">
      <c r="B17" s="85">
        <v>51401</v>
      </c>
      <c r="C17" s="99" t="s">
        <v>237</v>
      </c>
      <c r="D17" s="98">
        <f>D14*8.5%</f>
        <v>255.00000000000003</v>
      </c>
      <c r="E17" s="98">
        <f>E14*8.5%</f>
        <v>255.00000000000003</v>
      </c>
      <c r="F17" s="98">
        <f>SUM(D17:E17)</f>
        <v>510.00000000000006</v>
      </c>
    </row>
    <row r="18" spans="2:6" x14ac:dyDescent="0.25">
      <c r="B18" s="76">
        <v>515</v>
      </c>
      <c r="C18" s="101" t="s">
        <v>238</v>
      </c>
      <c r="D18" s="96">
        <f>SUM(D19:D19)</f>
        <v>232.5</v>
      </c>
      <c r="E18" s="96">
        <f>SUM(E19:E19)</f>
        <v>232.5</v>
      </c>
      <c r="F18" s="96">
        <f>SUM(F19:F19)</f>
        <v>465</v>
      </c>
    </row>
    <row r="19" spans="2:6" x14ac:dyDescent="0.25">
      <c r="B19" s="85">
        <v>51501</v>
      </c>
      <c r="C19" s="99" t="s">
        <v>237</v>
      </c>
      <c r="D19" s="98">
        <f>D14*7.75%</f>
        <v>232.5</v>
      </c>
      <c r="E19" s="98">
        <f>E14*7.75%</f>
        <v>232.5</v>
      </c>
      <c r="F19" s="98">
        <f>SUM(D19:E19)</f>
        <v>465</v>
      </c>
    </row>
    <row r="20" spans="2:6" x14ac:dyDescent="0.25">
      <c r="B20" s="76">
        <v>54</v>
      </c>
      <c r="C20" s="101" t="s">
        <v>282</v>
      </c>
      <c r="D20" s="96">
        <f>SUM(D21+D27)</f>
        <v>585.46</v>
      </c>
      <c r="E20" s="96">
        <f>SUM(E21)</f>
        <v>0</v>
      </c>
      <c r="F20" s="96">
        <f>SUM(F21+F27)</f>
        <v>585.46</v>
      </c>
    </row>
    <row r="21" spans="2:6" x14ac:dyDescent="0.25">
      <c r="B21" s="76">
        <v>541</v>
      </c>
      <c r="C21" s="101" t="s">
        <v>283</v>
      </c>
      <c r="D21" s="96">
        <f>SUM(D22:D26)</f>
        <v>513.46</v>
      </c>
      <c r="E21" s="96">
        <f>SUM(E22:E26)</f>
        <v>0</v>
      </c>
      <c r="F21" s="96">
        <f>SUM(F22:F26)</f>
        <v>513.46</v>
      </c>
    </row>
    <row r="22" spans="2:6" x14ac:dyDescent="0.25">
      <c r="B22" s="85">
        <v>54101</v>
      </c>
      <c r="C22" s="99" t="s">
        <v>288</v>
      </c>
      <c r="D22" s="98">
        <v>100</v>
      </c>
      <c r="E22" s="98">
        <v>0</v>
      </c>
      <c r="F22" s="98">
        <f>SUM(D22:E22)</f>
        <v>100</v>
      </c>
    </row>
    <row r="23" spans="2:6" x14ac:dyDescent="0.25">
      <c r="B23" s="85">
        <v>54105</v>
      </c>
      <c r="C23" s="99" t="s">
        <v>246</v>
      </c>
      <c r="D23" s="98">
        <v>143.02000000000001</v>
      </c>
      <c r="E23" s="98">
        <v>0</v>
      </c>
      <c r="F23" s="98">
        <f>SUM(D23:E23)</f>
        <v>143.02000000000001</v>
      </c>
    </row>
    <row r="24" spans="2:6" x14ac:dyDescent="0.25">
      <c r="B24" s="85">
        <v>54114</v>
      </c>
      <c r="C24" s="99" t="s">
        <v>250</v>
      </c>
      <c r="D24" s="98">
        <v>34.44</v>
      </c>
      <c r="E24" s="98">
        <v>0</v>
      </c>
      <c r="F24" s="98">
        <f>SUM(D24:E24)</f>
        <v>34.44</v>
      </c>
    </row>
    <row r="25" spans="2:6" x14ac:dyDescent="0.25">
      <c r="B25" s="85">
        <v>54115</v>
      </c>
      <c r="C25" s="99" t="s">
        <v>251</v>
      </c>
      <c r="D25" s="98">
        <v>224</v>
      </c>
      <c r="E25" s="98">
        <v>0</v>
      </c>
      <c r="F25" s="98">
        <f>SUM(D25:E25)</f>
        <v>224</v>
      </c>
    </row>
    <row r="26" spans="2:6" x14ac:dyDescent="0.25">
      <c r="B26" s="105">
        <v>54199</v>
      </c>
      <c r="C26" s="106" t="s">
        <v>253</v>
      </c>
      <c r="D26" s="107">
        <v>12</v>
      </c>
      <c r="E26" s="107">
        <v>0</v>
      </c>
      <c r="F26" s="107">
        <v>12</v>
      </c>
    </row>
    <row r="27" spans="2:6" x14ac:dyDescent="0.25">
      <c r="B27" s="76">
        <v>543</v>
      </c>
      <c r="C27" s="101" t="s">
        <v>254</v>
      </c>
      <c r="D27" s="96">
        <f>SUM(D28)</f>
        <v>72</v>
      </c>
      <c r="E27" s="96">
        <f>SUM(E28)</f>
        <v>0</v>
      </c>
      <c r="F27" s="96">
        <f>SUM(F28)</f>
        <v>72</v>
      </c>
    </row>
    <row r="28" spans="2:6" x14ac:dyDescent="0.25">
      <c r="B28" s="105">
        <v>54313</v>
      </c>
      <c r="C28" s="106" t="s">
        <v>258</v>
      </c>
      <c r="D28" s="107">
        <v>72</v>
      </c>
      <c r="E28" s="107">
        <v>0</v>
      </c>
      <c r="F28" s="107">
        <f>SUM(D28:E28)</f>
        <v>72</v>
      </c>
    </row>
    <row r="29" spans="2:6" x14ac:dyDescent="0.25">
      <c r="B29" s="76">
        <v>61</v>
      </c>
      <c r="C29" s="101" t="s">
        <v>343</v>
      </c>
      <c r="D29" s="96">
        <f>+D30</f>
        <v>100</v>
      </c>
      <c r="E29" s="96">
        <v>0</v>
      </c>
      <c r="F29" s="96">
        <f>+F30</f>
        <v>100</v>
      </c>
    </row>
    <row r="30" spans="2:6" x14ac:dyDescent="0.25">
      <c r="B30" s="76">
        <v>611</v>
      </c>
      <c r="C30" s="101" t="s">
        <v>305</v>
      </c>
      <c r="D30" s="96">
        <f>+D31</f>
        <v>100</v>
      </c>
      <c r="E30" s="96">
        <v>0</v>
      </c>
      <c r="F30" s="96">
        <f>SUM(F31)</f>
        <v>100</v>
      </c>
    </row>
    <row r="31" spans="2:6" x14ac:dyDescent="0.25">
      <c r="B31" s="85">
        <v>61104</v>
      </c>
      <c r="C31" s="99" t="s">
        <v>344</v>
      </c>
      <c r="D31" s="98">
        <v>100</v>
      </c>
      <c r="E31" s="98">
        <v>0</v>
      </c>
      <c r="F31" s="98">
        <f>SUM(D31:E31)</f>
        <v>100</v>
      </c>
    </row>
    <row r="32" spans="2:6" x14ac:dyDescent="0.25">
      <c r="B32" s="85"/>
      <c r="C32" s="99"/>
      <c r="D32" s="98"/>
      <c r="E32" s="98"/>
      <c r="F32" s="98"/>
    </row>
    <row r="33" spans="2:6" x14ac:dyDescent="0.25">
      <c r="B33" s="85"/>
      <c r="C33" s="101" t="s">
        <v>69</v>
      </c>
      <c r="D33" s="96">
        <f>SUM(D12+D20+D29)</f>
        <v>4622.96</v>
      </c>
      <c r="E33" s="96">
        <f>SUM(E12+E20+E29)</f>
        <v>3487.5</v>
      </c>
      <c r="F33" s="96">
        <f>SUM(D33:E33)</f>
        <v>8110.46</v>
      </c>
    </row>
    <row r="34" spans="2:6" x14ac:dyDescent="0.25">
      <c r="B34" s="85"/>
      <c r="C34" s="99"/>
      <c r="D34" s="98"/>
      <c r="E34" s="98"/>
      <c r="F34" s="98"/>
    </row>
    <row r="35" spans="2:6" x14ac:dyDescent="0.25">
      <c r="B35" s="76"/>
      <c r="C35" s="101" t="s">
        <v>60</v>
      </c>
      <c r="D35" s="96">
        <f>SUM(D12+D20+D29)</f>
        <v>4622.96</v>
      </c>
      <c r="E35" s="96">
        <f>SUM(E12+E20+E29)</f>
        <v>3487.5</v>
      </c>
      <c r="F35" s="96">
        <f>SUM(F12+F20+F29)</f>
        <v>8110.46</v>
      </c>
    </row>
    <row r="36" spans="2:6" x14ac:dyDescent="0.25">
      <c r="B36" s="76"/>
      <c r="C36" s="101" t="s">
        <v>61</v>
      </c>
      <c r="D36" s="96">
        <f>SUM(D13+D16+D18+D21+D27+D30)</f>
        <v>4622.96</v>
      </c>
      <c r="E36" s="96">
        <f>SUM(E13+E16+E18+E21+E30)</f>
        <v>3487.5</v>
      </c>
      <c r="F36" s="96">
        <f>SUM(F13+F16+F18+F21+F27+F30)</f>
        <v>8110.46</v>
      </c>
    </row>
    <row r="37" spans="2:6" x14ac:dyDescent="0.25">
      <c r="B37" s="76"/>
      <c r="C37" s="101" t="s">
        <v>62</v>
      </c>
      <c r="D37" s="96">
        <f>SUM(D14+D15+D17+D19+D22+D23+D24+D25+D26+D28+D31)</f>
        <v>4622.96</v>
      </c>
      <c r="E37" s="96">
        <f>SUM(E14+E15+E17+E19+E22+E23+E24+E25+E31)</f>
        <v>3487.5</v>
      </c>
      <c r="F37" s="96">
        <f>SUM(F14+F15+F17+F19+F22+F23+F24+F25+F26+F28+F31)</f>
        <v>8110.46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workbookViewId="0">
      <pane ySplit="11" topLeftCell="A12" activePane="bottomLeft" state="frozen"/>
      <selection pane="bottomLeft" activeCell="E20" sqref="E20"/>
    </sheetView>
  </sheetViews>
  <sheetFormatPr baseColWidth="10" defaultRowHeight="15" x14ac:dyDescent="0.25"/>
  <cols>
    <col min="1" max="1" width="3.28515625" style="28" customWidth="1"/>
    <col min="2" max="2" width="9.7109375" style="28" customWidth="1"/>
    <col min="3" max="3" width="42.7109375" style="28" customWidth="1"/>
    <col min="4" max="4" width="12.28515625" style="28" customWidth="1"/>
    <col min="5" max="5" width="15.5703125" style="28" customWidth="1"/>
    <col min="6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329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190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52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52"/>
    </row>
    <row r="12" spans="2:6" x14ac:dyDescent="0.25">
      <c r="B12" s="71">
        <v>51</v>
      </c>
      <c r="C12" s="100" t="s">
        <v>127</v>
      </c>
      <c r="D12" s="94">
        <f>SUM(D13+D16+D18)</f>
        <v>4635</v>
      </c>
      <c r="E12" s="94">
        <f>SUM(E13+E16+E18)</f>
        <v>4185</v>
      </c>
      <c r="F12" s="94">
        <f>SUM(F13+F16+F18)</f>
        <v>8820</v>
      </c>
    </row>
    <row r="13" spans="2:6" x14ac:dyDescent="0.25">
      <c r="B13" s="76">
        <v>511</v>
      </c>
      <c r="C13" s="108" t="s">
        <v>231</v>
      </c>
      <c r="D13" s="96">
        <f>SUM(D14:D15)</f>
        <v>4050</v>
      </c>
      <c r="E13" s="96">
        <f>SUM(E14:E15)</f>
        <v>3600</v>
      </c>
      <c r="F13" s="96">
        <f>SUM(F14:F15)</f>
        <v>7650</v>
      </c>
    </row>
    <row r="14" spans="2:6" x14ac:dyDescent="0.25">
      <c r="B14" s="79">
        <v>51101</v>
      </c>
      <c r="C14" s="97" t="s">
        <v>232</v>
      </c>
      <c r="D14" s="98">
        <v>3600</v>
      </c>
      <c r="E14" s="98">
        <v>3600</v>
      </c>
      <c r="F14" s="98">
        <f>SUM(D14:E14)</f>
        <v>7200</v>
      </c>
    </row>
    <row r="15" spans="2:6" x14ac:dyDescent="0.25">
      <c r="B15" s="79">
        <v>51103</v>
      </c>
      <c r="C15" s="99" t="s">
        <v>233</v>
      </c>
      <c r="D15" s="98">
        <v>450</v>
      </c>
      <c r="E15" s="98">
        <v>0</v>
      </c>
      <c r="F15" s="98">
        <f>SUM(D15:E15)</f>
        <v>450</v>
      </c>
    </row>
    <row r="16" spans="2:6" x14ac:dyDescent="0.25">
      <c r="B16" s="76">
        <v>514</v>
      </c>
      <c r="C16" s="100" t="s">
        <v>236</v>
      </c>
      <c r="D16" s="96">
        <f>SUM(D17)</f>
        <v>306</v>
      </c>
      <c r="E16" s="96">
        <f t="shared" ref="E16:F16" si="0">SUM(E17)</f>
        <v>306</v>
      </c>
      <c r="F16" s="96">
        <f t="shared" si="0"/>
        <v>612</v>
      </c>
    </row>
    <row r="17" spans="2:6" x14ac:dyDescent="0.25">
      <c r="B17" s="85">
        <v>51401</v>
      </c>
      <c r="C17" s="99" t="s">
        <v>237</v>
      </c>
      <c r="D17" s="98">
        <f>D14*8.5%</f>
        <v>306</v>
      </c>
      <c r="E17" s="98">
        <f>E14*8.5%</f>
        <v>306</v>
      </c>
      <c r="F17" s="98">
        <f>SUM(D17:E17)</f>
        <v>612</v>
      </c>
    </row>
    <row r="18" spans="2:6" x14ac:dyDescent="0.25">
      <c r="B18" s="76">
        <v>515</v>
      </c>
      <c r="C18" s="101" t="s">
        <v>238</v>
      </c>
      <c r="D18" s="96">
        <f>SUM(D19:D19)</f>
        <v>279</v>
      </c>
      <c r="E18" s="96">
        <f>SUM(E19:E19)</f>
        <v>279</v>
      </c>
      <c r="F18" s="96">
        <f>SUM(F19:F19)</f>
        <v>558</v>
      </c>
    </row>
    <row r="19" spans="2:6" x14ac:dyDescent="0.25">
      <c r="B19" s="85">
        <v>51501</v>
      </c>
      <c r="C19" s="99" t="s">
        <v>237</v>
      </c>
      <c r="D19" s="98">
        <f>D14*7.75%</f>
        <v>279</v>
      </c>
      <c r="E19" s="98">
        <f>E14*7.75%</f>
        <v>279</v>
      </c>
      <c r="F19" s="98">
        <f>SUM(D19:E19)</f>
        <v>558</v>
      </c>
    </row>
    <row r="20" spans="2:6" x14ac:dyDescent="0.25">
      <c r="B20" s="76">
        <v>54</v>
      </c>
      <c r="C20" s="101" t="s">
        <v>282</v>
      </c>
      <c r="D20" s="96">
        <f>SUM(D21+D28)</f>
        <v>2550</v>
      </c>
      <c r="E20" s="96">
        <f>SUM(E21+E28)</f>
        <v>2000</v>
      </c>
      <c r="F20" s="96">
        <f>SUM(F21+F28)</f>
        <v>4550</v>
      </c>
    </row>
    <row r="21" spans="2:6" x14ac:dyDescent="0.25">
      <c r="B21" s="76">
        <v>541</v>
      </c>
      <c r="C21" s="101" t="s">
        <v>242</v>
      </c>
      <c r="D21" s="96">
        <f>SUM(D22:D27)</f>
        <v>1450</v>
      </c>
      <c r="E21" s="96">
        <f>SUM(E22:E27)</f>
        <v>2000</v>
      </c>
      <c r="F21" s="96">
        <f>SUM(F22:F27)</f>
        <v>3450</v>
      </c>
    </row>
    <row r="22" spans="2:6" x14ac:dyDescent="0.25">
      <c r="B22" s="85">
        <v>54105</v>
      </c>
      <c r="C22" s="99" t="s">
        <v>246</v>
      </c>
      <c r="D22" s="98">
        <v>50</v>
      </c>
      <c r="E22" s="98">
        <v>0</v>
      </c>
      <c r="F22" s="98">
        <f t="shared" ref="F22:F27" si="1">SUM(D22:E22)</f>
        <v>50</v>
      </c>
    </row>
    <row r="23" spans="2:6" x14ac:dyDescent="0.25">
      <c r="B23" s="85">
        <v>54107</v>
      </c>
      <c r="C23" s="99" t="s">
        <v>312</v>
      </c>
      <c r="D23" s="98">
        <v>0</v>
      </c>
      <c r="E23" s="98">
        <v>500</v>
      </c>
      <c r="F23" s="98">
        <f t="shared" si="1"/>
        <v>500</v>
      </c>
    </row>
    <row r="24" spans="2:6" x14ac:dyDescent="0.25">
      <c r="B24" s="85">
        <v>54114</v>
      </c>
      <c r="C24" s="99" t="s">
        <v>250</v>
      </c>
      <c r="D24" s="98">
        <v>300</v>
      </c>
      <c r="E24" s="98">
        <v>0</v>
      </c>
      <c r="F24" s="98">
        <f t="shared" si="1"/>
        <v>300</v>
      </c>
    </row>
    <row r="25" spans="2:6" x14ac:dyDescent="0.25">
      <c r="B25" s="85">
        <v>54115</v>
      </c>
      <c r="C25" s="99" t="s">
        <v>251</v>
      </c>
      <c r="D25" s="98">
        <v>0</v>
      </c>
      <c r="E25" s="98">
        <v>1500</v>
      </c>
      <c r="F25" s="98">
        <f t="shared" si="1"/>
        <v>1500</v>
      </c>
    </row>
    <row r="26" spans="2:6" x14ac:dyDescent="0.25">
      <c r="B26" s="85">
        <v>54118</v>
      </c>
      <c r="C26" s="99" t="s">
        <v>317</v>
      </c>
      <c r="D26" s="98">
        <v>1000</v>
      </c>
      <c r="E26" s="98">
        <v>0</v>
      </c>
      <c r="F26" s="98">
        <f t="shared" si="1"/>
        <v>1000</v>
      </c>
    </row>
    <row r="27" spans="2:6" x14ac:dyDescent="0.25">
      <c r="B27" s="85">
        <v>54199</v>
      </c>
      <c r="C27" s="99" t="s">
        <v>253</v>
      </c>
      <c r="D27" s="98">
        <v>100</v>
      </c>
      <c r="E27" s="98">
        <v>0</v>
      </c>
      <c r="F27" s="98">
        <f t="shared" si="1"/>
        <v>100</v>
      </c>
    </row>
    <row r="28" spans="2:6" x14ac:dyDescent="0.25">
      <c r="B28" s="76">
        <v>543</v>
      </c>
      <c r="C28" s="101" t="s">
        <v>254</v>
      </c>
      <c r="D28" s="96">
        <f>SUM(D29:D29)</f>
        <v>1100</v>
      </c>
      <c r="E28" s="96">
        <f>SUM(E29)</f>
        <v>0</v>
      </c>
      <c r="F28" s="96">
        <f>SUM(F29:F29)</f>
        <v>1100</v>
      </c>
    </row>
    <row r="29" spans="2:6" x14ac:dyDescent="0.25">
      <c r="B29" s="85">
        <v>54301</v>
      </c>
      <c r="C29" s="99" t="s">
        <v>255</v>
      </c>
      <c r="D29" s="98">
        <v>1100</v>
      </c>
      <c r="E29" s="98">
        <v>0</v>
      </c>
      <c r="F29" s="98">
        <f>SUM(D29:E29)</f>
        <v>1100</v>
      </c>
    </row>
    <row r="30" spans="2:6" x14ac:dyDescent="0.25">
      <c r="B30" s="76">
        <v>61</v>
      </c>
      <c r="C30" s="101" t="s">
        <v>277</v>
      </c>
      <c r="D30" s="96">
        <f>D31</f>
        <v>1200</v>
      </c>
      <c r="E30" s="98">
        <v>0</v>
      </c>
      <c r="F30" s="96">
        <f>F31</f>
        <v>1200</v>
      </c>
    </row>
    <row r="31" spans="2:6" x14ac:dyDescent="0.25">
      <c r="B31" s="76">
        <v>611</v>
      </c>
      <c r="C31" s="101" t="s">
        <v>345</v>
      </c>
      <c r="D31" s="96">
        <f>SUM(D32:D32)</f>
        <v>1200</v>
      </c>
      <c r="E31" s="98">
        <v>0</v>
      </c>
      <c r="F31" s="96">
        <f>SUM(F32:F32)</f>
        <v>1200</v>
      </c>
    </row>
    <row r="32" spans="2:6" x14ac:dyDescent="0.25">
      <c r="B32" s="85">
        <v>61403</v>
      </c>
      <c r="C32" s="99" t="s">
        <v>346</v>
      </c>
      <c r="D32" s="107">
        <v>1200</v>
      </c>
      <c r="E32" s="98">
        <v>0</v>
      </c>
      <c r="F32" s="98">
        <f>+D32</f>
        <v>1200</v>
      </c>
    </row>
    <row r="33" spans="2:6" x14ac:dyDescent="0.25">
      <c r="B33" s="85"/>
      <c r="C33" s="99"/>
      <c r="D33" s="98"/>
      <c r="E33" s="98"/>
      <c r="F33" s="98"/>
    </row>
    <row r="34" spans="2:6" x14ac:dyDescent="0.25">
      <c r="B34" s="85"/>
      <c r="C34" s="101" t="s">
        <v>69</v>
      </c>
      <c r="D34" s="96">
        <f>D12+D20+D30</f>
        <v>8385</v>
      </c>
      <c r="E34" s="96">
        <f>E12+E20</f>
        <v>6185</v>
      </c>
      <c r="F34" s="96">
        <f>SUM(D34:E34)</f>
        <v>14570</v>
      </c>
    </row>
    <row r="35" spans="2:6" x14ac:dyDescent="0.25">
      <c r="B35" s="85"/>
      <c r="C35" s="99"/>
      <c r="D35" s="98"/>
      <c r="E35" s="98"/>
      <c r="F35" s="98"/>
    </row>
    <row r="36" spans="2:6" x14ac:dyDescent="0.25">
      <c r="B36" s="76"/>
      <c r="C36" s="101" t="s">
        <v>60</v>
      </c>
      <c r="D36" s="96">
        <f>SUM(D12+D20+D30)</f>
        <v>8385</v>
      </c>
      <c r="E36" s="96">
        <f>SUM(E12+E20)</f>
        <v>6185</v>
      </c>
      <c r="F36" s="96">
        <f>SUM(F12+F20+F30)</f>
        <v>14570</v>
      </c>
    </row>
    <row r="37" spans="2:6" x14ac:dyDescent="0.25">
      <c r="B37" s="76"/>
      <c r="C37" s="101" t="s">
        <v>61</v>
      </c>
      <c r="D37" s="96">
        <f>SUM(D13+D16+D18+D21+D28+D31)</f>
        <v>8385</v>
      </c>
      <c r="E37" s="96">
        <f>SUM(E13+E16+E18+E21+E28)</f>
        <v>6185</v>
      </c>
      <c r="F37" s="96">
        <f>SUM(F13+F16+F18+F21+F28+F31)</f>
        <v>14570</v>
      </c>
    </row>
    <row r="38" spans="2:6" x14ac:dyDescent="0.25">
      <c r="B38" s="76"/>
      <c r="C38" s="101" t="s">
        <v>62</v>
      </c>
      <c r="D38" s="96">
        <f>SUM(D14+D15+D17+D19+D22+D23+D24+D25+D26+D27+D29+D32)</f>
        <v>8385</v>
      </c>
      <c r="E38" s="96">
        <f>SUM(E14+E15+E17+E19+E22+E23+E24+E25+E26+E27)</f>
        <v>6185</v>
      </c>
      <c r="F38" s="96">
        <f>SUM(F14+F15+F17+F19+F22+F23+F24+F25+F26+F27+F29+F32)</f>
        <v>14570</v>
      </c>
    </row>
    <row r="39" spans="2:6" x14ac:dyDescent="0.25">
      <c r="B39" s="42"/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>
      <selection activeCell="C22" sqref="C22"/>
    </sheetView>
  </sheetViews>
  <sheetFormatPr baseColWidth="10" defaultRowHeight="14.25" x14ac:dyDescent="0.2"/>
  <cols>
    <col min="1" max="1" width="1.7109375" style="194" customWidth="1"/>
    <col min="2" max="2" width="8.42578125" style="194" customWidth="1"/>
    <col min="3" max="3" width="39" style="194" customWidth="1"/>
    <col min="4" max="4" width="21.140625" style="194" customWidth="1"/>
    <col min="5" max="5" width="8" style="194" customWidth="1"/>
    <col min="6" max="6" width="50.42578125" style="194" customWidth="1"/>
    <col min="7" max="7" width="21.140625" style="194" customWidth="1"/>
    <col min="8" max="8" width="19.28515625" style="194" customWidth="1"/>
    <col min="9" max="16384" width="11.42578125" style="194"/>
  </cols>
  <sheetData>
    <row r="2" spans="2:7" ht="18" x14ac:dyDescent="0.2">
      <c r="B2" s="399" t="s">
        <v>432</v>
      </c>
      <c r="C2" s="399"/>
      <c r="D2" s="399"/>
      <c r="E2" s="399"/>
      <c r="F2" s="399"/>
      <c r="G2" s="399"/>
    </row>
    <row r="3" spans="2:7" ht="18" x14ac:dyDescent="0.25">
      <c r="B3" s="400" t="s">
        <v>124</v>
      </c>
      <c r="C3" s="400"/>
      <c r="D3" s="400"/>
      <c r="E3" s="400"/>
      <c r="F3" s="400"/>
      <c r="G3" s="400"/>
    </row>
    <row r="4" spans="2:7" ht="18" x14ac:dyDescent="0.25">
      <c r="B4" s="195"/>
      <c r="C4" s="195"/>
      <c r="D4" s="195"/>
      <c r="E4" s="195"/>
      <c r="F4" s="195"/>
      <c r="G4" s="195"/>
    </row>
    <row r="5" spans="2:7" ht="18" x14ac:dyDescent="0.2">
      <c r="B5" s="196" t="s">
        <v>133</v>
      </c>
      <c r="C5" s="187" t="s">
        <v>125</v>
      </c>
      <c r="D5" s="197"/>
      <c r="E5" s="196" t="s">
        <v>133</v>
      </c>
      <c r="F5" s="187" t="s">
        <v>126</v>
      </c>
      <c r="G5" s="197"/>
    </row>
    <row r="6" spans="2:7" ht="15.75" x14ac:dyDescent="0.2">
      <c r="B6" s="198">
        <v>11</v>
      </c>
      <c r="C6" s="188" t="s">
        <v>71</v>
      </c>
      <c r="D6" s="204">
        <f>+'PRESU INGRESOS'!F7</f>
        <v>55896.44</v>
      </c>
      <c r="E6" s="198">
        <v>51</v>
      </c>
      <c r="F6" s="188" t="s">
        <v>127</v>
      </c>
      <c r="G6" s="204">
        <f>+REMUNERACIONES!E34+REMUNERACIONES!L34+PRESTAMO!D12</f>
        <v>1665746.7450000001</v>
      </c>
    </row>
    <row r="7" spans="2:7" ht="15.75" x14ac:dyDescent="0.2">
      <c r="B7" s="198">
        <v>12</v>
      </c>
      <c r="C7" s="188" t="s">
        <v>76</v>
      </c>
      <c r="D7" s="204">
        <f>+'PRESU INGRESOS'!F13</f>
        <v>1153986.5699999998</v>
      </c>
      <c r="E7" s="198">
        <v>54</v>
      </c>
      <c r="F7" s="188" t="s">
        <v>128</v>
      </c>
      <c r="G7" s="204">
        <f>+GASTO!D33+GASTO!K33+'GASTO FISDL'!D12+'GASTO DONACION'!D12+'FONDO DE EMERGENCIA'!D12+PRESTAMO!D15</f>
        <v>1478022.6300000001</v>
      </c>
    </row>
    <row r="8" spans="2:7" ht="15.75" x14ac:dyDescent="0.2">
      <c r="B8" s="198">
        <v>14</v>
      </c>
      <c r="C8" s="188" t="s">
        <v>59</v>
      </c>
      <c r="D8" s="204">
        <f>+'PRESU INGRESOS'!F32</f>
        <v>1800</v>
      </c>
      <c r="E8" s="198">
        <v>55</v>
      </c>
      <c r="F8" s="188" t="s">
        <v>129</v>
      </c>
      <c r="G8" s="204">
        <f>+GASTO!D41+GASTO!K41+'GASTO FISDL'!D25+'GASTO DONACION'!D21+'FONDO DE EMERGENCIA'!D21+MJSP!D12</f>
        <v>47483</v>
      </c>
    </row>
    <row r="9" spans="2:7" ht="15.75" x14ac:dyDescent="0.2">
      <c r="B9" s="198">
        <v>15</v>
      </c>
      <c r="C9" s="188" t="s">
        <v>91</v>
      </c>
      <c r="D9" s="205">
        <f>+'PRESU INGRESOS'!F35</f>
        <v>25820.809999999998</v>
      </c>
      <c r="E9" s="198">
        <v>56</v>
      </c>
      <c r="F9" s="188" t="s">
        <v>104</v>
      </c>
      <c r="G9" s="204">
        <f>+GASTO!D48+GASTO!K48</f>
        <v>8700</v>
      </c>
    </row>
    <row r="10" spans="2:7" ht="15.75" x14ac:dyDescent="0.2">
      <c r="B10" s="198">
        <v>16</v>
      </c>
      <c r="C10" s="188" t="s">
        <v>104</v>
      </c>
      <c r="D10" s="204">
        <f>+'PRESU INGRESOS'!E48</f>
        <v>790104.16999999993</v>
      </c>
      <c r="E10" s="198">
        <v>61</v>
      </c>
      <c r="F10" s="188" t="s">
        <v>130</v>
      </c>
      <c r="G10" s="204">
        <f>+GASTO!D74+GASTO!K74+MJSP!D15</f>
        <v>31420.98</v>
      </c>
    </row>
    <row r="11" spans="2:7" ht="30.75" customHeight="1" x14ac:dyDescent="0.2">
      <c r="B11" s="198">
        <v>22</v>
      </c>
      <c r="C11" s="188" t="s">
        <v>107</v>
      </c>
      <c r="D11" s="204">
        <f>+'PRESU INGRESOS'!E51</f>
        <v>3160416.68</v>
      </c>
      <c r="E11" s="198"/>
      <c r="F11" s="189" t="s">
        <v>443</v>
      </c>
      <c r="G11" s="204">
        <f>+'FODES 75%'!D15+'FODES 2% '!D11</f>
        <v>5272973.75</v>
      </c>
    </row>
    <row r="12" spans="2:7" ht="15.75" x14ac:dyDescent="0.2">
      <c r="B12" s="198">
        <v>32</v>
      </c>
      <c r="C12" s="188" t="s">
        <v>3</v>
      </c>
      <c r="D12" s="204">
        <f>+'PRESU INGRESOS'!G55</f>
        <v>3316322.4399999995</v>
      </c>
      <c r="F12" s="189"/>
      <c r="G12" s="206"/>
    </row>
    <row r="13" spans="2:7" s="49" customFormat="1" ht="15.75" x14ac:dyDescent="0.2">
      <c r="B13" s="200"/>
      <c r="C13" s="189"/>
      <c r="D13" s="206"/>
      <c r="E13" s="201"/>
      <c r="G13" s="199"/>
    </row>
    <row r="14" spans="2:7" ht="18" x14ac:dyDescent="0.2">
      <c r="B14" s="202"/>
      <c r="C14" s="187" t="s">
        <v>131</v>
      </c>
      <c r="D14" s="190">
        <f>SUM(D6:D12)</f>
        <v>8504347.1099999994</v>
      </c>
      <c r="E14" s="202"/>
      <c r="F14" s="187" t="s">
        <v>132</v>
      </c>
      <c r="G14" s="190">
        <f>SUM(G6:G12)</f>
        <v>8504347.1050000004</v>
      </c>
    </row>
    <row r="17" spans="3:9" x14ac:dyDescent="0.2">
      <c r="I17" s="379">
        <f>D14-G14</f>
        <v>4.9999989569187164E-3</v>
      </c>
    </row>
    <row r="21" spans="3:9" ht="15" x14ac:dyDescent="0.25">
      <c r="F21" s="203"/>
    </row>
    <row r="22" spans="3:9" x14ac:dyDescent="0.2">
      <c r="I22" s="381">
        <f>PRESTAMO!F29+MJSP!D19</f>
        <v>138895.98000000001</v>
      </c>
    </row>
    <row r="26" spans="3:9" x14ac:dyDescent="0.2">
      <c r="C26" s="194" t="s">
        <v>416</v>
      </c>
    </row>
    <row r="28" spans="3:9" x14ac:dyDescent="0.2">
      <c r="F28" s="194" t="s">
        <v>383</v>
      </c>
    </row>
  </sheetData>
  <mergeCells count="2">
    <mergeCell ref="B2:G2"/>
    <mergeCell ref="B3:G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workbookViewId="0">
      <pane ySplit="11" topLeftCell="A12" activePane="bottomLeft" state="frozen"/>
      <selection pane="bottomLeft" activeCell="A28" sqref="A28:XFD28"/>
    </sheetView>
  </sheetViews>
  <sheetFormatPr baseColWidth="10" defaultRowHeight="15" x14ac:dyDescent="0.25"/>
  <cols>
    <col min="1" max="1" width="3" style="28" customWidth="1"/>
    <col min="2" max="2" width="9" style="28" customWidth="1"/>
    <col min="3" max="3" width="44" style="28" customWidth="1"/>
    <col min="4" max="4" width="12" style="28" customWidth="1"/>
    <col min="5" max="5" width="15.7109375" style="28" customWidth="1"/>
    <col min="6" max="6" width="13.14062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329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156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17642.5</v>
      </c>
      <c r="E12" s="94">
        <f>SUM(E13+E16+E18)</f>
        <v>9765</v>
      </c>
      <c r="F12" s="94">
        <f>SUM(F13+F16+F18)</f>
        <v>27407.5</v>
      </c>
    </row>
    <row r="13" spans="2:6" x14ac:dyDescent="0.25">
      <c r="B13" s="76">
        <v>511</v>
      </c>
      <c r="C13" s="108" t="s">
        <v>231</v>
      </c>
      <c r="D13" s="96">
        <f>SUM(D14:D15)</f>
        <v>15400</v>
      </c>
      <c r="E13" s="96">
        <f>SUM(E14:E15)</f>
        <v>8400</v>
      </c>
      <c r="F13" s="96">
        <f>SUM(F14:F15)</f>
        <v>23800</v>
      </c>
    </row>
    <row r="14" spans="2:6" x14ac:dyDescent="0.25">
      <c r="B14" s="79">
        <v>51101</v>
      </c>
      <c r="C14" s="97" t="s">
        <v>232</v>
      </c>
      <c r="D14" s="98">
        <v>13800</v>
      </c>
      <c r="E14" s="98">
        <v>8400</v>
      </c>
      <c r="F14" s="98">
        <f>SUM(D14:E14)</f>
        <v>22200</v>
      </c>
    </row>
    <row r="15" spans="2:6" x14ac:dyDescent="0.25">
      <c r="B15" s="79">
        <v>51103</v>
      </c>
      <c r="C15" s="99" t="s">
        <v>233</v>
      </c>
      <c r="D15" s="98">
        <v>1600</v>
      </c>
      <c r="E15" s="98">
        <v>0</v>
      </c>
      <c r="F15" s="98">
        <f>SUM(D15:E15)</f>
        <v>1600</v>
      </c>
    </row>
    <row r="16" spans="2:6" x14ac:dyDescent="0.25">
      <c r="B16" s="76">
        <v>514</v>
      </c>
      <c r="C16" s="100" t="s">
        <v>236</v>
      </c>
      <c r="D16" s="96">
        <f>SUM(D17)</f>
        <v>1173</v>
      </c>
      <c r="E16" s="96">
        <f t="shared" ref="E16:F16" si="0">SUM(E17)</f>
        <v>714</v>
      </c>
      <c r="F16" s="96">
        <f t="shared" si="0"/>
        <v>1887</v>
      </c>
    </row>
    <row r="17" spans="2:6" x14ac:dyDescent="0.25">
      <c r="B17" s="85">
        <v>51401</v>
      </c>
      <c r="C17" s="99" t="s">
        <v>237</v>
      </c>
      <c r="D17" s="98">
        <f>D14*8.5%</f>
        <v>1173</v>
      </c>
      <c r="E17" s="98">
        <f>E14*8.5%</f>
        <v>714</v>
      </c>
      <c r="F17" s="98">
        <f>SUM(D17:E17)</f>
        <v>1887</v>
      </c>
    </row>
    <row r="18" spans="2:6" x14ac:dyDescent="0.25">
      <c r="B18" s="76">
        <v>515</v>
      </c>
      <c r="C18" s="101" t="s">
        <v>238</v>
      </c>
      <c r="D18" s="96">
        <f>SUM(D19:D19)</f>
        <v>1069.5</v>
      </c>
      <c r="E18" s="96">
        <f>SUM(E19:E19)</f>
        <v>651</v>
      </c>
      <c r="F18" s="96">
        <f>SUM(F19:F19)</f>
        <v>1720.5</v>
      </c>
    </row>
    <row r="19" spans="2:6" x14ac:dyDescent="0.25">
      <c r="B19" s="85">
        <v>51501</v>
      </c>
      <c r="C19" s="99" t="s">
        <v>237</v>
      </c>
      <c r="D19" s="98">
        <f>D14*7.75%</f>
        <v>1069.5</v>
      </c>
      <c r="E19" s="98">
        <f>E14*7.75%</f>
        <v>651</v>
      </c>
      <c r="F19" s="98">
        <f>SUM(D19:E19)</f>
        <v>1720.5</v>
      </c>
    </row>
    <row r="20" spans="2:6" x14ac:dyDescent="0.25">
      <c r="B20" s="76">
        <v>54</v>
      </c>
      <c r="C20" s="101" t="s">
        <v>282</v>
      </c>
      <c r="D20" s="96">
        <f>SUM(D21+D26)</f>
        <v>13025.15</v>
      </c>
      <c r="E20" s="96">
        <f>SUM(E21+E26)</f>
        <v>0</v>
      </c>
      <c r="F20" s="96">
        <f>SUM(F21+F26)</f>
        <v>13025.15</v>
      </c>
    </row>
    <row r="21" spans="2:6" x14ac:dyDescent="0.25">
      <c r="B21" s="76">
        <v>541</v>
      </c>
      <c r="C21" s="101" t="s">
        <v>283</v>
      </c>
      <c r="D21" s="104">
        <f>SUM(D22:D25)</f>
        <v>1325.15</v>
      </c>
      <c r="E21" s="96">
        <f>SUM(E22:E25)</f>
        <v>0</v>
      </c>
      <c r="F21" s="96">
        <f>SUM(F22:F25)</f>
        <v>1325.15</v>
      </c>
    </row>
    <row r="22" spans="2:6" s="193" customFormat="1" x14ac:dyDescent="0.25">
      <c r="B22" s="85">
        <v>54101</v>
      </c>
      <c r="C22" s="99" t="s">
        <v>243</v>
      </c>
      <c r="D22" s="107">
        <v>300</v>
      </c>
      <c r="E22" s="98">
        <v>0</v>
      </c>
      <c r="F22" s="98">
        <f>SUM(D22:E22)</f>
        <v>300</v>
      </c>
    </row>
    <row r="23" spans="2:6" x14ac:dyDescent="0.25">
      <c r="B23" s="85">
        <v>54105</v>
      </c>
      <c r="C23" s="99" t="s">
        <v>246</v>
      </c>
      <c r="D23" s="107">
        <v>300.14999999999998</v>
      </c>
      <c r="E23" s="98">
        <v>0</v>
      </c>
      <c r="F23" s="98">
        <f t="shared" ref="F23:F25" si="1">SUM(D23:E23)</f>
        <v>300.14999999999998</v>
      </c>
    </row>
    <row r="24" spans="2:6" x14ac:dyDescent="0.25">
      <c r="B24" s="85">
        <v>54114</v>
      </c>
      <c r="C24" s="99" t="s">
        <v>250</v>
      </c>
      <c r="D24" s="107">
        <v>150</v>
      </c>
      <c r="E24" s="98">
        <v>0</v>
      </c>
      <c r="F24" s="98">
        <f t="shared" si="1"/>
        <v>150</v>
      </c>
    </row>
    <row r="25" spans="2:6" x14ac:dyDescent="0.25">
      <c r="B25" s="85">
        <v>54115</v>
      </c>
      <c r="C25" s="99" t="s">
        <v>251</v>
      </c>
      <c r="D25" s="107">
        <v>575</v>
      </c>
      <c r="E25" s="98">
        <v>0</v>
      </c>
      <c r="F25" s="98">
        <f t="shared" si="1"/>
        <v>575</v>
      </c>
    </row>
    <row r="26" spans="2:6" x14ac:dyDescent="0.25">
      <c r="B26" s="76">
        <v>543</v>
      </c>
      <c r="C26" s="101" t="s">
        <v>254</v>
      </c>
      <c r="D26" s="104">
        <f>SUM(D27:D29)</f>
        <v>11700</v>
      </c>
      <c r="E26" s="96">
        <f>SUM(E27:E29)</f>
        <v>0</v>
      </c>
      <c r="F26" s="96">
        <f>SUM(F27:F29)</f>
        <v>11700</v>
      </c>
    </row>
    <row r="27" spans="2:6" x14ac:dyDescent="0.25">
      <c r="B27" s="85">
        <v>54301</v>
      </c>
      <c r="C27" s="99" t="s">
        <v>255</v>
      </c>
      <c r="D27" s="107">
        <v>700</v>
      </c>
      <c r="E27" s="98">
        <v>0</v>
      </c>
      <c r="F27" s="98">
        <f>SUM(D27:E27)</f>
        <v>700</v>
      </c>
    </row>
    <row r="28" spans="2:6" x14ac:dyDescent="0.25">
      <c r="B28" s="85">
        <v>54305</v>
      </c>
      <c r="C28" s="99" t="s">
        <v>401</v>
      </c>
      <c r="D28" s="107">
        <v>2000</v>
      </c>
      <c r="E28" s="98"/>
      <c r="F28" s="98">
        <f>SUM(D28:E28)</f>
        <v>2000</v>
      </c>
    </row>
    <row r="29" spans="2:6" x14ac:dyDescent="0.25">
      <c r="B29" s="85">
        <v>54313</v>
      </c>
      <c r="C29" s="99" t="s">
        <v>258</v>
      </c>
      <c r="D29" s="107">
        <v>9000</v>
      </c>
      <c r="E29" s="98">
        <v>0</v>
      </c>
      <c r="F29" s="98">
        <f>SUM(D29:E29)</f>
        <v>9000</v>
      </c>
    </row>
    <row r="30" spans="2:6" x14ac:dyDescent="0.25">
      <c r="B30" s="76">
        <v>61</v>
      </c>
      <c r="C30" s="101" t="s">
        <v>277</v>
      </c>
      <c r="D30" s="104">
        <f>SUM(D31)</f>
        <v>1580</v>
      </c>
      <c r="E30" s="96">
        <f t="shared" ref="E30" si="2">SUM(E31)</f>
        <v>0</v>
      </c>
      <c r="F30" s="96">
        <f>SUM(F31)</f>
        <v>1580</v>
      </c>
    </row>
    <row r="31" spans="2:6" x14ac:dyDescent="0.25">
      <c r="B31" s="76">
        <v>611</v>
      </c>
      <c r="C31" s="101" t="s">
        <v>278</v>
      </c>
      <c r="D31" s="104">
        <f>SUM(D32:D33)</f>
        <v>1580</v>
      </c>
      <c r="E31" s="96">
        <f>SUM(E32:E33)</f>
        <v>0</v>
      </c>
      <c r="F31" s="96">
        <f>SUM(F32:F33)</f>
        <v>1580</v>
      </c>
    </row>
    <row r="32" spans="2:6" x14ac:dyDescent="0.25">
      <c r="B32" s="105">
        <v>61101</v>
      </c>
      <c r="C32" s="106" t="s">
        <v>279</v>
      </c>
      <c r="D32" s="107">
        <v>580</v>
      </c>
      <c r="E32" s="98"/>
      <c r="F32" s="98">
        <f t="shared" ref="F32:F33" si="3">SUM(D32:E32)</f>
        <v>580</v>
      </c>
    </row>
    <row r="33" spans="2:6" x14ac:dyDescent="0.25">
      <c r="B33" s="105">
        <v>61104</v>
      </c>
      <c r="C33" s="106" t="s">
        <v>332</v>
      </c>
      <c r="D33" s="107">
        <v>1000</v>
      </c>
      <c r="E33" s="98">
        <v>0</v>
      </c>
      <c r="F33" s="98">
        <f t="shared" si="3"/>
        <v>1000</v>
      </c>
    </row>
    <row r="34" spans="2:6" x14ac:dyDescent="0.25">
      <c r="B34" s="85"/>
      <c r="C34" s="99"/>
      <c r="D34" s="98"/>
      <c r="E34" s="98"/>
      <c r="F34" s="98"/>
    </row>
    <row r="35" spans="2:6" x14ac:dyDescent="0.25">
      <c r="B35" s="85"/>
      <c r="C35" s="101" t="s">
        <v>69</v>
      </c>
      <c r="D35" s="96">
        <f>SUM(D12+D20+D30)</f>
        <v>32247.65</v>
      </c>
      <c r="E35" s="96">
        <f>SUM(E12+E20+E30)</f>
        <v>9765</v>
      </c>
      <c r="F35" s="96">
        <f>SUM(D35:E35)</f>
        <v>42012.65</v>
      </c>
    </row>
    <row r="36" spans="2:6" x14ac:dyDescent="0.25">
      <c r="B36" s="85"/>
      <c r="C36" s="99"/>
      <c r="D36" s="98"/>
      <c r="E36" s="98"/>
      <c r="F36" s="98"/>
    </row>
    <row r="37" spans="2:6" x14ac:dyDescent="0.25">
      <c r="B37" s="76"/>
      <c r="C37" s="101" t="s">
        <v>60</v>
      </c>
      <c r="D37" s="96">
        <f>SUM(D12+D20+D30)</f>
        <v>32247.65</v>
      </c>
      <c r="E37" s="96">
        <f>SUM(E12+E20+E30)</f>
        <v>9765</v>
      </c>
      <c r="F37" s="96">
        <f>SUM(F12+F20+F30)</f>
        <v>42012.65</v>
      </c>
    </row>
    <row r="38" spans="2:6" x14ac:dyDescent="0.25">
      <c r="B38" s="76"/>
      <c r="C38" s="101" t="s">
        <v>61</v>
      </c>
      <c r="D38" s="96">
        <f>SUM(D13+D16+D18+D21+D26+D31)</f>
        <v>32247.65</v>
      </c>
      <c r="E38" s="96">
        <f>SUM(E13+E16+E18+E21+E26+E31)</f>
        <v>9765</v>
      </c>
      <c r="F38" s="96">
        <f>SUM(F13+F16+F18+F21+F26+F31)</f>
        <v>42012.65</v>
      </c>
    </row>
    <row r="39" spans="2:6" x14ac:dyDescent="0.25">
      <c r="B39" s="76"/>
      <c r="C39" s="101" t="s">
        <v>62</v>
      </c>
      <c r="D39" s="96">
        <f>SUM(D22+D14+D15+D17+D19+D23+D24+D25+D27+D28+D29+D32+D33)</f>
        <v>32247.65</v>
      </c>
      <c r="E39" s="96">
        <f>SUM(E14+E15+E17+E19+E23+E24+E25+E27+E29+E32+E33)</f>
        <v>9765</v>
      </c>
      <c r="F39" s="96">
        <f>SUM(F22+F14+F15+F17+F19+F23+F24+F25+F27+F28+F29+F32+F33)</f>
        <v>42012.65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workbookViewId="0">
      <pane ySplit="11" topLeftCell="A12" activePane="bottomLeft" state="frozen"/>
      <selection pane="bottomLeft" activeCell="D26" sqref="D26"/>
    </sheetView>
  </sheetViews>
  <sheetFormatPr baseColWidth="10" defaultRowHeight="15" x14ac:dyDescent="0.25"/>
  <cols>
    <col min="1" max="1" width="3.5703125" style="28" customWidth="1"/>
    <col min="2" max="2" width="9.140625" style="28" customWidth="1"/>
    <col min="3" max="3" width="43.28515625" style="28" customWidth="1"/>
    <col min="4" max="4" width="12.42578125" style="28" customWidth="1"/>
    <col min="5" max="5" width="15.7109375" style="28" customWidth="1"/>
    <col min="6" max="6" width="15.14062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157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SUM(D13+D17+D19)</f>
        <v>115995</v>
      </c>
      <c r="E12" s="94">
        <f>SUM(E13+E17+E19)</f>
        <v>99045</v>
      </c>
      <c r="F12" s="94">
        <f>SUM(F13+F17+F19)</f>
        <v>215040</v>
      </c>
    </row>
    <row r="13" spans="2:6" x14ac:dyDescent="0.25">
      <c r="B13" s="76">
        <v>511</v>
      </c>
      <c r="C13" s="108" t="s">
        <v>231</v>
      </c>
      <c r="D13" s="96">
        <f>SUM(D14:D16)</f>
        <v>102150</v>
      </c>
      <c r="E13" s="96">
        <f>SUM(E14:E16)</f>
        <v>85200</v>
      </c>
      <c r="F13" s="96">
        <f>SUM(F14:F16)</f>
        <v>187350</v>
      </c>
    </row>
    <row r="14" spans="2:6" x14ac:dyDescent="0.25">
      <c r="B14" s="79">
        <v>51101</v>
      </c>
      <c r="C14" s="97" t="s">
        <v>232</v>
      </c>
      <c r="D14" s="98">
        <v>85200</v>
      </c>
      <c r="E14" s="98">
        <v>85200</v>
      </c>
      <c r="F14" s="98">
        <f>SUM(D14:E14)</f>
        <v>170400</v>
      </c>
    </row>
    <row r="15" spans="2:6" x14ac:dyDescent="0.25">
      <c r="B15" s="79">
        <v>51103</v>
      </c>
      <c r="C15" s="99" t="s">
        <v>233</v>
      </c>
      <c r="D15" s="98">
        <v>13950</v>
      </c>
      <c r="E15" s="98">
        <v>0</v>
      </c>
      <c r="F15" s="98">
        <f>SUM(D15:E15)</f>
        <v>13950</v>
      </c>
    </row>
    <row r="16" spans="2:6" x14ac:dyDescent="0.25">
      <c r="B16" s="85">
        <v>51107</v>
      </c>
      <c r="C16" s="138" t="s">
        <v>235</v>
      </c>
      <c r="D16" s="98">
        <v>3000</v>
      </c>
      <c r="E16" s="98">
        <v>0</v>
      </c>
      <c r="F16" s="98">
        <f>SUM(D16:E16)</f>
        <v>3000</v>
      </c>
    </row>
    <row r="17" spans="2:6" x14ac:dyDescent="0.25">
      <c r="B17" s="76">
        <v>514</v>
      </c>
      <c r="C17" s="100" t="s">
        <v>236</v>
      </c>
      <c r="D17" s="96">
        <f>SUM(D18:D18)</f>
        <v>7242.0000000000009</v>
      </c>
      <c r="E17" s="96">
        <f>SUM(E18)</f>
        <v>7242.0000000000009</v>
      </c>
      <c r="F17" s="96">
        <f>SUM(F18:F18)</f>
        <v>14484.000000000002</v>
      </c>
    </row>
    <row r="18" spans="2:6" x14ac:dyDescent="0.25">
      <c r="B18" s="85">
        <v>51401</v>
      </c>
      <c r="C18" s="99" t="s">
        <v>237</v>
      </c>
      <c r="D18" s="98">
        <f>D14*8.5%</f>
        <v>7242.0000000000009</v>
      </c>
      <c r="E18" s="98">
        <f>E14*8.5%</f>
        <v>7242.0000000000009</v>
      </c>
      <c r="F18" s="98">
        <f>SUM(D18:E18)</f>
        <v>14484.000000000002</v>
      </c>
    </row>
    <row r="19" spans="2:6" x14ac:dyDescent="0.25">
      <c r="B19" s="76">
        <v>515</v>
      </c>
      <c r="C19" s="101" t="s">
        <v>238</v>
      </c>
      <c r="D19" s="96">
        <f>SUM(D20:D20)</f>
        <v>6603</v>
      </c>
      <c r="E19" s="96">
        <f>SUM(E20:E20)</f>
        <v>6603</v>
      </c>
      <c r="F19" s="96">
        <f>SUM(F20:F20)</f>
        <v>13206</v>
      </c>
    </row>
    <row r="20" spans="2:6" x14ac:dyDescent="0.25">
      <c r="B20" s="85">
        <v>51501</v>
      </c>
      <c r="C20" s="99" t="s">
        <v>237</v>
      </c>
      <c r="D20" s="98">
        <f>D14*7.75%</f>
        <v>6603</v>
      </c>
      <c r="E20" s="98">
        <f>E14*7.75%</f>
        <v>6603</v>
      </c>
      <c r="F20" s="98">
        <f>SUM(D20:E20)</f>
        <v>13206</v>
      </c>
    </row>
    <row r="21" spans="2:6" x14ac:dyDescent="0.25">
      <c r="B21" s="76">
        <v>54</v>
      </c>
      <c r="C21" s="101" t="s">
        <v>282</v>
      </c>
      <c r="D21" s="96">
        <f>SUM(D22+D29+D31)</f>
        <v>16240</v>
      </c>
      <c r="E21" s="96">
        <f>SUM(E22+E29+E31)</f>
        <v>14320</v>
      </c>
      <c r="F21" s="96">
        <f>SUM(F22+F29+F31)</f>
        <v>30560</v>
      </c>
    </row>
    <row r="22" spans="2:6" x14ac:dyDescent="0.25">
      <c r="B22" s="76">
        <v>541</v>
      </c>
      <c r="C22" s="101" t="s">
        <v>283</v>
      </c>
      <c r="D22" s="96">
        <f>SUM(D23:D28)</f>
        <v>12740</v>
      </c>
      <c r="E22" s="96">
        <f>SUM(E23:E28)</f>
        <v>660</v>
      </c>
      <c r="F22" s="96">
        <f>SUM(F23:F28)</f>
        <v>13400</v>
      </c>
    </row>
    <row r="23" spans="2:6" x14ac:dyDescent="0.25">
      <c r="B23" s="85">
        <v>54104</v>
      </c>
      <c r="C23" s="99" t="s">
        <v>245</v>
      </c>
      <c r="D23" s="98">
        <v>9000</v>
      </c>
      <c r="E23" s="98">
        <v>0</v>
      </c>
      <c r="F23" s="98">
        <f t="shared" ref="F23:F28" si="0">SUM(D23:E23)</f>
        <v>9000</v>
      </c>
    </row>
    <row r="24" spans="2:6" x14ac:dyDescent="0.25">
      <c r="B24" s="85">
        <v>54105</v>
      </c>
      <c r="C24" s="99" t="s">
        <v>246</v>
      </c>
      <c r="D24" s="98">
        <v>250</v>
      </c>
      <c r="E24" s="98">
        <v>0</v>
      </c>
      <c r="F24" s="98">
        <f t="shared" si="0"/>
        <v>250</v>
      </c>
    </row>
    <row r="25" spans="2:6" x14ac:dyDescent="0.25">
      <c r="B25" s="85">
        <v>54109</v>
      </c>
      <c r="C25" s="99" t="s">
        <v>290</v>
      </c>
      <c r="D25" s="98">
        <v>720</v>
      </c>
      <c r="E25" s="98">
        <v>0</v>
      </c>
      <c r="F25" s="98">
        <f t="shared" si="0"/>
        <v>720</v>
      </c>
    </row>
    <row r="26" spans="2:6" x14ac:dyDescent="0.25">
      <c r="B26" s="85">
        <v>54110</v>
      </c>
      <c r="C26" s="99" t="s">
        <v>347</v>
      </c>
      <c r="D26" s="107">
        <v>2000</v>
      </c>
      <c r="E26" s="98">
        <v>660</v>
      </c>
      <c r="F26" s="98">
        <f t="shared" si="0"/>
        <v>2660</v>
      </c>
    </row>
    <row r="27" spans="2:6" x14ac:dyDescent="0.25">
      <c r="B27" s="85">
        <v>54114</v>
      </c>
      <c r="C27" s="99" t="s">
        <v>250</v>
      </c>
      <c r="D27" s="107">
        <v>170</v>
      </c>
      <c r="E27" s="98">
        <v>0</v>
      </c>
      <c r="F27" s="98">
        <f t="shared" si="0"/>
        <v>170</v>
      </c>
    </row>
    <row r="28" spans="2:6" x14ac:dyDescent="0.25">
      <c r="B28" s="85">
        <v>54118</v>
      </c>
      <c r="C28" s="99" t="s">
        <v>291</v>
      </c>
      <c r="D28" s="98">
        <v>600</v>
      </c>
      <c r="E28" s="98">
        <v>0</v>
      </c>
      <c r="F28" s="98">
        <f t="shared" si="0"/>
        <v>600</v>
      </c>
    </row>
    <row r="29" spans="2:6" x14ac:dyDescent="0.25">
      <c r="B29" s="76">
        <v>542</v>
      </c>
      <c r="C29" s="101" t="s">
        <v>331</v>
      </c>
      <c r="D29" s="96">
        <f>SUM(D30)</f>
        <v>2000</v>
      </c>
      <c r="E29" s="96">
        <f>SUM(E30)</f>
        <v>8000</v>
      </c>
      <c r="F29" s="96">
        <f>SUM(F30)</f>
        <v>10000</v>
      </c>
    </row>
    <row r="30" spans="2:6" x14ac:dyDescent="0.25">
      <c r="B30" s="85">
        <v>54203</v>
      </c>
      <c r="C30" s="99" t="s">
        <v>338</v>
      </c>
      <c r="D30" s="98">
        <v>2000</v>
      </c>
      <c r="E30" s="98">
        <v>8000</v>
      </c>
      <c r="F30" s="98">
        <f>SUM(D30:E30)</f>
        <v>10000</v>
      </c>
    </row>
    <row r="31" spans="2:6" x14ac:dyDescent="0.25">
      <c r="B31" s="76">
        <v>543</v>
      </c>
      <c r="C31" s="101" t="s">
        <v>254</v>
      </c>
      <c r="D31" s="96">
        <f>SUM(D32:D32)</f>
        <v>1500</v>
      </c>
      <c r="E31" s="96">
        <f>SUM(E32:E32)</f>
        <v>5660</v>
      </c>
      <c r="F31" s="96">
        <f>SUM(F32:F32)</f>
        <v>7160</v>
      </c>
    </row>
    <row r="32" spans="2:6" x14ac:dyDescent="0.25">
      <c r="B32" s="85">
        <v>54302</v>
      </c>
      <c r="C32" s="99" t="s">
        <v>342</v>
      </c>
      <c r="D32" s="107">
        <v>1500</v>
      </c>
      <c r="E32" s="98">
        <v>5660</v>
      </c>
      <c r="F32" s="98">
        <f>SUM(D32:E32)</f>
        <v>7160</v>
      </c>
    </row>
    <row r="33" spans="2:6" x14ac:dyDescent="0.25">
      <c r="B33" s="76">
        <v>61</v>
      </c>
      <c r="C33" s="101" t="s">
        <v>277</v>
      </c>
      <c r="D33" s="96">
        <f>SUM(D34)</f>
        <v>950</v>
      </c>
      <c r="E33" s="96">
        <f>SUM(E34)</f>
        <v>0</v>
      </c>
      <c r="F33" s="96">
        <f>SUM(F34)</f>
        <v>950</v>
      </c>
    </row>
    <row r="34" spans="2:6" x14ac:dyDescent="0.25">
      <c r="B34" s="76">
        <v>611</v>
      </c>
      <c r="C34" s="101" t="s">
        <v>278</v>
      </c>
      <c r="D34" s="96">
        <f>SUM(D35:D35)</f>
        <v>950</v>
      </c>
      <c r="E34" s="96">
        <f>SUM(E35:E35)</f>
        <v>0</v>
      </c>
      <c r="F34" s="96">
        <f>SUM(F35:F35)</f>
        <v>950</v>
      </c>
    </row>
    <row r="35" spans="2:6" x14ac:dyDescent="0.25">
      <c r="B35" s="85">
        <v>61101</v>
      </c>
      <c r="C35" s="99" t="s">
        <v>279</v>
      </c>
      <c r="D35" s="98">
        <v>950</v>
      </c>
      <c r="E35" s="98"/>
      <c r="F35" s="98">
        <f>SUM(D35:E35)</f>
        <v>950</v>
      </c>
    </row>
    <row r="36" spans="2:6" x14ac:dyDescent="0.25">
      <c r="B36" s="87"/>
      <c r="C36" s="138"/>
      <c r="D36" s="98"/>
      <c r="E36" s="98"/>
      <c r="F36" s="98"/>
    </row>
    <row r="37" spans="2:6" x14ac:dyDescent="0.25">
      <c r="B37" s="85"/>
      <c r="C37" s="101" t="s">
        <v>69</v>
      </c>
      <c r="D37" s="96">
        <f>SUM(D12+D21+D33)</f>
        <v>133185</v>
      </c>
      <c r="E37" s="96">
        <f>SUM(E12+E21+E33)</f>
        <v>113365</v>
      </c>
      <c r="F37" s="96">
        <f>SUM(D37:E37)</f>
        <v>246550</v>
      </c>
    </row>
    <row r="38" spans="2:6" x14ac:dyDescent="0.25">
      <c r="B38" s="85"/>
      <c r="C38" s="99"/>
      <c r="D38" s="98"/>
      <c r="E38" s="98"/>
      <c r="F38" s="98"/>
    </row>
    <row r="39" spans="2:6" x14ac:dyDescent="0.25">
      <c r="B39" s="76"/>
      <c r="C39" s="101" t="s">
        <v>60</v>
      </c>
      <c r="D39" s="96">
        <f>SUM(D12+D21+D33)</f>
        <v>133185</v>
      </c>
      <c r="E39" s="96">
        <f>SUM(E12+E21+E33)</f>
        <v>113365</v>
      </c>
      <c r="F39" s="96">
        <f>SUM(F12+F21+F33)</f>
        <v>246550</v>
      </c>
    </row>
    <row r="40" spans="2:6" x14ac:dyDescent="0.25">
      <c r="B40" s="76"/>
      <c r="C40" s="101" t="s">
        <v>61</v>
      </c>
      <c r="D40" s="96">
        <f>SUM(D13+D17+D19+D22+D29+D31+D34)</f>
        <v>133185</v>
      </c>
      <c r="E40" s="96">
        <f>SUM(E13+E17+E19+E22+E29+E31+E34)</f>
        <v>113365</v>
      </c>
      <c r="F40" s="96">
        <f>SUM(F13+F17+F19+F22+F29+F31+F34)</f>
        <v>246550</v>
      </c>
    </row>
    <row r="41" spans="2:6" x14ac:dyDescent="0.25">
      <c r="B41" s="76"/>
      <c r="C41" s="101" t="s">
        <v>62</v>
      </c>
      <c r="D41" s="96">
        <f>SUM(D14+D15+D16+D18+D20+D23+D24+D25+D26+D27+D28+D30+D32+D35)</f>
        <v>133185</v>
      </c>
      <c r="E41" s="96">
        <f>SUM(E14+E15+E16+E18+E20+E23+E24+E25+E26+E27+E28+E30+E32+E35)</f>
        <v>113365</v>
      </c>
      <c r="F41" s="96">
        <f>SUM(F14+F15+F16+F18+F20+F23+F24+F25+F26+F27+F28+F30+F32+F35)</f>
        <v>246550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workbookViewId="0">
      <pane ySplit="11" topLeftCell="A12" activePane="bottomLeft" state="frozen"/>
      <selection pane="bottomLeft" activeCell="E19" sqref="E19"/>
    </sheetView>
  </sheetViews>
  <sheetFormatPr baseColWidth="10" defaultRowHeight="15" x14ac:dyDescent="0.25"/>
  <cols>
    <col min="1" max="1" width="4" style="28" customWidth="1"/>
    <col min="2" max="2" width="9.140625" style="28" customWidth="1"/>
    <col min="3" max="3" width="42.85546875" style="28" customWidth="1"/>
    <col min="4" max="4" width="13" style="28" customWidth="1"/>
    <col min="5" max="5" width="15.5703125" style="28" customWidth="1"/>
    <col min="6" max="6" width="13.2851562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348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63298.75</v>
      </c>
      <c r="E12" s="94">
        <f>SUM(E13+E16+E18)</f>
        <v>56148.75</v>
      </c>
      <c r="F12" s="94">
        <f>SUM(F13+F16+F18)</f>
        <v>119447.5</v>
      </c>
    </row>
    <row r="13" spans="2:6" x14ac:dyDescent="0.25">
      <c r="B13" s="76">
        <v>511</v>
      </c>
      <c r="C13" s="108" t="s">
        <v>231</v>
      </c>
      <c r="D13" s="96">
        <f>SUM(D14:D15)</f>
        <v>55450</v>
      </c>
      <c r="E13" s="96">
        <f>SUM(E14:E15)</f>
        <v>48300</v>
      </c>
      <c r="F13" s="96">
        <f>SUM(F14:F15)</f>
        <v>103750</v>
      </c>
    </row>
    <row r="14" spans="2:6" x14ac:dyDescent="0.25">
      <c r="B14" s="79">
        <v>51101</v>
      </c>
      <c r="C14" s="97" t="s">
        <v>232</v>
      </c>
      <c r="D14" s="98">
        <v>48300</v>
      </c>
      <c r="E14" s="98">
        <v>48300</v>
      </c>
      <c r="F14" s="98">
        <f>SUM(D14:E14)</f>
        <v>96600</v>
      </c>
    </row>
    <row r="15" spans="2:6" x14ac:dyDescent="0.25">
      <c r="B15" s="79">
        <v>51103</v>
      </c>
      <c r="C15" s="99" t="s">
        <v>233</v>
      </c>
      <c r="D15" s="98">
        <v>7150</v>
      </c>
      <c r="E15" s="98">
        <v>0</v>
      </c>
      <c r="F15" s="98">
        <f>SUM(D15:E15)</f>
        <v>7150</v>
      </c>
    </row>
    <row r="16" spans="2:6" x14ac:dyDescent="0.25">
      <c r="B16" s="76">
        <v>514</v>
      </c>
      <c r="C16" s="100" t="s">
        <v>236</v>
      </c>
      <c r="D16" s="96">
        <f>SUM(D17:D17)</f>
        <v>4105.5</v>
      </c>
      <c r="E16" s="96">
        <f t="shared" ref="E16" si="0">SUM(E17)</f>
        <v>4105.5</v>
      </c>
      <c r="F16" s="96">
        <f>SUM(F17:F17)</f>
        <v>8211</v>
      </c>
    </row>
    <row r="17" spans="2:6" x14ac:dyDescent="0.25">
      <c r="B17" s="85">
        <v>51401</v>
      </c>
      <c r="C17" s="99" t="s">
        <v>237</v>
      </c>
      <c r="D17" s="98">
        <f>D14*8.5%</f>
        <v>4105.5</v>
      </c>
      <c r="E17" s="98">
        <f>E14*8.5%</f>
        <v>4105.5</v>
      </c>
      <c r="F17" s="98">
        <f>SUM(D17:E17)</f>
        <v>8211</v>
      </c>
    </row>
    <row r="18" spans="2:6" x14ac:dyDescent="0.25">
      <c r="B18" s="76">
        <v>515</v>
      </c>
      <c r="C18" s="101" t="s">
        <v>238</v>
      </c>
      <c r="D18" s="96">
        <f>SUM(D19:D19)</f>
        <v>3743.25</v>
      </c>
      <c r="E18" s="96">
        <f>SUM(E19:E19)</f>
        <v>3743.25</v>
      </c>
      <c r="F18" s="96">
        <f>SUM(F19:F19)</f>
        <v>7486.5</v>
      </c>
    </row>
    <row r="19" spans="2:6" x14ac:dyDescent="0.25">
      <c r="B19" s="85">
        <v>51501</v>
      </c>
      <c r="C19" s="99" t="s">
        <v>237</v>
      </c>
      <c r="D19" s="98">
        <f>D14*7.75%</f>
        <v>3743.25</v>
      </c>
      <c r="E19" s="98">
        <f>E14*7.75%</f>
        <v>3743.25</v>
      </c>
      <c r="F19" s="98">
        <f>SUM(D19:E19)</f>
        <v>7486.5</v>
      </c>
    </row>
    <row r="20" spans="2:6" x14ac:dyDescent="0.25">
      <c r="B20" s="76">
        <v>54</v>
      </c>
      <c r="C20" s="101" t="s">
        <v>282</v>
      </c>
      <c r="D20" s="96">
        <f>SUM(D21+D29+D32)</f>
        <v>12300</v>
      </c>
      <c r="E20" s="96">
        <f>SUM(E21+E29+E32)</f>
        <v>0</v>
      </c>
      <c r="F20" s="96">
        <f>SUM(F21+F29+F32)</f>
        <v>12300</v>
      </c>
    </row>
    <row r="21" spans="2:6" x14ac:dyDescent="0.25">
      <c r="B21" s="76">
        <v>541</v>
      </c>
      <c r="C21" s="101" t="s">
        <v>283</v>
      </c>
      <c r="D21" s="96">
        <f>SUM(D22:D28)</f>
        <v>8100</v>
      </c>
      <c r="E21" s="96">
        <f>SUM(E22:E28)</f>
        <v>0</v>
      </c>
      <c r="F21" s="96">
        <f>SUM(F22:F28)</f>
        <v>8100</v>
      </c>
    </row>
    <row r="22" spans="2:6" x14ac:dyDescent="0.25">
      <c r="B22" s="85">
        <v>54101</v>
      </c>
      <c r="C22" s="99" t="s">
        <v>243</v>
      </c>
      <c r="D22" s="107">
        <v>2000</v>
      </c>
      <c r="E22" s="98">
        <v>0</v>
      </c>
      <c r="F22" s="98">
        <f t="shared" ref="F22:F28" si="1">SUM(D22:E22)</f>
        <v>2000</v>
      </c>
    </row>
    <row r="23" spans="2:6" x14ac:dyDescent="0.25">
      <c r="B23" s="85">
        <v>54105</v>
      </c>
      <c r="C23" s="99" t="s">
        <v>246</v>
      </c>
      <c r="D23" s="107">
        <v>500</v>
      </c>
      <c r="E23" s="98">
        <v>0</v>
      </c>
      <c r="F23" s="98">
        <f t="shared" si="1"/>
        <v>500</v>
      </c>
    </row>
    <row r="24" spans="2:6" x14ac:dyDescent="0.25">
      <c r="B24" s="85">
        <v>54114</v>
      </c>
      <c r="C24" s="99" t="s">
        <v>250</v>
      </c>
      <c r="D24" s="107">
        <v>1600</v>
      </c>
      <c r="E24" s="98">
        <v>0</v>
      </c>
      <c r="F24" s="98">
        <f t="shared" si="1"/>
        <v>1600</v>
      </c>
    </row>
    <row r="25" spans="2:6" x14ac:dyDescent="0.25">
      <c r="B25" s="85">
        <v>54115</v>
      </c>
      <c r="C25" s="99" t="s">
        <v>251</v>
      </c>
      <c r="D25" s="107">
        <v>1600</v>
      </c>
      <c r="E25" s="98">
        <v>0</v>
      </c>
      <c r="F25" s="98">
        <f t="shared" si="1"/>
        <v>1600</v>
      </c>
    </row>
    <row r="26" spans="2:6" x14ac:dyDescent="0.25">
      <c r="B26" s="85">
        <v>54118</v>
      </c>
      <c r="C26" s="99" t="s">
        <v>349</v>
      </c>
      <c r="D26" s="107">
        <v>1000</v>
      </c>
      <c r="E26" s="98">
        <v>0</v>
      </c>
      <c r="F26" s="98">
        <f t="shared" si="1"/>
        <v>1000</v>
      </c>
    </row>
    <row r="27" spans="2:6" x14ac:dyDescent="0.25">
      <c r="B27" s="85">
        <v>54119</v>
      </c>
      <c r="C27" s="99" t="s">
        <v>304</v>
      </c>
      <c r="D27" s="141">
        <v>600</v>
      </c>
      <c r="E27" s="98">
        <v>0</v>
      </c>
      <c r="F27" s="98">
        <f t="shared" si="1"/>
        <v>600</v>
      </c>
    </row>
    <row r="28" spans="2:6" x14ac:dyDescent="0.25">
      <c r="B28" s="85">
        <v>54199</v>
      </c>
      <c r="C28" s="99" t="s">
        <v>253</v>
      </c>
      <c r="D28" s="141">
        <v>800</v>
      </c>
      <c r="E28" s="98">
        <v>0</v>
      </c>
      <c r="F28" s="98">
        <f t="shared" si="1"/>
        <v>800</v>
      </c>
    </row>
    <row r="29" spans="2:6" x14ac:dyDescent="0.25">
      <c r="B29" s="76">
        <v>543</v>
      </c>
      <c r="C29" s="101" t="s">
        <v>254</v>
      </c>
      <c r="D29" s="96">
        <f>SUM(D30:D31)</f>
        <v>3600</v>
      </c>
      <c r="E29" s="96">
        <f>SUM(E30:E31)</f>
        <v>0</v>
      </c>
      <c r="F29" s="96">
        <f>SUM(F30:F31)</f>
        <v>3600</v>
      </c>
    </row>
    <row r="30" spans="2:6" x14ac:dyDescent="0.25">
      <c r="B30" s="85">
        <v>54301</v>
      </c>
      <c r="C30" s="99" t="s">
        <v>350</v>
      </c>
      <c r="D30" s="98">
        <v>1000</v>
      </c>
      <c r="E30" s="98">
        <v>0</v>
      </c>
      <c r="F30" s="98">
        <f>SUM(D30:E30)</f>
        <v>1000</v>
      </c>
    </row>
    <row r="31" spans="2:6" x14ac:dyDescent="0.25">
      <c r="B31" s="85">
        <v>54304</v>
      </c>
      <c r="C31" s="99" t="s">
        <v>351</v>
      </c>
      <c r="D31" s="261">
        <v>2600</v>
      </c>
      <c r="E31" s="98">
        <v>0</v>
      </c>
      <c r="F31" s="98">
        <f>SUM(D31:E31)</f>
        <v>2600</v>
      </c>
    </row>
    <row r="32" spans="2:6" x14ac:dyDescent="0.25">
      <c r="B32" s="76">
        <v>544</v>
      </c>
      <c r="C32" s="101" t="s">
        <v>261</v>
      </c>
      <c r="D32" s="96">
        <f>SUM(D33)</f>
        <v>600</v>
      </c>
      <c r="E32" s="96">
        <f t="shared" ref="E32:F32" si="2">SUM(E33)</f>
        <v>0</v>
      </c>
      <c r="F32" s="96">
        <f t="shared" si="2"/>
        <v>600</v>
      </c>
    </row>
    <row r="33" spans="2:6" x14ac:dyDescent="0.25">
      <c r="B33" s="85">
        <v>54401</v>
      </c>
      <c r="C33" s="99" t="s">
        <v>262</v>
      </c>
      <c r="D33" s="98">
        <v>600</v>
      </c>
      <c r="E33" s="98">
        <v>0</v>
      </c>
      <c r="F33" s="98">
        <f>SUM(D33:E33)</f>
        <v>600</v>
      </c>
    </row>
    <row r="34" spans="2:6" x14ac:dyDescent="0.25">
      <c r="B34" s="76">
        <v>61</v>
      </c>
      <c r="C34" s="101" t="s">
        <v>277</v>
      </c>
      <c r="D34" s="96">
        <f>SUM(D35)</f>
        <v>1000</v>
      </c>
      <c r="E34" s="96">
        <f t="shared" ref="E34:F34" si="3">SUM(E35)</f>
        <v>0</v>
      </c>
      <c r="F34" s="96">
        <f t="shared" si="3"/>
        <v>1000</v>
      </c>
    </row>
    <row r="35" spans="2:6" x14ac:dyDescent="0.25">
      <c r="B35" s="76">
        <v>611</v>
      </c>
      <c r="C35" s="101" t="s">
        <v>345</v>
      </c>
      <c r="D35" s="96">
        <f>SUM(D36:D36)</f>
        <v>1000</v>
      </c>
      <c r="E35" s="96">
        <f>SUM(E36:E36)</f>
        <v>0</v>
      </c>
      <c r="F35" s="96">
        <f>SUM(F36:F36)</f>
        <v>1000</v>
      </c>
    </row>
    <row r="36" spans="2:6" x14ac:dyDescent="0.25">
      <c r="B36" s="85">
        <v>61101</v>
      </c>
      <c r="C36" s="99" t="s">
        <v>279</v>
      </c>
      <c r="D36" s="107">
        <v>1000</v>
      </c>
      <c r="E36" s="98">
        <v>0</v>
      </c>
      <c r="F36" s="98">
        <f>SUM(D36:E36)</f>
        <v>1000</v>
      </c>
    </row>
    <row r="37" spans="2:6" x14ac:dyDescent="0.25">
      <c r="B37" s="85"/>
      <c r="C37" s="99"/>
      <c r="D37" s="98"/>
      <c r="E37" s="98"/>
      <c r="F37" s="98"/>
    </row>
    <row r="38" spans="2:6" x14ac:dyDescent="0.25">
      <c r="B38" s="85"/>
      <c r="C38" s="101" t="s">
        <v>69</v>
      </c>
      <c r="D38" s="96">
        <f>SUM(D12+D20+D34)</f>
        <v>76598.75</v>
      </c>
      <c r="E38" s="96">
        <f>SUM(E12+E20+E34)</f>
        <v>56148.75</v>
      </c>
      <c r="F38" s="96">
        <f>SUM(D38:E38)</f>
        <v>132747.5</v>
      </c>
    </row>
    <row r="39" spans="2:6" x14ac:dyDescent="0.25">
      <c r="B39" s="85"/>
      <c r="C39" s="99"/>
      <c r="D39" s="98"/>
      <c r="E39" s="98"/>
      <c r="F39" s="98"/>
    </row>
    <row r="40" spans="2:6" x14ac:dyDescent="0.25">
      <c r="B40" s="76"/>
      <c r="C40" s="101" t="s">
        <v>60</v>
      </c>
      <c r="D40" s="96">
        <f>+D12+D20+D34</f>
        <v>76598.75</v>
      </c>
      <c r="E40" s="96">
        <f>+E12+E20+E34</f>
        <v>56148.75</v>
      </c>
      <c r="F40" s="96">
        <f>+F12+F20+F34</f>
        <v>132747.5</v>
      </c>
    </row>
    <row r="41" spans="2:6" x14ac:dyDescent="0.25">
      <c r="B41" s="76"/>
      <c r="C41" s="101" t="s">
        <v>61</v>
      </c>
      <c r="D41" s="96">
        <f>SUM(D13+D16+D18++D21+D29+D32+D35)</f>
        <v>76598.75</v>
      </c>
      <c r="E41" s="96">
        <f>SUM(E13+E16+E18++E21+E29+E32+E35)</f>
        <v>56148.75</v>
      </c>
      <c r="F41" s="96">
        <f>SUM(F13+F16+F18++F21+F29+F32+F35)</f>
        <v>132747.5</v>
      </c>
    </row>
    <row r="42" spans="2:6" x14ac:dyDescent="0.25">
      <c r="B42" s="76"/>
      <c r="C42" s="101" t="s">
        <v>62</v>
      </c>
      <c r="D42" s="96">
        <f>SUM(D14+D15+D17+D19+D22+D23+D24+D25+D26+D27+D28+D30+D31+D33+D36)</f>
        <v>76598.75</v>
      </c>
      <c r="E42" s="96">
        <f>SUM(E14+E15+E17+E19+E22+E23+E24+E25+E30+E33+E36)</f>
        <v>56148.75</v>
      </c>
      <c r="F42" s="96">
        <f>SUM(F14+F15+F17+F19+F22+F23+F24+F25+F26+F27+F28++F30+F31+F33+F36)</f>
        <v>132747.5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workbookViewId="0">
      <pane ySplit="11" topLeftCell="A45" activePane="bottomLeft" state="frozen"/>
      <selection pane="bottomLeft" activeCell="E47" sqref="E47"/>
    </sheetView>
  </sheetViews>
  <sheetFormatPr baseColWidth="10" defaultRowHeight="15" x14ac:dyDescent="0.25"/>
  <cols>
    <col min="1" max="1" width="3" style="28" customWidth="1"/>
    <col min="2" max="2" width="5.85546875" style="28" customWidth="1"/>
    <col min="3" max="3" width="43.7109375" style="28" customWidth="1"/>
    <col min="4" max="4" width="18.28515625" style="28" customWidth="1"/>
    <col min="5" max="5" width="17.42578125" style="28" customWidth="1"/>
    <col min="6" max="6" width="13.710937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423" t="s">
        <v>281</v>
      </c>
      <c r="C6" s="423"/>
      <c r="D6" s="423"/>
      <c r="E6" s="423"/>
      <c r="F6" s="423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159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SUM(D13+D17+D19)</f>
        <v>118254.5</v>
      </c>
      <c r="E12" s="94">
        <f>SUM(E13+E17+E19)</f>
        <v>99184.5</v>
      </c>
      <c r="F12" s="94">
        <f>SUM(F13+F17+F19)</f>
        <v>217439</v>
      </c>
    </row>
    <row r="13" spans="2:6" x14ac:dyDescent="0.25">
      <c r="B13" s="76">
        <v>511</v>
      </c>
      <c r="C13" s="108" t="s">
        <v>231</v>
      </c>
      <c r="D13" s="96">
        <f>SUM(D14:D16)</f>
        <v>104390</v>
      </c>
      <c r="E13" s="96">
        <f>SUM(E14:E16)</f>
        <v>85320</v>
      </c>
      <c r="F13" s="96">
        <f>SUM(F14:F16)</f>
        <v>189710</v>
      </c>
    </row>
    <row r="14" spans="2:6" x14ac:dyDescent="0.25">
      <c r="B14" s="79">
        <v>51101</v>
      </c>
      <c r="C14" s="97" t="s">
        <v>232</v>
      </c>
      <c r="D14" s="98">
        <v>85320</v>
      </c>
      <c r="E14" s="98">
        <v>85320</v>
      </c>
      <c r="F14" s="98">
        <f>SUM(D14:E14)</f>
        <v>170640</v>
      </c>
    </row>
    <row r="15" spans="2:6" x14ac:dyDescent="0.25">
      <c r="B15" s="79">
        <v>51103</v>
      </c>
      <c r="C15" s="99" t="s">
        <v>233</v>
      </c>
      <c r="D15" s="98">
        <v>14070</v>
      </c>
      <c r="E15" s="98">
        <v>0</v>
      </c>
      <c r="F15" s="98">
        <f>SUM(D15:E15)</f>
        <v>14070</v>
      </c>
    </row>
    <row r="16" spans="2:6" x14ac:dyDescent="0.25">
      <c r="B16" s="85">
        <v>51107</v>
      </c>
      <c r="C16" s="138" t="s">
        <v>235</v>
      </c>
      <c r="D16" s="98">
        <v>5000</v>
      </c>
      <c r="E16" s="98">
        <v>0</v>
      </c>
      <c r="F16" s="98">
        <f>SUM(D16:E16)</f>
        <v>5000</v>
      </c>
    </row>
    <row r="17" spans="2:6" x14ac:dyDescent="0.25">
      <c r="B17" s="76">
        <v>514</v>
      </c>
      <c r="C17" s="100" t="s">
        <v>236</v>
      </c>
      <c r="D17" s="96">
        <f>SUM(D18:D18)</f>
        <v>7252.2000000000007</v>
      </c>
      <c r="E17" s="96">
        <f t="shared" ref="E17" si="0">SUM(E18)</f>
        <v>7252.2000000000007</v>
      </c>
      <c r="F17" s="96">
        <f>SUM(F18:F18)</f>
        <v>14504.400000000001</v>
      </c>
    </row>
    <row r="18" spans="2:6" x14ac:dyDescent="0.25">
      <c r="B18" s="85">
        <v>51401</v>
      </c>
      <c r="C18" s="99" t="s">
        <v>237</v>
      </c>
      <c r="D18" s="98">
        <f>D14*8.5%</f>
        <v>7252.2000000000007</v>
      </c>
      <c r="E18" s="98">
        <f>E14*8.5%</f>
        <v>7252.2000000000007</v>
      </c>
      <c r="F18" s="98">
        <f>SUM(D18:E18)</f>
        <v>14504.400000000001</v>
      </c>
    </row>
    <row r="19" spans="2:6" x14ac:dyDescent="0.25">
      <c r="B19" s="76">
        <v>515</v>
      </c>
      <c r="C19" s="100" t="s">
        <v>238</v>
      </c>
      <c r="D19" s="96">
        <f>SUM(D20:D20)</f>
        <v>6612.3</v>
      </c>
      <c r="E19" s="96">
        <f>SUM(E20:E20)</f>
        <v>6612.3</v>
      </c>
      <c r="F19" s="96">
        <f>SUM(F20:F20)</f>
        <v>13224.6</v>
      </c>
    </row>
    <row r="20" spans="2:6" x14ac:dyDescent="0.25">
      <c r="B20" s="85">
        <v>51501</v>
      </c>
      <c r="C20" s="99" t="s">
        <v>237</v>
      </c>
      <c r="D20" s="98">
        <f>D14*7.75%</f>
        <v>6612.3</v>
      </c>
      <c r="E20" s="98">
        <f>E14*7.75%</f>
        <v>6612.3</v>
      </c>
      <c r="F20" s="98">
        <f>SUM(D20:E20)</f>
        <v>13224.6</v>
      </c>
    </row>
    <row r="21" spans="2:6" x14ac:dyDescent="0.25">
      <c r="B21" s="76">
        <v>54</v>
      </c>
      <c r="C21" s="101" t="s">
        <v>282</v>
      </c>
      <c r="D21" s="96">
        <f>SUM(D22+D36+D41)</f>
        <v>208622.83000000002</v>
      </c>
      <c r="E21" s="96">
        <f>SUM(E22+E36+E41)</f>
        <v>287851.11</v>
      </c>
      <c r="F21" s="96">
        <f>SUM(F22+F36+F41)</f>
        <v>496473.94</v>
      </c>
    </row>
    <row r="22" spans="2:6" x14ac:dyDescent="0.25">
      <c r="B22" s="76">
        <v>541</v>
      </c>
      <c r="C22" s="101" t="s">
        <v>283</v>
      </c>
      <c r="D22" s="96">
        <f>SUM(D23:D35)</f>
        <v>39972.83</v>
      </c>
      <c r="E22" s="96">
        <f>SUM(E23:E35)</f>
        <v>121134.41</v>
      </c>
      <c r="F22" s="96">
        <f>SUM(F23:F35)</f>
        <v>161107.24</v>
      </c>
    </row>
    <row r="23" spans="2:6" x14ac:dyDescent="0.25">
      <c r="B23" s="85">
        <v>54104</v>
      </c>
      <c r="C23" s="99" t="s">
        <v>245</v>
      </c>
      <c r="D23" s="98">
        <v>7000</v>
      </c>
      <c r="E23" s="98">
        <v>15000</v>
      </c>
      <c r="F23" s="98">
        <f t="shared" ref="F23:F35" si="1">SUM(D23:E23)</f>
        <v>22000</v>
      </c>
    </row>
    <row r="24" spans="2:6" x14ac:dyDescent="0.25">
      <c r="B24" s="85">
        <v>54105</v>
      </c>
      <c r="C24" s="99" t="s">
        <v>246</v>
      </c>
      <c r="D24" s="98">
        <v>800</v>
      </c>
      <c r="E24" s="98">
        <v>0</v>
      </c>
      <c r="F24" s="98">
        <f t="shared" si="1"/>
        <v>800</v>
      </c>
    </row>
    <row r="25" spans="2:6" x14ac:dyDescent="0.25">
      <c r="B25" s="85">
        <v>54106</v>
      </c>
      <c r="C25" s="99" t="s">
        <v>247</v>
      </c>
      <c r="D25" s="107">
        <v>900</v>
      </c>
      <c r="E25" s="98">
        <v>0</v>
      </c>
      <c r="F25" s="98">
        <f t="shared" si="1"/>
        <v>900</v>
      </c>
    </row>
    <row r="26" spans="2:6" x14ac:dyDescent="0.25">
      <c r="B26" s="85">
        <v>54107</v>
      </c>
      <c r="C26" s="99" t="s">
        <v>312</v>
      </c>
      <c r="D26" s="107">
        <v>250</v>
      </c>
      <c r="E26" s="98">
        <v>0</v>
      </c>
      <c r="F26" s="98">
        <f t="shared" si="1"/>
        <v>250</v>
      </c>
    </row>
    <row r="27" spans="2:6" x14ac:dyDescent="0.25">
      <c r="B27" s="85">
        <v>54109</v>
      </c>
      <c r="C27" s="99" t="s">
        <v>290</v>
      </c>
      <c r="D27" s="98">
        <v>5000</v>
      </c>
      <c r="E27" s="98">
        <v>16000</v>
      </c>
      <c r="F27" s="98">
        <f t="shared" si="1"/>
        <v>21000</v>
      </c>
    </row>
    <row r="28" spans="2:6" x14ac:dyDescent="0.25">
      <c r="B28" s="85">
        <v>54110</v>
      </c>
      <c r="C28" s="99" t="s">
        <v>327</v>
      </c>
      <c r="D28" s="98">
        <v>7000</v>
      </c>
      <c r="E28" s="98">
        <v>5000</v>
      </c>
      <c r="F28" s="98">
        <f t="shared" si="1"/>
        <v>12000</v>
      </c>
    </row>
    <row r="29" spans="2:6" x14ac:dyDescent="0.25">
      <c r="B29" s="85">
        <v>54111</v>
      </c>
      <c r="C29" s="99" t="s">
        <v>328</v>
      </c>
      <c r="D29" s="98">
        <v>6123.2</v>
      </c>
      <c r="E29" s="98">
        <v>23000</v>
      </c>
      <c r="F29" s="98">
        <f t="shared" si="1"/>
        <v>29123.200000000001</v>
      </c>
    </row>
    <row r="30" spans="2:6" x14ac:dyDescent="0.25">
      <c r="B30" s="85">
        <v>54112</v>
      </c>
      <c r="C30" s="99" t="s">
        <v>249</v>
      </c>
      <c r="D30" s="98">
        <v>6049.63</v>
      </c>
      <c r="E30" s="98">
        <v>23087.09</v>
      </c>
      <c r="F30" s="98">
        <f t="shared" si="1"/>
        <v>29136.720000000001</v>
      </c>
    </row>
    <row r="31" spans="2:6" x14ac:dyDescent="0.25">
      <c r="B31" s="85">
        <v>54114</v>
      </c>
      <c r="C31" s="99" t="s">
        <v>250</v>
      </c>
      <c r="D31" s="98">
        <v>250</v>
      </c>
      <c r="E31" s="98">
        <v>0</v>
      </c>
      <c r="F31" s="98">
        <f t="shared" si="1"/>
        <v>250</v>
      </c>
    </row>
    <row r="32" spans="2:6" x14ac:dyDescent="0.25">
      <c r="B32" s="85">
        <v>54115</v>
      </c>
      <c r="C32" s="99" t="s">
        <v>251</v>
      </c>
      <c r="D32" s="98">
        <v>100</v>
      </c>
      <c r="E32" s="98">
        <v>0</v>
      </c>
      <c r="F32" s="98">
        <f t="shared" si="1"/>
        <v>100</v>
      </c>
    </row>
    <row r="33" spans="2:6" x14ac:dyDescent="0.25">
      <c r="B33" s="85">
        <v>54118</v>
      </c>
      <c r="C33" s="99" t="s">
        <v>291</v>
      </c>
      <c r="D33" s="107">
        <v>3000</v>
      </c>
      <c r="E33" s="98">
        <v>24000</v>
      </c>
      <c r="F33" s="98">
        <f t="shared" si="1"/>
        <v>27000</v>
      </c>
    </row>
    <row r="34" spans="2:6" x14ac:dyDescent="0.25">
      <c r="B34" s="85">
        <v>54119</v>
      </c>
      <c r="C34" s="99" t="s">
        <v>252</v>
      </c>
      <c r="D34" s="107">
        <v>2500</v>
      </c>
      <c r="E34" s="98">
        <v>10047.32</v>
      </c>
      <c r="F34" s="98">
        <f t="shared" si="1"/>
        <v>12547.32</v>
      </c>
    </row>
    <row r="35" spans="2:6" x14ac:dyDescent="0.25">
      <c r="B35" s="85">
        <v>54199</v>
      </c>
      <c r="C35" s="99" t="s">
        <v>253</v>
      </c>
      <c r="D35" s="107">
        <v>1000</v>
      </c>
      <c r="E35" s="98">
        <v>5000</v>
      </c>
      <c r="F35" s="98">
        <f t="shared" si="1"/>
        <v>6000</v>
      </c>
    </row>
    <row r="36" spans="2:6" x14ac:dyDescent="0.25">
      <c r="B36" s="76">
        <v>542</v>
      </c>
      <c r="C36" s="101" t="s">
        <v>331</v>
      </c>
      <c r="D36" s="96">
        <f>SUM(D37:D40)</f>
        <v>148000</v>
      </c>
      <c r="E36" s="96">
        <f>SUM(E37:E40)</f>
        <v>100000</v>
      </c>
      <c r="F36" s="96">
        <f>SUM(F37:F40)</f>
        <v>248000</v>
      </c>
    </row>
    <row r="37" spans="2:6" x14ac:dyDescent="0.25">
      <c r="B37" s="85">
        <v>54201</v>
      </c>
      <c r="C37" s="99" t="s">
        <v>336</v>
      </c>
      <c r="D37" s="98">
        <v>50000</v>
      </c>
      <c r="E37" s="98">
        <v>30000</v>
      </c>
      <c r="F37" s="98">
        <f>SUM(D37:E37)</f>
        <v>80000</v>
      </c>
    </row>
    <row r="38" spans="2:6" x14ac:dyDescent="0.25">
      <c r="B38" s="85">
        <v>54202</v>
      </c>
      <c r="C38" s="99" t="s">
        <v>337</v>
      </c>
      <c r="D38" s="98">
        <v>15000</v>
      </c>
      <c r="E38" s="98">
        <v>15000</v>
      </c>
      <c r="F38" s="98">
        <f>SUM(D38:E38)</f>
        <v>30000</v>
      </c>
    </row>
    <row r="39" spans="2:6" x14ac:dyDescent="0.25">
      <c r="B39" s="85">
        <v>54203</v>
      </c>
      <c r="C39" s="99" t="s">
        <v>338</v>
      </c>
      <c r="D39" s="98">
        <v>25000</v>
      </c>
      <c r="E39" s="98">
        <v>20000</v>
      </c>
      <c r="F39" s="98">
        <f>SUM(D39:E39)</f>
        <v>45000</v>
      </c>
    </row>
    <row r="40" spans="2:6" x14ac:dyDescent="0.25">
      <c r="B40" s="85">
        <v>54205</v>
      </c>
      <c r="C40" s="99" t="s">
        <v>352</v>
      </c>
      <c r="D40" s="98">
        <v>58000</v>
      </c>
      <c r="E40" s="98">
        <v>35000</v>
      </c>
      <c r="F40" s="98">
        <f>SUM(D40:E40)</f>
        <v>93000</v>
      </c>
    </row>
    <row r="41" spans="2:6" x14ac:dyDescent="0.25">
      <c r="B41" s="76">
        <v>543</v>
      </c>
      <c r="C41" s="101" t="s">
        <v>254</v>
      </c>
      <c r="D41" s="96">
        <f>SUM(D42:D48)</f>
        <v>20650</v>
      </c>
      <c r="E41" s="96">
        <f>SUM(E42:E48)</f>
        <v>66716.7</v>
      </c>
      <c r="F41" s="96">
        <f>SUM(F42:F48)</f>
        <v>87366.7</v>
      </c>
    </row>
    <row r="42" spans="2:6" x14ac:dyDescent="0.25">
      <c r="B42" s="85">
        <v>54301</v>
      </c>
      <c r="C42" s="99" t="s">
        <v>255</v>
      </c>
      <c r="D42" s="107">
        <v>3250</v>
      </c>
      <c r="E42" s="98">
        <v>13250</v>
      </c>
      <c r="F42" s="98">
        <f t="shared" ref="F42:F48" si="2">SUM(D42:E42)</f>
        <v>16500</v>
      </c>
    </row>
    <row r="43" spans="2:6" x14ac:dyDescent="0.25">
      <c r="B43" s="85">
        <v>54302</v>
      </c>
      <c r="C43" s="99" t="s">
        <v>342</v>
      </c>
      <c r="D43" s="107">
        <v>3500</v>
      </c>
      <c r="E43" s="98">
        <v>13000</v>
      </c>
      <c r="F43" s="98">
        <f t="shared" si="2"/>
        <v>16500</v>
      </c>
    </row>
    <row r="44" spans="2:6" x14ac:dyDescent="0.25">
      <c r="B44" s="85">
        <v>54303</v>
      </c>
      <c r="C44" s="82" t="s">
        <v>353</v>
      </c>
      <c r="D44" s="107">
        <v>2000</v>
      </c>
      <c r="E44" s="98">
        <v>12556.75</v>
      </c>
      <c r="F44" s="98">
        <f t="shared" si="2"/>
        <v>14556.75</v>
      </c>
    </row>
    <row r="45" spans="2:6" x14ac:dyDescent="0.25">
      <c r="B45" s="85">
        <v>54304</v>
      </c>
      <c r="C45" s="99" t="s">
        <v>354</v>
      </c>
      <c r="D45" s="107">
        <v>3000</v>
      </c>
      <c r="E45" s="98">
        <v>24000</v>
      </c>
      <c r="F45" s="98">
        <f t="shared" si="2"/>
        <v>27000</v>
      </c>
    </row>
    <row r="46" spans="2:6" x14ac:dyDescent="0.25">
      <c r="B46" s="85">
        <v>54313</v>
      </c>
      <c r="C46" s="99" t="s">
        <v>258</v>
      </c>
      <c r="D46" s="107">
        <v>900</v>
      </c>
      <c r="E46" s="98">
        <v>0</v>
      </c>
      <c r="F46" s="98">
        <f t="shared" si="2"/>
        <v>900</v>
      </c>
    </row>
    <row r="47" spans="2:6" x14ac:dyDescent="0.25">
      <c r="B47" s="85">
        <v>54317</v>
      </c>
      <c r="C47" s="99" t="s">
        <v>6</v>
      </c>
      <c r="D47" s="107">
        <v>5000</v>
      </c>
      <c r="E47" s="98">
        <v>3909.95</v>
      </c>
      <c r="F47" s="98">
        <f t="shared" si="2"/>
        <v>8909.9500000000007</v>
      </c>
    </row>
    <row r="48" spans="2:6" x14ac:dyDescent="0.25">
      <c r="B48" s="85">
        <v>54399</v>
      </c>
      <c r="C48" s="99" t="s">
        <v>260</v>
      </c>
      <c r="D48" s="107">
        <v>3000</v>
      </c>
      <c r="E48" s="98">
        <v>0</v>
      </c>
      <c r="F48" s="98">
        <f t="shared" si="2"/>
        <v>3000</v>
      </c>
    </row>
    <row r="49" spans="2:6" x14ac:dyDescent="0.25">
      <c r="B49" s="142"/>
      <c r="C49" s="143"/>
      <c r="D49" s="376"/>
      <c r="E49" s="98"/>
      <c r="F49" s="98"/>
    </row>
    <row r="50" spans="2:6" x14ac:dyDescent="0.25">
      <c r="B50" s="85"/>
      <c r="C50" s="101" t="s">
        <v>69</v>
      </c>
      <c r="D50" s="96">
        <f>SUM(D12+D21)</f>
        <v>326877.33</v>
      </c>
      <c r="E50" s="96">
        <f>SUM(E12+E21)</f>
        <v>387035.61</v>
      </c>
      <c r="F50" s="96">
        <f>SUM(D50:E50)</f>
        <v>713912.94</v>
      </c>
    </row>
    <row r="51" spans="2:6" x14ac:dyDescent="0.25">
      <c r="B51" s="85"/>
      <c r="C51" s="99"/>
      <c r="D51" s="98"/>
      <c r="E51" s="98"/>
      <c r="F51" s="98"/>
    </row>
    <row r="52" spans="2:6" x14ac:dyDescent="0.25">
      <c r="B52" s="76"/>
      <c r="C52" s="101" t="s">
        <v>60</v>
      </c>
      <c r="D52" s="96">
        <f>SUM(D12+D21)</f>
        <v>326877.33</v>
      </c>
      <c r="E52" s="96">
        <f>SUM(E12+E21)</f>
        <v>387035.61</v>
      </c>
      <c r="F52" s="96">
        <f>SUM(F12+F21)</f>
        <v>713912.94</v>
      </c>
    </row>
    <row r="53" spans="2:6" x14ac:dyDescent="0.25">
      <c r="B53" s="76"/>
      <c r="C53" s="101" t="s">
        <v>61</v>
      </c>
      <c r="D53" s="96">
        <f>SUM(D13+D17+D19+D22+D36+D41)</f>
        <v>326877.33</v>
      </c>
      <c r="E53" s="96">
        <f>SUM(E13+E17+E19+E22+E36+E41)</f>
        <v>387035.61000000004</v>
      </c>
      <c r="F53" s="96">
        <f>SUM(F13+F17+F19+F22+F36+F41)</f>
        <v>713912.94</v>
      </c>
    </row>
    <row r="54" spans="2:6" x14ac:dyDescent="0.25">
      <c r="B54" s="76"/>
      <c r="C54" s="101" t="s">
        <v>62</v>
      </c>
      <c r="D54" s="96">
        <f>SUM(D14+D15+D16+D18+D20+D23+D24+D25+D26+D27+D28+D29+D30+D31+D32+D33+D34+D35+D37+D38+D39+D40+D42+D43+D44+D45+D46+D47+D48)</f>
        <v>326877.33</v>
      </c>
      <c r="E54" s="96">
        <f>SUM(E14+E15+E16+E18+E20+E23+E24+E25+E26+E27+E28+E29+E30+E31+E32+E33+E34+E35+E37+E38+E39+E40+E42+E43+E44+E45+E46+E47+E48)</f>
        <v>387035.61000000004</v>
      </c>
      <c r="F54" s="96">
        <f>SUM(F14+F15+F16+F18+F20+F23+F24+F25+F26+F27+F28+F29+F30+F31+F32+F33+F34+F35+F37+F38+F39+F40+F42+F43+F44+F45+F46+F47+F48)</f>
        <v>713912.94</v>
      </c>
    </row>
  </sheetData>
  <mergeCells count="10">
    <mergeCell ref="B8:F8"/>
    <mergeCell ref="B10:B11"/>
    <mergeCell ref="C10:C11"/>
    <mergeCell ref="F10:F11"/>
    <mergeCell ref="B2:F2"/>
    <mergeCell ref="B3:F3"/>
    <mergeCell ref="B4:F4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opLeftCell="A31" workbookViewId="0">
      <selection activeCell="C37" sqref="C37"/>
    </sheetView>
  </sheetViews>
  <sheetFormatPr baseColWidth="10" defaultRowHeight="15" x14ac:dyDescent="0.25"/>
  <cols>
    <col min="1" max="1" width="4.85546875" style="28" customWidth="1"/>
    <col min="2" max="2" width="7.7109375" style="28" customWidth="1"/>
    <col min="3" max="3" width="45.140625" style="28" customWidth="1"/>
    <col min="4" max="4" width="12.7109375" style="28" customWidth="1"/>
    <col min="5" max="5" width="14" style="28" customWidth="1"/>
    <col min="6" max="6" width="12.14062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355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ht="25.5" x14ac:dyDescent="0.25">
      <c r="B11" s="421"/>
      <c r="C11" s="421"/>
      <c r="D11" s="92" t="s">
        <v>229</v>
      </c>
      <c r="E11" s="323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SUM(D13+D17+D19)</f>
        <v>26055.5</v>
      </c>
      <c r="E12" s="94">
        <f>SUM(E13+E17+E19)</f>
        <v>13764</v>
      </c>
      <c r="F12" s="94">
        <f>SUM(F13+F17+F19)</f>
        <v>39819.5</v>
      </c>
    </row>
    <row r="13" spans="2:6" x14ac:dyDescent="0.25">
      <c r="B13" s="76">
        <v>511</v>
      </c>
      <c r="C13" s="108" t="s">
        <v>231</v>
      </c>
      <c r="D13" s="96">
        <f>SUM(D14:D16)</f>
        <v>22890</v>
      </c>
      <c r="E13" s="96">
        <f t="shared" ref="E13" si="0">SUM(E14:E16)</f>
        <v>11840</v>
      </c>
      <c r="F13" s="96">
        <f>SUM(F14:F16)</f>
        <v>34730</v>
      </c>
    </row>
    <row r="14" spans="2:6" x14ac:dyDescent="0.25">
      <c r="B14" s="79">
        <v>51101</v>
      </c>
      <c r="C14" s="97" t="s">
        <v>232</v>
      </c>
      <c r="D14" s="98">
        <f>+'MEDIO AMBIENTE'!D14+'GESTION DE RIESGO'!D14</f>
        <v>19480</v>
      </c>
      <c r="E14" s="98">
        <f>+'MEDIO AMBIENTE'!E14+'GESTION DE RIESGO'!E14</f>
        <v>11840</v>
      </c>
      <c r="F14" s="98">
        <f>SUM(D14:E14)</f>
        <v>31320</v>
      </c>
    </row>
    <row r="15" spans="2:6" x14ac:dyDescent="0.25">
      <c r="B15" s="79">
        <v>51103</v>
      </c>
      <c r="C15" s="99" t="s">
        <v>233</v>
      </c>
      <c r="D15" s="98">
        <f>+'MEDIO AMBIENTE'!D15+'GESTION DE RIESGO'!D15</f>
        <v>2410</v>
      </c>
      <c r="E15" s="98">
        <f>+'MEDIO AMBIENTE'!E15+'GESTION DE RIESGO'!E15</f>
        <v>0</v>
      </c>
      <c r="F15" s="98">
        <f>SUM(D15:E15)</f>
        <v>2410</v>
      </c>
    </row>
    <row r="16" spans="2:6" x14ac:dyDescent="0.25">
      <c r="B16" s="79">
        <v>51107</v>
      </c>
      <c r="C16" s="138" t="s">
        <v>235</v>
      </c>
      <c r="D16" s="98">
        <f>+'GESTION DE RIESGO'!D16</f>
        <v>1000</v>
      </c>
      <c r="E16" s="98">
        <f>+'GESTION DE RIESGO'!E16</f>
        <v>0</v>
      </c>
      <c r="F16" s="98">
        <f>SUM(D16:E16)</f>
        <v>1000</v>
      </c>
    </row>
    <row r="17" spans="2:6" x14ac:dyDescent="0.25">
      <c r="B17" s="76">
        <v>514</v>
      </c>
      <c r="C17" s="100" t="s">
        <v>236</v>
      </c>
      <c r="D17" s="96">
        <f>SUM(D18)</f>
        <v>1655.8000000000002</v>
      </c>
      <c r="E17" s="96">
        <f t="shared" ref="E17:F17" si="1">SUM(E18)</f>
        <v>1006.4000000000001</v>
      </c>
      <c r="F17" s="96">
        <f t="shared" si="1"/>
        <v>2662.2000000000003</v>
      </c>
    </row>
    <row r="18" spans="2:6" x14ac:dyDescent="0.25">
      <c r="B18" s="85">
        <v>51401</v>
      </c>
      <c r="C18" s="99" t="s">
        <v>237</v>
      </c>
      <c r="D18" s="98">
        <f>+'MEDIO AMBIENTE'!D17+'GESTION DE RIESGO'!D18</f>
        <v>1655.8000000000002</v>
      </c>
      <c r="E18" s="98">
        <f>+'MEDIO AMBIENTE'!E17+'GESTION DE RIESGO'!E18</f>
        <v>1006.4000000000001</v>
      </c>
      <c r="F18" s="98">
        <f>SUM(D18:E18)</f>
        <v>2662.2000000000003</v>
      </c>
    </row>
    <row r="19" spans="2:6" x14ac:dyDescent="0.25">
      <c r="B19" s="76">
        <v>515</v>
      </c>
      <c r="C19" s="101" t="s">
        <v>238</v>
      </c>
      <c r="D19" s="96">
        <f>SUM(D20:D20)</f>
        <v>1509.7</v>
      </c>
      <c r="E19" s="96">
        <f>SUM(E20:E20)</f>
        <v>917.6</v>
      </c>
      <c r="F19" s="96">
        <f>SUM(F20:F20)</f>
        <v>2427.3000000000002</v>
      </c>
    </row>
    <row r="20" spans="2:6" x14ac:dyDescent="0.25">
      <c r="B20" s="85">
        <v>51501</v>
      </c>
      <c r="C20" s="99" t="s">
        <v>237</v>
      </c>
      <c r="D20" s="98">
        <f>+'MEDIO AMBIENTE'!D19+'GESTION DE RIESGO'!D20</f>
        <v>1509.7</v>
      </c>
      <c r="E20" s="98">
        <f>+'MEDIO AMBIENTE'!E19+'GESTION DE RIESGO'!E20</f>
        <v>917.6</v>
      </c>
      <c r="F20" s="98">
        <f>SUM(D20:E20)</f>
        <v>2427.3000000000002</v>
      </c>
    </row>
    <row r="21" spans="2:6" x14ac:dyDescent="0.25">
      <c r="B21" s="76">
        <v>54</v>
      </c>
      <c r="C21" s="101" t="s">
        <v>282</v>
      </c>
      <c r="D21" s="96">
        <f>SUM(D22+D36+D40+D42)</f>
        <v>24947.07</v>
      </c>
      <c r="E21" s="96">
        <f>SUM(E22+E36+E42)</f>
        <v>36624.81</v>
      </c>
      <c r="F21" s="96">
        <f>SUM(F22+F36+F40+F42)</f>
        <v>57371.88</v>
      </c>
    </row>
    <row r="22" spans="2:6" x14ac:dyDescent="0.25">
      <c r="B22" s="76">
        <v>541</v>
      </c>
      <c r="C22" s="101" t="s">
        <v>283</v>
      </c>
      <c r="D22" s="96">
        <f>SUM(D23:D35)</f>
        <v>20197.07</v>
      </c>
      <c r="E22" s="96">
        <f>SUM(E23:E35)</f>
        <v>20791</v>
      </c>
      <c r="F22" s="96">
        <f>SUM(F23:F35)</f>
        <v>40188.07</v>
      </c>
    </row>
    <row r="23" spans="2:6" x14ac:dyDescent="0.25">
      <c r="B23" s="85">
        <v>54101</v>
      </c>
      <c r="C23" s="99" t="s">
        <v>288</v>
      </c>
      <c r="D23" s="98">
        <f>+'MEDIO AMBIENTE'!D22+'GESTION DE RIESGO'!D23</f>
        <v>300</v>
      </c>
      <c r="E23" s="98">
        <f>+'MEDIO AMBIENTE'!E22+'GESTION DE RIESGO'!E23</f>
        <v>7011</v>
      </c>
      <c r="F23" s="98">
        <f t="shared" ref="F23:F35" si="2">SUM(D23:E23)</f>
        <v>7311</v>
      </c>
    </row>
    <row r="24" spans="2:6" x14ac:dyDescent="0.25">
      <c r="B24" s="85">
        <v>54102</v>
      </c>
      <c r="C24" s="99" t="s">
        <v>356</v>
      </c>
      <c r="D24" s="98">
        <f>+'MEDIO AMBIENTE'!D23</f>
        <v>1700</v>
      </c>
      <c r="E24" s="98">
        <f>+'MEDIO AMBIENTE'!E23</f>
        <v>800</v>
      </c>
      <c r="F24" s="98">
        <f>+D24</f>
        <v>1700</v>
      </c>
    </row>
    <row r="25" spans="2:6" x14ac:dyDescent="0.25">
      <c r="B25" s="85">
        <v>54103</v>
      </c>
      <c r="C25" s="99" t="s">
        <v>244</v>
      </c>
      <c r="D25" s="98">
        <f>+'MEDIO AMBIENTE'!D24</f>
        <v>600</v>
      </c>
      <c r="E25" s="98">
        <f>+'MEDIO AMBIENTE'!E24</f>
        <v>750</v>
      </c>
      <c r="F25" s="98">
        <f t="shared" ref="F25" si="3">SUM(D25:E25)</f>
        <v>1350</v>
      </c>
    </row>
    <row r="26" spans="2:6" x14ac:dyDescent="0.25">
      <c r="B26" s="85">
        <v>54104</v>
      </c>
      <c r="C26" s="99" t="s">
        <v>245</v>
      </c>
      <c r="D26" s="98">
        <f>+'GESTION DE RIESGO'!D24</f>
        <v>2429</v>
      </c>
      <c r="E26" s="98">
        <f>+'GESTION DE RIESGO'!E24</f>
        <v>0</v>
      </c>
      <c r="F26" s="98">
        <f t="shared" si="2"/>
        <v>2429</v>
      </c>
    </row>
    <row r="27" spans="2:6" x14ac:dyDescent="0.25">
      <c r="B27" s="85">
        <v>54105</v>
      </c>
      <c r="C27" s="99" t="s">
        <v>246</v>
      </c>
      <c r="D27" s="98">
        <f>+'MEDIO AMBIENTE'!D25+'GESTION DE RIESGO'!D25</f>
        <v>384.95</v>
      </c>
      <c r="E27" s="98">
        <f>+'MEDIO AMBIENTE'!E25+'GESTION DE RIESGO'!E25</f>
        <v>0</v>
      </c>
      <c r="F27" s="98">
        <f t="shared" si="2"/>
        <v>384.95</v>
      </c>
    </row>
    <row r="28" spans="2:6" x14ac:dyDescent="0.25">
      <c r="B28" s="85">
        <v>54106</v>
      </c>
      <c r="C28" s="99" t="s">
        <v>247</v>
      </c>
      <c r="D28" s="98">
        <f>+'MEDIO AMBIENTE'!D26+'GESTION DE RIESGO'!D26</f>
        <v>505</v>
      </c>
      <c r="E28" s="98">
        <f>+'MEDIO AMBIENTE'!E26+'GESTION DE RIESGO'!E26</f>
        <v>0</v>
      </c>
      <c r="F28" s="98">
        <f t="shared" si="2"/>
        <v>505</v>
      </c>
    </row>
    <row r="29" spans="2:6" x14ac:dyDescent="0.25">
      <c r="B29" s="85">
        <v>54107</v>
      </c>
      <c r="C29" s="99" t="s">
        <v>312</v>
      </c>
      <c r="D29" s="98">
        <f>+'MEDIO AMBIENTE'!D27+'GESTION DE RIESGO'!D27</f>
        <v>4050</v>
      </c>
      <c r="E29" s="98">
        <f>+'MEDIO AMBIENTE'!E27+'GESTION DE RIESGO'!E27</f>
        <v>2750</v>
      </c>
      <c r="F29" s="98">
        <f t="shared" si="2"/>
        <v>6800</v>
      </c>
    </row>
    <row r="30" spans="2:6" x14ac:dyDescent="0.25">
      <c r="B30" s="85">
        <v>54109</v>
      </c>
      <c r="C30" s="99" t="s">
        <v>290</v>
      </c>
      <c r="D30" s="98">
        <f>+'GESTION DE RIESGO'!D28</f>
        <v>2880</v>
      </c>
      <c r="E30" s="98">
        <f>+'GESTION DE RIESGO'!E28</f>
        <v>0</v>
      </c>
      <c r="F30" s="98">
        <f t="shared" si="2"/>
        <v>2880</v>
      </c>
    </row>
    <row r="31" spans="2:6" x14ac:dyDescent="0.25">
      <c r="B31" s="85">
        <v>54110</v>
      </c>
      <c r="C31" s="99" t="s">
        <v>327</v>
      </c>
      <c r="D31" s="98">
        <f>+'GESTION DE RIESGO'!D29</f>
        <v>4000</v>
      </c>
      <c r="E31" s="98">
        <f>+'GESTION DE RIESGO'!E29</f>
        <v>8580</v>
      </c>
      <c r="F31" s="98">
        <f t="shared" si="2"/>
        <v>12580</v>
      </c>
    </row>
    <row r="32" spans="2:6" x14ac:dyDescent="0.25">
      <c r="B32" s="85">
        <v>54114</v>
      </c>
      <c r="C32" s="99" t="s">
        <v>250</v>
      </c>
      <c r="D32" s="98">
        <f>+'MEDIO AMBIENTE'!D28+'GESTION DE RIESGO'!D30</f>
        <v>328.12</v>
      </c>
      <c r="E32" s="98">
        <f>+'MEDIO AMBIENTE'!E28+'GESTION DE RIESGO'!E30</f>
        <v>0</v>
      </c>
      <c r="F32" s="98">
        <f t="shared" si="2"/>
        <v>328.12</v>
      </c>
    </row>
    <row r="33" spans="2:6" x14ac:dyDescent="0.25">
      <c r="B33" s="85">
        <v>54115</v>
      </c>
      <c r="C33" s="99" t="s">
        <v>251</v>
      </c>
      <c r="D33" s="98">
        <f>+'GESTION DE RIESGO'!D31</f>
        <v>150</v>
      </c>
      <c r="E33" s="98">
        <f>+'GESTION DE RIESGO'!E31</f>
        <v>0</v>
      </c>
      <c r="F33" s="98">
        <f t="shared" si="2"/>
        <v>150</v>
      </c>
    </row>
    <row r="34" spans="2:6" x14ac:dyDescent="0.25">
      <c r="B34" s="85">
        <v>54118</v>
      </c>
      <c r="C34" s="99" t="s">
        <v>291</v>
      </c>
      <c r="D34" s="98">
        <f>+'MEDIO AMBIENTE'!D29+'GESTION DE RIESGO'!D32</f>
        <v>2270</v>
      </c>
      <c r="E34" s="98">
        <f>+'MEDIO AMBIENTE'!E29+'GESTION DE RIESGO'!E32</f>
        <v>400</v>
      </c>
      <c r="F34" s="98">
        <f t="shared" si="2"/>
        <v>2670</v>
      </c>
    </row>
    <row r="35" spans="2:6" x14ac:dyDescent="0.25">
      <c r="B35" s="85">
        <v>54199</v>
      </c>
      <c r="C35" s="99" t="s">
        <v>357</v>
      </c>
      <c r="D35" s="98">
        <f>+'GESTION DE RIESGO'!D33</f>
        <v>600</v>
      </c>
      <c r="E35" s="98">
        <f>+'GESTION DE RIESGO'!E33</f>
        <v>500</v>
      </c>
      <c r="F35" s="98">
        <f t="shared" si="2"/>
        <v>1100</v>
      </c>
    </row>
    <row r="36" spans="2:6" x14ac:dyDescent="0.25">
      <c r="B36" s="76">
        <v>543</v>
      </c>
      <c r="C36" s="101" t="s">
        <v>254</v>
      </c>
      <c r="D36" s="96">
        <f>SUM(D37:D39)</f>
        <v>3600</v>
      </c>
      <c r="E36" s="96">
        <f>SUM(E37:E39)</f>
        <v>15833.81</v>
      </c>
      <c r="F36" s="96">
        <f>SUM(F37:F39)</f>
        <v>16033.81</v>
      </c>
    </row>
    <row r="37" spans="2:6" x14ac:dyDescent="0.25">
      <c r="B37" s="85">
        <v>54302</v>
      </c>
      <c r="C37" s="99" t="s">
        <v>358</v>
      </c>
      <c r="D37" s="98">
        <f>+'GESTION DE RIESGO'!D35</f>
        <v>3000</v>
      </c>
      <c r="E37" s="98">
        <f>+'GESTION DE RIESGO'!E35</f>
        <v>12233.81</v>
      </c>
      <c r="F37" s="98">
        <f>SUM(D37:E37)</f>
        <v>15233.81</v>
      </c>
    </row>
    <row r="38" spans="2:6" x14ac:dyDescent="0.25">
      <c r="B38" s="85">
        <v>54304</v>
      </c>
      <c r="C38" s="99" t="s">
        <v>354</v>
      </c>
      <c r="D38" s="98">
        <f>+'MEDIO AMBIENTE'!D31</f>
        <v>400</v>
      </c>
      <c r="E38" s="98">
        <f>+'MEDIO AMBIENTE'!E31</f>
        <v>3400</v>
      </c>
      <c r="F38" s="98">
        <f>+D38</f>
        <v>400</v>
      </c>
    </row>
    <row r="39" spans="2:6" x14ac:dyDescent="0.25">
      <c r="B39" s="85">
        <v>54313</v>
      </c>
      <c r="C39" s="99" t="s">
        <v>258</v>
      </c>
      <c r="D39" s="98">
        <f>+'MEDIO AMBIENTE'!D32</f>
        <v>200</v>
      </c>
      <c r="E39" s="98">
        <f>+'MEDIO AMBIENTE'!E32</f>
        <v>200</v>
      </c>
      <c r="F39" s="98">
        <f>SUM(D39:E39)</f>
        <v>400</v>
      </c>
    </row>
    <row r="40" spans="2:6" x14ac:dyDescent="0.25">
      <c r="B40" s="76">
        <v>544</v>
      </c>
      <c r="C40" s="101" t="s">
        <v>261</v>
      </c>
      <c r="D40" s="96">
        <f>SUM(D41)</f>
        <v>150</v>
      </c>
      <c r="E40" s="96">
        <f t="shared" ref="E40:F40" si="4">SUM(E41)</f>
        <v>0</v>
      </c>
      <c r="F40" s="96">
        <f t="shared" si="4"/>
        <v>150</v>
      </c>
    </row>
    <row r="41" spans="2:6" x14ac:dyDescent="0.25">
      <c r="B41" s="85">
        <v>54401</v>
      </c>
      <c r="C41" s="99" t="s">
        <v>262</v>
      </c>
      <c r="D41" s="98">
        <f>+'MEDIO AMBIENTE'!D34</f>
        <v>150</v>
      </c>
      <c r="E41" s="98">
        <f>+'MEDIO AMBIENTE'!E34</f>
        <v>0</v>
      </c>
      <c r="F41" s="98">
        <f>SUM(D41:E41)</f>
        <v>150</v>
      </c>
    </row>
    <row r="42" spans="2:6" x14ac:dyDescent="0.25">
      <c r="B42" s="76">
        <v>545</v>
      </c>
      <c r="C42" s="101" t="s">
        <v>301</v>
      </c>
      <c r="D42" s="96">
        <f>SUM(D43)</f>
        <v>1000</v>
      </c>
      <c r="E42" s="96">
        <f t="shared" ref="E42:F42" si="5">SUM(E43)</f>
        <v>0</v>
      </c>
      <c r="F42" s="96">
        <f t="shared" si="5"/>
        <v>1000</v>
      </c>
    </row>
    <row r="43" spans="2:6" x14ac:dyDescent="0.25">
      <c r="B43" s="85">
        <v>54505</v>
      </c>
      <c r="C43" s="99" t="s">
        <v>359</v>
      </c>
      <c r="D43" s="98">
        <f>+'GESTION DE RIESGO'!D37</f>
        <v>1000</v>
      </c>
      <c r="E43" s="98">
        <f>+'GESTION DE RIESGO'!E37</f>
        <v>0</v>
      </c>
      <c r="F43" s="98">
        <f>SUM(D43:E43)</f>
        <v>1000</v>
      </c>
    </row>
    <row r="44" spans="2:6" x14ac:dyDescent="0.25">
      <c r="B44" s="76">
        <v>61</v>
      </c>
      <c r="C44" s="101" t="s">
        <v>277</v>
      </c>
      <c r="D44" s="96">
        <f>SUM(D45)</f>
        <v>700</v>
      </c>
      <c r="E44" s="96">
        <f t="shared" ref="E44:F44" si="6">SUM(E45)</f>
        <v>0</v>
      </c>
      <c r="F44" s="96">
        <f t="shared" si="6"/>
        <v>700</v>
      </c>
    </row>
    <row r="45" spans="2:6" x14ac:dyDescent="0.25">
      <c r="B45" s="76">
        <v>611</v>
      </c>
      <c r="C45" s="101" t="s">
        <v>278</v>
      </c>
      <c r="D45" s="96">
        <f>SUM(D46:D46)</f>
        <v>700</v>
      </c>
      <c r="E45" s="96">
        <f>SUM(E46:E46)</f>
        <v>0</v>
      </c>
      <c r="F45" s="96">
        <f>SUM(F46:F46)</f>
        <v>700</v>
      </c>
    </row>
    <row r="46" spans="2:6" x14ac:dyDescent="0.25">
      <c r="B46" s="85">
        <v>61101</v>
      </c>
      <c r="C46" s="99" t="s">
        <v>279</v>
      </c>
      <c r="D46" s="98">
        <f>+'MEDIO AMBIENTE'!D37</f>
        <v>700</v>
      </c>
      <c r="E46" s="98">
        <f>+'MEDIO AMBIENTE'!E37</f>
        <v>0</v>
      </c>
      <c r="F46" s="98">
        <f>SUM(D46:E46)</f>
        <v>700</v>
      </c>
    </row>
    <row r="47" spans="2:6" x14ac:dyDescent="0.25">
      <c r="B47" s="85"/>
      <c r="C47" s="99"/>
      <c r="D47" s="98"/>
      <c r="E47" s="98"/>
      <c r="F47" s="98"/>
    </row>
    <row r="48" spans="2:6" x14ac:dyDescent="0.25">
      <c r="B48" s="85"/>
      <c r="C48" s="101" t="s">
        <v>69</v>
      </c>
      <c r="D48" s="96">
        <f>SUM(D12+D21+D44)</f>
        <v>51702.57</v>
      </c>
      <c r="E48" s="96">
        <f>SUM(E12+E21)</f>
        <v>50388.81</v>
      </c>
      <c r="F48" s="96">
        <f>SUM(D48:E48)</f>
        <v>102091.38</v>
      </c>
    </row>
    <row r="49" spans="2:6" x14ac:dyDescent="0.25">
      <c r="B49" s="85"/>
      <c r="C49" s="99"/>
      <c r="D49" s="98"/>
      <c r="E49" s="98"/>
      <c r="F49" s="98"/>
    </row>
    <row r="50" spans="2:6" x14ac:dyDescent="0.25">
      <c r="B50" s="76"/>
      <c r="C50" s="101" t="s">
        <v>60</v>
      </c>
      <c r="D50" s="96">
        <f>SUM(D12+D21+D44)</f>
        <v>51702.57</v>
      </c>
      <c r="E50" s="96">
        <f>SUM(E12+E21)</f>
        <v>50388.81</v>
      </c>
      <c r="F50" s="96">
        <f>SUM(F12+F21+F44)</f>
        <v>97891.38</v>
      </c>
    </row>
    <row r="51" spans="2:6" x14ac:dyDescent="0.25">
      <c r="B51" s="76"/>
      <c r="C51" s="101" t="s">
        <v>61</v>
      </c>
      <c r="D51" s="96">
        <f>SUM(D13+D17+D19+D22+D36+D40+D42+D45)</f>
        <v>51702.57</v>
      </c>
      <c r="E51" s="96">
        <f>SUM(E13+E17+E19+E22+E36+E42)</f>
        <v>50388.81</v>
      </c>
      <c r="F51" s="96">
        <f>SUM(F13+F17+F19+F22+F36+F40+F42+F45)</f>
        <v>97891.38</v>
      </c>
    </row>
    <row r="52" spans="2:6" x14ac:dyDescent="0.25">
      <c r="B52" s="76"/>
      <c r="C52" s="101" t="s">
        <v>62</v>
      </c>
      <c r="D52" s="96">
        <f>SUM(D14+D15+D16+D18+D20+D23+D24+D25+D26+D27+D28+D29+D30+D31+D32+D33+D34+D35+D37+D38+D39+D41+D43+D46)</f>
        <v>51702.57</v>
      </c>
      <c r="E52" s="96">
        <f>SUM(E14+E15+E16+E18+E20+E23+E24+E25+E26+E27+E28+E29+E30+E31+E32+E33+E34+E35+E37+E38+E39+E41+E43+E46)</f>
        <v>50388.81</v>
      </c>
      <c r="F52" s="96">
        <f>SUM(F14+F15+F16+F18+F20+F23+F24+F25+F26+F27+F28+F29+F30+F31+F32+F33+F34+F35+F37+F38+F39+F41+F43+F46)</f>
        <v>97891.37999999999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workbookViewId="0">
      <pane ySplit="11" topLeftCell="A12" activePane="bottomLeft" state="frozen"/>
      <selection pane="bottomLeft" activeCell="E33" sqref="E33"/>
    </sheetView>
  </sheetViews>
  <sheetFormatPr baseColWidth="10" defaultRowHeight="15" x14ac:dyDescent="0.25"/>
  <cols>
    <col min="1" max="1" width="3.140625" style="28" customWidth="1"/>
    <col min="2" max="2" width="6.7109375" style="28" customWidth="1"/>
    <col min="3" max="3" width="40.7109375" style="28" customWidth="1"/>
    <col min="4" max="4" width="13.85546875" style="28" customWidth="1"/>
    <col min="5" max="5" width="16.42578125" style="28" customWidth="1"/>
    <col min="6" max="6" width="13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160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x14ac:dyDescent="0.25">
      <c r="B11" s="421"/>
      <c r="C11" s="421"/>
      <c r="D11" s="92" t="s">
        <v>229</v>
      </c>
      <c r="E11" s="92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15236.5</v>
      </c>
      <c r="E12" s="94">
        <f>SUM(E13+E16+E18)</f>
        <v>4696.5</v>
      </c>
      <c r="F12" s="94">
        <f>SUM(F13+F16+F18)</f>
        <v>19933</v>
      </c>
    </row>
    <row r="13" spans="2:6" x14ac:dyDescent="0.25">
      <c r="B13" s="76">
        <v>511</v>
      </c>
      <c r="C13" s="108" t="s">
        <v>231</v>
      </c>
      <c r="D13" s="96">
        <f>SUM(D14:D15)</f>
        <v>13280</v>
      </c>
      <c r="E13" s="96">
        <f>SUM(E14:E15)</f>
        <v>4040</v>
      </c>
      <c r="F13" s="96">
        <f>SUM(F14:F15)</f>
        <v>17320</v>
      </c>
    </row>
    <row r="14" spans="2:6" x14ac:dyDescent="0.25">
      <c r="B14" s="79">
        <v>51101</v>
      </c>
      <c r="C14" s="97" t="s">
        <v>232</v>
      </c>
      <c r="D14" s="98">
        <v>12040</v>
      </c>
      <c r="E14" s="98">
        <v>4040</v>
      </c>
      <c r="F14" s="98">
        <f>SUM(D14:E14)</f>
        <v>16080</v>
      </c>
    </row>
    <row r="15" spans="2:6" x14ac:dyDescent="0.25">
      <c r="B15" s="79">
        <v>51103</v>
      </c>
      <c r="C15" s="99" t="s">
        <v>233</v>
      </c>
      <c r="D15" s="98">
        <v>1240</v>
      </c>
      <c r="E15" s="98">
        <v>0</v>
      </c>
      <c r="F15" s="98">
        <f>SUM(D15:E15)</f>
        <v>1240</v>
      </c>
    </row>
    <row r="16" spans="2:6" x14ac:dyDescent="0.25">
      <c r="B16" s="76">
        <v>514</v>
      </c>
      <c r="C16" s="100" t="s">
        <v>236</v>
      </c>
      <c r="D16" s="96">
        <f>SUM(D17)</f>
        <v>1023.4000000000001</v>
      </c>
      <c r="E16" s="96">
        <f t="shared" ref="E16:F16" si="0">SUM(E17)</f>
        <v>343.40000000000003</v>
      </c>
      <c r="F16" s="96">
        <f t="shared" si="0"/>
        <v>1366.8000000000002</v>
      </c>
    </row>
    <row r="17" spans="2:7" x14ac:dyDescent="0.25">
      <c r="B17" s="85">
        <v>51401</v>
      </c>
      <c r="C17" s="99" t="s">
        <v>237</v>
      </c>
      <c r="D17" s="98">
        <f>D14*8.5%</f>
        <v>1023.4000000000001</v>
      </c>
      <c r="E17" s="98">
        <f>E14*8.5%</f>
        <v>343.40000000000003</v>
      </c>
      <c r="F17" s="98">
        <f>SUM(D17:E17)</f>
        <v>1366.8000000000002</v>
      </c>
    </row>
    <row r="18" spans="2:7" x14ac:dyDescent="0.25">
      <c r="B18" s="76">
        <v>515</v>
      </c>
      <c r="C18" s="101" t="s">
        <v>238</v>
      </c>
      <c r="D18" s="96">
        <f>SUM(D19:D19)</f>
        <v>933.1</v>
      </c>
      <c r="E18" s="96">
        <f>SUM(E19:E19)</f>
        <v>313.10000000000002</v>
      </c>
      <c r="F18" s="96">
        <f>SUM(F19:F19)</f>
        <v>1246.2</v>
      </c>
    </row>
    <row r="19" spans="2:7" x14ac:dyDescent="0.25">
      <c r="B19" s="85">
        <v>51501</v>
      </c>
      <c r="C19" s="99" t="s">
        <v>237</v>
      </c>
      <c r="D19" s="98">
        <f>D14*7.75%</f>
        <v>933.1</v>
      </c>
      <c r="E19" s="98">
        <f>E14*7.75%</f>
        <v>313.10000000000002</v>
      </c>
      <c r="F19" s="98">
        <f>SUM(D19:E19)</f>
        <v>1246.2</v>
      </c>
    </row>
    <row r="20" spans="2:7" x14ac:dyDescent="0.25">
      <c r="B20" s="76">
        <v>54</v>
      </c>
      <c r="C20" s="101" t="s">
        <v>282</v>
      </c>
      <c r="D20" s="96">
        <f>SUM(D21+D30+D33)</f>
        <v>5424</v>
      </c>
      <c r="E20" s="96">
        <f>SUM(E21+E30+E33)</f>
        <v>10361</v>
      </c>
      <c r="F20" s="96">
        <f>SUM(F21+F30+F33)</f>
        <v>15785</v>
      </c>
    </row>
    <row r="21" spans="2:7" x14ac:dyDescent="0.25">
      <c r="B21" s="76">
        <v>541</v>
      </c>
      <c r="C21" s="101" t="s">
        <v>283</v>
      </c>
      <c r="D21" s="96">
        <f>SUM(D22:D29)</f>
        <v>4674</v>
      </c>
      <c r="E21" s="96">
        <f>SUM(E22:E29)</f>
        <v>6761</v>
      </c>
      <c r="F21" s="96">
        <f>SUM(F22:F29)</f>
        <v>11435</v>
      </c>
      <c r="G21" s="365"/>
    </row>
    <row r="22" spans="2:7" x14ac:dyDescent="0.25">
      <c r="B22" s="85">
        <v>54101</v>
      </c>
      <c r="C22" s="99" t="s">
        <v>243</v>
      </c>
      <c r="D22" s="107">
        <v>300</v>
      </c>
      <c r="E22" s="98">
        <v>2061</v>
      </c>
      <c r="F22" s="98">
        <f>SUM(D22:E22)</f>
        <v>2361</v>
      </c>
    </row>
    <row r="23" spans="2:7" x14ac:dyDescent="0.25">
      <c r="B23" s="85">
        <v>54102</v>
      </c>
      <c r="C23" s="99" t="s">
        <v>356</v>
      </c>
      <c r="D23" s="107">
        <v>1700</v>
      </c>
      <c r="E23" s="98">
        <v>800</v>
      </c>
      <c r="F23" s="98">
        <f>SUM(D23:E23)</f>
        <v>2500</v>
      </c>
    </row>
    <row r="24" spans="2:7" x14ac:dyDescent="0.25">
      <c r="B24" s="85">
        <v>54103</v>
      </c>
      <c r="C24" s="99" t="s">
        <v>244</v>
      </c>
      <c r="D24" s="107">
        <v>600</v>
      </c>
      <c r="E24" s="98">
        <v>750</v>
      </c>
      <c r="F24" s="98">
        <f t="shared" ref="F24:F29" si="1">SUM(D24:E24)</f>
        <v>1350</v>
      </c>
    </row>
    <row r="25" spans="2:7" x14ac:dyDescent="0.25">
      <c r="B25" s="85">
        <v>54105</v>
      </c>
      <c r="C25" s="99" t="s">
        <v>246</v>
      </c>
      <c r="D25" s="98">
        <v>124</v>
      </c>
      <c r="E25" s="98">
        <v>0</v>
      </c>
      <c r="F25" s="98">
        <f t="shared" si="1"/>
        <v>124</v>
      </c>
    </row>
    <row r="26" spans="2:7" x14ac:dyDescent="0.25">
      <c r="B26" s="85">
        <v>54106</v>
      </c>
      <c r="C26" s="99" t="s">
        <v>247</v>
      </c>
      <c r="D26" s="98">
        <v>50</v>
      </c>
      <c r="E26" s="98">
        <v>0</v>
      </c>
      <c r="F26" s="98">
        <f t="shared" si="1"/>
        <v>50</v>
      </c>
    </row>
    <row r="27" spans="2:7" x14ac:dyDescent="0.25">
      <c r="B27" s="85">
        <v>54107</v>
      </c>
      <c r="C27" s="99" t="s">
        <v>312</v>
      </c>
      <c r="D27" s="98">
        <v>1550</v>
      </c>
      <c r="E27" s="98">
        <v>2750</v>
      </c>
      <c r="F27" s="98">
        <f t="shared" si="1"/>
        <v>4300</v>
      </c>
    </row>
    <row r="28" spans="2:7" x14ac:dyDescent="0.25">
      <c r="B28" s="85">
        <v>54114</v>
      </c>
      <c r="C28" s="99" t="s">
        <v>250</v>
      </c>
      <c r="D28" s="98">
        <v>50</v>
      </c>
      <c r="E28" s="98">
        <v>0</v>
      </c>
      <c r="F28" s="98">
        <f t="shared" si="1"/>
        <v>50</v>
      </c>
    </row>
    <row r="29" spans="2:7" x14ac:dyDescent="0.25">
      <c r="B29" s="85">
        <v>54118</v>
      </c>
      <c r="C29" s="99" t="s">
        <v>317</v>
      </c>
      <c r="D29" s="98">
        <v>300</v>
      </c>
      <c r="E29" s="98">
        <v>400</v>
      </c>
      <c r="F29" s="98">
        <f t="shared" si="1"/>
        <v>700</v>
      </c>
    </row>
    <row r="30" spans="2:7" x14ac:dyDescent="0.25">
      <c r="B30" s="76">
        <v>543</v>
      </c>
      <c r="C30" s="101" t="s">
        <v>254</v>
      </c>
      <c r="D30" s="96">
        <f>SUM(D31:D32)</f>
        <v>600</v>
      </c>
      <c r="E30" s="96">
        <f>SUM(E31:E32)</f>
        <v>3600</v>
      </c>
      <c r="F30" s="96">
        <f>SUM(F31:F32)</f>
        <v>4200</v>
      </c>
    </row>
    <row r="31" spans="2:7" x14ac:dyDescent="0.25">
      <c r="B31" s="85">
        <v>54304</v>
      </c>
      <c r="C31" s="99" t="s">
        <v>354</v>
      </c>
      <c r="D31" s="98">
        <v>400</v>
      </c>
      <c r="E31" s="98">
        <v>3400</v>
      </c>
      <c r="F31" s="98">
        <f>SUM(D31:E31)</f>
        <v>3800</v>
      </c>
    </row>
    <row r="32" spans="2:7" x14ac:dyDescent="0.25">
      <c r="B32" s="85">
        <v>54313</v>
      </c>
      <c r="C32" s="99" t="s">
        <v>258</v>
      </c>
      <c r="D32" s="98">
        <v>200</v>
      </c>
      <c r="E32" s="98">
        <v>200</v>
      </c>
      <c r="F32" s="98">
        <f>SUM(D32:E32)</f>
        <v>400</v>
      </c>
    </row>
    <row r="33" spans="2:8" x14ac:dyDescent="0.25">
      <c r="B33" s="76">
        <v>544</v>
      </c>
      <c r="C33" s="101" t="s">
        <v>261</v>
      </c>
      <c r="D33" s="96">
        <f>SUM(D34)</f>
        <v>150</v>
      </c>
      <c r="E33" s="96">
        <f t="shared" ref="E33:F33" si="2">SUM(E34)</f>
        <v>0</v>
      </c>
      <c r="F33" s="96">
        <f t="shared" si="2"/>
        <v>150</v>
      </c>
    </row>
    <row r="34" spans="2:8" x14ac:dyDescent="0.25">
      <c r="B34" s="85">
        <v>54401</v>
      </c>
      <c r="C34" s="99" t="s">
        <v>262</v>
      </c>
      <c r="D34" s="98">
        <v>150</v>
      </c>
      <c r="E34" s="98">
        <v>0</v>
      </c>
      <c r="F34" s="98">
        <f>SUM(D34:E34)</f>
        <v>150</v>
      </c>
    </row>
    <row r="35" spans="2:8" x14ac:dyDescent="0.25">
      <c r="B35" s="76">
        <v>61</v>
      </c>
      <c r="C35" s="101" t="s">
        <v>277</v>
      </c>
      <c r="D35" s="96">
        <f>SUM(D36)</f>
        <v>700</v>
      </c>
      <c r="E35" s="96">
        <f t="shared" ref="E35:F35" si="3">SUM(E36)</f>
        <v>0</v>
      </c>
      <c r="F35" s="96">
        <f t="shared" si="3"/>
        <v>700</v>
      </c>
    </row>
    <row r="36" spans="2:8" x14ac:dyDescent="0.25">
      <c r="B36" s="76">
        <v>611</v>
      </c>
      <c r="C36" s="101" t="s">
        <v>278</v>
      </c>
      <c r="D36" s="96">
        <f>SUM(D37:D37)</f>
        <v>700</v>
      </c>
      <c r="E36" s="96">
        <f>SUM(E37:E37)</f>
        <v>0</v>
      </c>
      <c r="F36" s="96">
        <f>SUM(F37:F37)</f>
        <v>700</v>
      </c>
    </row>
    <row r="37" spans="2:8" x14ac:dyDescent="0.25">
      <c r="B37" s="85">
        <v>61101</v>
      </c>
      <c r="C37" s="99" t="s">
        <v>279</v>
      </c>
      <c r="D37" s="107">
        <v>700</v>
      </c>
      <c r="E37" s="98">
        <v>0</v>
      </c>
      <c r="F37" s="98">
        <f>SUM(D37:E37)</f>
        <v>700</v>
      </c>
    </row>
    <row r="38" spans="2:8" x14ac:dyDescent="0.25">
      <c r="B38" s="85"/>
      <c r="C38" s="99"/>
      <c r="D38" s="98"/>
      <c r="E38" s="98"/>
      <c r="F38" s="98"/>
    </row>
    <row r="39" spans="2:8" x14ac:dyDescent="0.25">
      <c r="B39" s="85"/>
      <c r="C39" s="101" t="s">
        <v>69</v>
      </c>
      <c r="D39" s="96">
        <f>SUM(D12+D20+D35)</f>
        <v>21360.5</v>
      </c>
      <c r="E39" s="96">
        <f>SUM(E12+E20+E35)</f>
        <v>15057.5</v>
      </c>
      <c r="F39" s="96">
        <f>SUM(D39:E39)</f>
        <v>36418</v>
      </c>
      <c r="G39" s="365"/>
      <c r="H39" s="365"/>
    </row>
    <row r="40" spans="2:8" x14ac:dyDescent="0.25">
      <c r="B40" s="85"/>
      <c r="C40" s="99"/>
      <c r="D40" s="98"/>
      <c r="E40" s="98"/>
      <c r="F40" s="98"/>
    </row>
    <row r="41" spans="2:8" x14ac:dyDescent="0.25">
      <c r="B41" s="76"/>
      <c r="C41" s="101" t="s">
        <v>60</v>
      </c>
      <c r="D41" s="96">
        <f>SUM(D12+D20+D35)</f>
        <v>21360.5</v>
      </c>
      <c r="E41" s="96">
        <f>SUM(E12+E20+E35)</f>
        <v>15057.5</v>
      </c>
      <c r="F41" s="96">
        <f>SUM(F12+F20+F35)</f>
        <v>36418</v>
      </c>
    </row>
    <row r="42" spans="2:8" x14ac:dyDescent="0.25">
      <c r="B42" s="76"/>
      <c r="C42" s="101" t="s">
        <v>61</v>
      </c>
      <c r="D42" s="96">
        <f>SUM(D13+D16+D18+D21+D30+D33+D36)</f>
        <v>21360.5</v>
      </c>
      <c r="E42" s="96">
        <f>SUM(E13+E16+E18+E21+E30+E33+E36)</f>
        <v>15057.5</v>
      </c>
      <c r="F42" s="96">
        <f>SUM(F13+F16+F18+F21+F30+F33+F36)</f>
        <v>36418</v>
      </c>
    </row>
    <row r="43" spans="2:8" x14ac:dyDescent="0.25">
      <c r="B43" s="76"/>
      <c r="C43" s="101" t="s">
        <v>62</v>
      </c>
      <c r="D43" s="96">
        <f>SUM(D14+D15+D17+D19+D22+D23+D24+D25+D26+D27+D28+D29+D31+D32+D34+D37)</f>
        <v>21360.5</v>
      </c>
      <c r="E43" s="96">
        <f>SUM(E14+E15+E17+E19+E22+E23+E24+E25+E26+E27+E28+E29+E31+E32+E34+E37)</f>
        <v>15057.5</v>
      </c>
      <c r="F43" s="96">
        <f>SUM(F14+F15+F17+F19+F22+F23+F24+F25+F26+F27+F28+F29+F31+F32+F34+F37)</f>
        <v>36418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workbookViewId="0">
      <pane xSplit="1" ySplit="11" topLeftCell="B21" activePane="bottomRight" state="frozen"/>
      <selection pane="topRight" activeCell="B1" sqref="B1"/>
      <selection pane="bottomLeft" activeCell="A12" sqref="A12"/>
      <selection pane="bottomRight" activeCell="D29" sqref="D29"/>
    </sheetView>
  </sheetViews>
  <sheetFormatPr baseColWidth="10" defaultRowHeight="15" x14ac:dyDescent="0.25"/>
  <cols>
    <col min="1" max="1" width="3" style="28" customWidth="1"/>
    <col min="2" max="2" width="8.85546875" style="28" customWidth="1"/>
    <col min="3" max="3" width="45.5703125" style="28" customWidth="1"/>
    <col min="4" max="4" width="13.85546875" style="28" customWidth="1"/>
    <col min="5" max="5" width="15.7109375" style="28" customWidth="1"/>
    <col min="6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5" t="s">
        <v>161</v>
      </c>
      <c r="C8" s="425"/>
      <c r="D8" s="425"/>
      <c r="E8" s="425"/>
      <c r="F8" s="425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x14ac:dyDescent="0.25">
      <c r="B11" s="421"/>
      <c r="C11" s="421"/>
      <c r="D11" s="92" t="s">
        <v>229</v>
      </c>
      <c r="E11" s="92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SUM(D13+D17+D19)</f>
        <v>10819</v>
      </c>
      <c r="E12" s="94">
        <f>SUM(E13+E17+E19)</f>
        <v>9067.5</v>
      </c>
      <c r="F12" s="94">
        <f>SUM(F13+F17+F19)</f>
        <v>19886.5</v>
      </c>
    </row>
    <row r="13" spans="2:6" x14ac:dyDescent="0.25">
      <c r="B13" s="76">
        <v>511</v>
      </c>
      <c r="C13" s="108" t="s">
        <v>231</v>
      </c>
      <c r="D13" s="96">
        <f>SUM(D14:D16)</f>
        <v>9610</v>
      </c>
      <c r="E13" s="96">
        <f t="shared" ref="E13" si="0">SUM(E14:E16)</f>
        <v>7800</v>
      </c>
      <c r="F13" s="96">
        <f>SUM(F14:F16)</f>
        <v>17410</v>
      </c>
    </row>
    <row r="14" spans="2:6" x14ac:dyDescent="0.25">
      <c r="B14" s="79">
        <v>51101</v>
      </c>
      <c r="C14" s="97" t="s">
        <v>232</v>
      </c>
      <c r="D14" s="98">
        <v>7440</v>
      </c>
      <c r="E14" s="98">
        <v>7800</v>
      </c>
      <c r="F14" s="98">
        <f>SUM(D14:E14)</f>
        <v>15240</v>
      </c>
    </row>
    <row r="15" spans="2:6" x14ac:dyDescent="0.25">
      <c r="B15" s="79">
        <v>51103</v>
      </c>
      <c r="C15" s="99" t="s">
        <v>233</v>
      </c>
      <c r="D15" s="98">
        <v>1170</v>
      </c>
      <c r="E15" s="98">
        <v>0</v>
      </c>
      <c r="F15" s="98">
        <f>SUM(D15:E15)</f>
        <v>1170</v>
      </c>
    </row>
    <row r="16" spans="2:6" x14ac:dyDescent="0.25">
      <c r="B16" s="79">
        <v>51107</v>
      </c>
      <c r="C16" s="138" t="s">
        <v>235</v>
      </c>
      <c r="D16" s="98">
        <v>1000</v>
      </c>
      <c r="E16" s="98">
        <v>0</v>
      </c>
      <c r="F16" s="98">
        <f>SUM(D16:E16)</f>
        <v>1000</v>
      </c>
    </row>
    <row r="17" spans="2:6" x14ac:dyDescent="0.25">
      <c r="B17" s="76">
        <v>514</v>
      </c>
      <c r="C17" s="100" t="s">
        <v>236</v>
      </c>
      <c r="D17" s="96">
        <f>SUM(D18)</f>
        <v>632.40000000000009</v>
      </c>
      <c r="E17" s="96">
        <f t="shared" ref="E17:F17" si="1">SUM(E18)</f>
        <v>663</v>
      </c>
      <c r="F17" s="96">
        <f t="shared" si="1"/>
        <v>1295.4000000000001</v>
      </c>
    </row>
    <row r="18" spans="2:6" x14ac:dyDescent="0.25">
      <c r="B18" s="85">
        <v>51401</v>
      </c>
      <c r="C18" s="99" t="s">
        <v>237</v>
      </c>
      <c r="D18" s="98">
        <f>D14*8.5%</f>
        <v>632.40000000000009</v>
      </c>
      <c r="E18" s="98">
        <f>E14*8.5%</f>
        <v>663</v>
      </c>
      <c r="F18" s="98">
        <f>SUM(D18:E18)</f>
        <v>1295.4000000000001</v>
      </c>
    </row>
    <row r="19" spans="2:6" x14ac:dyDescent="0.25">
      <c r="B19" s="76">
        <v>515</v>
      </c>
      <c r="C19" s="101" t="s">
        <v>238</v>
      </c>
      <c r="D19" s="96">
        <f>SUM(D20:D20)</f>
        <v>576.6</v>
      </c>
      <c r="E19" s="96">
        <f>SUM(E20:E20)</f>
        <v>604.5</v>
      </c>
      <c r="F19" s="96">
        <f>SUM(F20:F20)</f>
        <v>1181.0999999999999</v>
      </c>
    </row>
    <row r="20" spans="2:6" x14ac:dyDescent="0.25">
      <c r="B20" s="85">
        <v>51501</v>
      </c>
      <c r="C20" s="99" t="s">
        <v>237</v>
      </c>
      <c r="D20" s="98">
        <f>D14*7.75%</f>
        <v>576.6</v>
      </c>
      <c r="E20" s="98">
        <f>E14*7.75%</f>
        <v>604.5</v>
      </c>
      <c r="F20" s="98">
        <f>SUM(D20:E20)</f>
        <v>1181.0999999999999</v>
      </c>
    </row>
    <row r="21" spans="2:6" x14ac:dyDescent="0.25">
      <c r="B21" s="76">
        <v>54</v>
      </c>
      <c r="C21" s="101" t="s">
        <v>282</v>
      </c>
      <c r="D21" s="96">
        <f>SUM(D22+D34+D36)</f>
        <v>19523.07</v>
      </c>
      <c r="E21" s="96">
        <f>SUM(E22+E34+E36)</f>
        <v>26263.809999999998</v>
      </c>
      <c r="F21" s="96">
        <f>SUM(F22+F34+F36)</f>
        <v>45786.879999999997</v>
      </c>
    </row>
    <row r="22" spans="2:6" x14ac:dyDescent="0.25">
      <c r="B22" s="76">
        <v>541</v>
      </c>
      <c r="C22" s="101" t="s">
        <v>283</v>
      </c>
      <c r="D22" s="96">
        <f>SUM(D23:D33)</f>
        <v>15523.070000000002</v>
      </c>
      <c r="E22" s="96">
        <f>SUM(E23:E33)</f>
        <v>14030</v>
      </c>
      <c r="F22" s="96">
        <f>SUM(F23:F33)</f>
        <v>29553.07</v>
      </c>
    </row>
    <row r="23" spans="2:6" x14ac:dyDescent="0.25">
      <c r="B23" s="85">
        <v>54101</v>
      </c>
      <c r="C23" s="99" t="s">
        <v>288</v>
      </c>
      <c r="D23" s="98">
        <v>0</v>
      </c>
      <c r="E23" s="98">
        <v>4950</v>
      </c>
      <c r="F23" s="98">
        <f t="shared" ref="F23:F33" si="2">SUM(D23:E23)</f>
        <v>4950</v>
      </c>
    </row>
    <row r="24" spans="2:6" x14ac:dyDescent="0.25">
      <c r="B24" s="85">
        <v>54104</v>
      </c>
      <c r="C24" s="99" t="s">
        <v>245</v>
      </c>
      <c r="D24" s="98">
        <v>2429</v>
      </c>
      <c r="E24" s="98">
        <v>0</v>
      </c>
      <c r="F24" s="98">
        <f t="shared" si="2"/>
        <v>2429</v>
      </c>
    </row>
    <row r="25" spans="2:6" x14ac:dyDescent="0.25">
      <c r="B25" s="85">
        <v>54105</v>
      </c>
      <c r="C25" s="99" t="s">
        <v>246</v>
      </c>
      <c r="D25" s="98">
        <v>260.95</v>
      </c>
      <c r="E25" s="98">
        <v>0</v>
      </c>
      <c r="F25" s="98">
        <f t="shared" si="2"/>
        <v>260.95</v>
      </c>
    </row>
    <row r="26" spans="2:6" x14ac:dyDescent="0.25">
      <c r="B26" s="85">
        <v>54106</v>
      </c>
      <c r="C26" s="99" t="s">
        <v>247</v>
      </c>
      <c r="D26" s="98">
        <v>455</v>
      </c>
      <c r="E26" s="98">
        <v>0</v>
      </c>
      <c r="F26" s="98">
        <f t="shared" si="2"/>
        <v>455</v>
      </c>
    </row>
    <row r="27" spans="2:6" x14ac:dyDescent="0.25">
      <c r="B27" s="85">
        <v>54107</v>
      </c>
      <c r="C27" s="99" t="s">
        <v>312</v>
      </c>
      <c r="D27" s="98">
        <v>2500</v>
      </c>
      <c r="E27" s="98">
        <v>0</v>
      </c>
      <c r="F27" s="98">
        <f t="shared" si="2"/>
        <v>2500</v>
      </c>
    </row>
    <row r="28" spans="2:6" x14ac:dyDescent="0.25">
      <c r="B28" s="85">
        <v>54109</v>
      </c>
      <c r="C28" s="99" t="s">
        <v>290</v>
      </c>
      <c r="D28" s="107">
        <v>2880</v>
      </c>
      <c r="E28" s="98">
        <v>0</v>
      </c>
      <c r="F28" s="98">
        <f t="shared" si="2"/>
        <v>2880</v>
      </c>
    </row>
    <row r="29" spans="2:6" x14ac:dyDescent="0.25">
      <c r="B29" s="85">
        <v>54110</v>
      </c>
      <c r="C29" s="99" t="s">
        <v>327</v>
      </c>
      <c r="D29" s="107">
        <v>4000</v>
      </c>
      <c r="E29" s="98">
        <v>8580</v>
      </c>
      <c r="F29" s="98">
        <f t="shared" si="2"/>
        <v>12580</v>
      </c>
    </row>
    <row r="30" spans="2:6" x14ac:dyDescent="0.25">
      <c r="B30" s="85">
        <v>54114</v>
      </c>
      <c r="C30" s="99" t="s">
        <v>250</v>
      </c>
      <c r="D30" s="98">
        <v>278.12</v>
      </c>
      <c r="E30" s="98">
        <v>0</v>
      </c>
      <c r="F30" s="98">
        <f t="shared" si="2"/>
        <v>278.12</v>
      </c>
    </row>
    <row r="31" spans="2:6" x14ac:dyDescent="0.25">
      <c r="B31" s="85">
        <v>54115</v>
      </c>
      <c r="C31" s="99" t="s">
        <v>251</v>
      </c>
      <c r="D31" s="98">
        <v>150</v>
      </c>
      <c r="E31" s="98">
        <v>0</v>
      </c>
      <c r="F31" s="98">
        <f t="shared" si="2"/>
        <v>150</v>
      </c>
    </row>
    <row r="32" spans="2:6" x14ac:dyDescent="0.25">
      <c r="B32" s="85">
        <v>54118</v>
      </c>
      <c r="C32" s="99" t="s">
        <v>291</v>
      </c>
      <c r="D32" s="98">
        <v>1970</v>
      </c>
      <c r="E32" s="98">
        <v>0</v>
      </c>
      <c r="F32" s="98">
        <f t="shared" si="2"/>
        <v>1970</v>
      </c>
    </row>
    <row r="33" spans="2:7" x14ac:dyDescent="0.25">
      <c r="B33" s="85">
        <v>54199</v>
      </c>
      <c r="C33" s="99" t="s">
        <v>357</v>
      </c>
      <c r="D33" s="98">
        <v>600</v>
      </c>
      <c r="E33" s="98">
        <v>500</v>
      </c>
      <c r="F33" s="98">
        <f t="shared" si="2"/>
        <v>1100</v>
      </c>
      <c r="G33" s="40"/>
    </row>
    <row r="34" spans="2:7" x14ac:dyDescent="0.25">
      <c r="B34" s="76">
        <v>543</v>
      </c>
      <c r="C34" s="101" t="s">
        <v>254</v>
      </c>
      <c r="D34" s="96">
        <f>SUM(D35:D35)</f>
        <v>3000</v>
      </c>
      <c r="E34" s="96">
        <f>SUM(E35:E35)</f>
        <v>12233.81</v>
      </c>
      <c r="F34" s="96">
        <f>SUM(F35:F35)</f>
        <v>15233.81</v>
      </c>
    </row>
    <row r="35" spans="2:7" x14ac:dyDescent="0.25">
      <c r="B35" s="85">
        <v>54302</v>
      </c>
      <c r="C35" s="99" t="s">
        <v>358</v>
      </c>
      <c r="D35" s="107">
        <v>3000</v>
      </c>
      <c r="E35" s="98">
        <v>12233.81</v>
      </c>
      <c r="F35" s="98">
        <f>SUM(D35:E35)</f>
        <v>15233.81</v>
      </c>
    </row>
    <row r="36" spans="2:7" x14ac:dyDescent="0.25">
      <c r="B36" s="76">
        <v>545</v>
      </c>
      <c r="C36" s="101" t="s">
        <v>301</v>
      </c>
      <c r="D36" s="104">
        <f>SUM(D37)</f>
        <v>1000</v>
      </c>
      <c r="E36" s="96">
        <f t="shared" ref="E36:F36" si="3">SUM(E37)</f>
        <v>0</v>
      </c>
      <c r="F36" s="96">
        <f t="shared" si="3"/>
        <v>1000</v>
      </c>
    </row>
    <row r="37" spans="2:7" x14ac:dyDescent="0.25">
      <c r="B37" s="85">
        <v>54505</v>
      </c>
      <c r="C37" s="99" t="s">
        <v>359</v>
      </c>
      <c r="D37" s="107">
        <v>1000</v>
      </c>
      <c r="E37" s="98">
        <v>0</v>
      </c>
      <c r="F37" s="98">
        <f>SUM(D37:E37)</f>
        <v>1000</v>
      </c>
    </row>
    <row r="38" spans="2:7" x14ac:dyDescent="0.25">
      <c r="B38" s="85"/>
      <c r="C38" s="99"/>
      <c r="D38" s="98"/>
      <c r="E38" s="98"/>
      <c r="F38" s="98"/>
    </row>
    <row r="39" spans="2:7" x14ac:dyDescent="0.25">
      <c r="B39" s="85"/>
      <c r="C39" s="101" t="s">
        <v>69</v>
      </c>
      <c r="D39" s="96">
        <f>SUM(D12+D21)</f>
        <v>30342.07</v>
      </c>
      <c r="E39" s="96">
        <f>SUM(E12+E21)</f>
        <v>35331.31</v>
      </c>
      <c r="F39" s="96">
        <f>SUM(D39:E39)</f>
        <v>65673.38</v>
      </c>
    </row>
    <row r="40" spans="2:7" x14ac:dyDescent="0.25">
      <c r="B40" s="85"/>
      <c r="C40" s="99"/>
      <c r="D40" s="98"/>
      <c r="E40" s="98"/>
      <c r="F40" s="98"/>
    </row>
    <row r="41" spans="2:7" x14ac:dyDescent="0.25">
      <c r="B41" s="76"/>
      <c r="C41" s="101" t="s">
        <v>60</v>
      </c>
      <c r="D41" s="96">
        <f>SUM(D12+D21)</f>
        <v>30342.07</v>
      </c>
      <c r="E41" s="96">
        <f>SUM(E12+E21)</f>
        <v>35331.31</v>
      </c>
      <c r="F41" s="96">
        <f>SUM(F12+F21)</f>
        <v>65673.38</v>
      </c>
    </row>
    <row r="42" spans="2:7" x14ac:dyDescent="0.25">
      <c r="B42" s="76"/>
      <c r="C42" s="101" t="s">
        <v>61</v>
      </c>
      <c r="D42" s="96">
        <f>SUM(D13+D17+D19+D22+D34+D36)</f>
        <v>30342.07</v>
      </c>
      <c r="E42" s="96">
        <f>SUM(E13+E17+E19+E22+E34+E36)</f>
        <v>35331.31</v>
      </c>
      <c r="F42" s="96">
        <f>SUM(F13+F17+F19+F22+F34+F36)</f>
        <v>65673.38</v>
      </c>
    </row>
    <row r="43" spans="2:7" x14ac:dyDescent="0.25">
      <c r="B43" s="76"/>
      <c r="C43" s="101" t="s">
        <v>62</v>
      </c>
      <c r="D43" s="96">
        <f>SUM(D14+D15+D16+D18+D20+D23+D24+D25+D26+D27+D28+D29+D30+D31+D32+D33+D35+D37)</f>
        <v>30342.07</v>
      </c>
      <c r="E43" s="96">
        <f>SUM(E14+E15+E16+E18+E20+E23+E24+E25+E26+E27+E28+E29+E30+E31+E32+E33+E35+E37)</f>
        <v>35331.31</v>
      </c>
      <c r="F43" s="96">
        <f>SUM(F14+F15+F16+F18+F20+F23+F24+F25+F26+F27+F28+F29+F30+F31+F32+F33+F35+F37)</f>
        <v>65673.38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workbookViewId="0">
      <pane ySplit="11" topLeftCell="A12" activePane="bottomLeft" state="frozen"/>
      <selection pane="bottomLeft" activeCell="F10" sqref="F10:F11"/>
    </sheetView>
  </sheetViews>
  <sheetFormatPr baseColWidth="10" defaultRowHeight="15" x14ac:dyDescent="0.25"/>
  <cols>
    <col min="1" max="1" width="4.28515625" style="28" customWidth="1"/>
    <col min="2" max="2" width="9.42578125" style="28" customWidth="1"/>
    <col min="3" max="3" width="43" style="28" customWidth="1"/>
    <col min="4" max="4" width="14.140625" style="28" customWidth="1"/>
    <col min="5" max="5" width="15.85546875" style="28" customWidth="1"/>
    <col min="6" max="6" width="12.42578125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2" t="s">
        <v>162</v>
      </c>
      <c r="C8" s="422"/>
      <c r="D8" s="422"/>
      <c r="E8" s="422"/>
      <c r="F8" s="422"/>
    </row>
    <row r="9" spans="2:6" x14ac:dyDescent="0.25">
      <c r="B9" s="29"/>
      <c r="C9" s="29"/>
      <c r="D9" s="29"/>
      <c r="E9" s="30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52" t="s">
        <v>0</v>
      </c>
    </row>
    <row r="11" spans="2:6" x14ac:dyDescent="0.25">
      <c r="B11" s="421"/>
      <c r="C11" s="421"/>
      <c r="D11" s="92" t="s">
        <v>229</v>
      </c>
      <c r="E11" s="92" t="s">
        <v>230</v>
      </c>
      <c r="F11" s="452"/>
    </row>
    <row r="12" spans="2:6" x14ac:dyDescent="0.25">
      <c r="B12" s="71">
        <v>51</v>
      </c>
      <c r="C12" s="100" t="s">
        <v>127</v>
      </c>
      <c r="D12" s="94">
        <f>SUM(D13+D16+D18)</f>
        <v>20532.5</v>
      </c>
      <c r="E12" s="94">
        <f>SUM(E13+E16+E18)</f>
        <v>5580</v>
      </c>
      <c r="F12" s="94">
        <f>SUM(F13+F16+F18)</f>
        <v>26112.5</v>
      </c>
    </row>
    <row r="13" spans="2:6" x14ac:dyDescent="0.25">
      <c r="B13" s="76">
        <v>511</v>
      </c>
      <c r="C13" s="108" t="s">
        <v>360</v>
      </c>
      <c r="D13" s="96">
        <f>SUM(D14:D15)</f>
        <v>17900</v>
      </c>
      <c r="E13" s="96">
        <f>SUM(E14:E15)</f>
        <v>4800</v>
      </c>
      <c r="F13" s="96">
        <f>SUM(F14:F15)</f>
        <v>22700</v>
      </c>
    </row>
    <row r="14" spans="2:6" x14ac:dyDescent="0.25">
      <c r="B14" s="79">
        <v>51101</v>
      </c>
      <c r="C14" s="97" t="s">
        <v>232</v>
      </c>
      <c r="D14" s="98">
        <v>16200</v>
      </c>
      <c r="E14" s="98">
        <v>4800</v>
      </c>
      <c r="F14" s="98">
        <f>SUM(D14:E14)</f>
        <v>21000</v>
      </c>
    </row>
    <row r="15" spans="2:6" x14ac:dyDescent="0.25">
      <c r="B15" s="79">
        <v>51103</v>
      </c>
      <c r="C15" s="99" t="s">
        <v>233</v>
      </c>
      <c r="D15" s="98">
        <v>1700</v>
      </c>
      <c r="E15" s="98">
        <v>0</v>
      </c>
      <c r="F15" s="98">
        <f>SUM(D15:E15)</f>
        <v>1700</v>
      </c>
    </row>
    <row r="16" spans="2:6" x14ac:dyDescent="0.25">
      <c r="B16" s="76">
        <v>514</v>
      </c>
      <c r="C16" s="100" t="s">
        <v>236</v>
      </c>
      <c r="D16" s="96">
        <f>SUM(D17:D17)</f>
        <v>1377</v>
      </c>
      <c r="E16" s="96">
        <f t="shared" ref="E16" si="0">SUM(E17)</f>
        <v>408.00000000000006</v>
      </c>
      <c r="F16" s="96">
        <f>SUM(F17:F17)</f>
        <v>1785</v>
      </c>
    </row>
    <row r="17" spans="2:6" x14ac:dyDescent="0.25">
      <c r="B17" s="85">
        <v>51401</v>
      </c>
      <c r="C17" s="99" t="s">
        <v>237</v>
      </c>
      <c r="D17" s="98">
        <f>D14*8.5%</f>
        <v>1377</v>
      </c>
      <c r="E17" s="98">
        <f>E14*8.5%</f>
        <v>408.00000000000006</v>
      </c>
      <c r="F17" s="98">
        <f>SUM(D17:E17)</f>
        <v>1785</v>
      </c>
    </row>
    <row r="18" spans="2:6" x14ac:dyDescent="0.25">
      <c r="B18" s="76">
        <v>515</v>
      </c>
      <c r="C18" s="101" t="s">
        <v>238</v>
      </c>
      <c r="D18" s="96">
        <f>SUM(D19:D19)</f>
        <v>1255.5</v>
      </c>
      <c r="E18" s="96">
        <f>SUM(E19:E19)</f>
        <v>372</v>
      </c>
      <c r="F18" s="96">
        <f>SUM(F19:F19)</f>
        <v>1627.5</v>
      </c>
    </row>
    <row r="19" spans="2:6" x14ac:dyDescent="0.25">
      <c r="B19" s="85">
        <v>51501</v>
      </c>
      <c r="C19" s="99" t="s">
        <v>237</v>
      </c>
      <c r="D19" s="98">
        <f>D14*7.75%</f>
        <v>1255.5</v>
      </c>
      <c r="E19" s="98">
        <f>E14*7.75%</f>
        <v>372</v>
      </c>
      <c r="F19" s="98">
        <f>SUM(D19:E19)</f>
        <v>1627.5</v>
      </c>
    </row>
    <row r="20" spans="2:6" x14ac:dyDescent="0.25">
      <c r="B20" s="76">
        <v>54</v>
      </c>
      <c r="C20" s="101" t="s">
        <v>282</v>
      </c>
      <c r="D20" s="96">
        <f>SUM(D21+D26)</f>
        <v>1200</v>
      </c>
      <c r="E20" s="96">
        <f>SUM(E21+E26)</f>
        <v>0</v>
      </c>
      <c r="F20" s="96">
        <f>SUM(F21+F26)</f>
        <v>1200</v>
      </c>
    </row>
    <row r="21" spans="2:6" x14ac:dyDescent="0.25">
      <c r="B21" s="76">
        <v>541</v>
      </c>
      <c r="C21" s="101" t="s">
        <v>283</v>
      </c>
      <c r="D21" s="96">
        <f>SUM(D22:D25)</f>
        <v>950</v>
      </c>
      <c r="E21" s="96">
        <f>SUM(E22:E25)</f>
        <v>0</v>
      </c>
      <c r="F21" s="96">
        <f>SUM(F22:F25)</f>
        <v>950</v>
      </c>
    </row>
    <row r="22" spans="2:6" x14ac:dyDescent="0.25">
      <c r="B22" s="85">
        <v>54101</v>
      </c>
      <c r="C22" s="99" t="s">
        <v>243</v>
      </c>
      <c r="D22" s="98">
        <v>650</v>
      </c>
      <c r="E22" s="98">
        <v>0</v>
      </c>
      <c r="F22" s="98">
        <f>SUM(D22:E22)</f>
        <v>650</v>
      </c>
    </row>
    <row r="23" spans="2:6" x14ac:dyDescent="0.25">
      <c r="B23" s="85">
        <v>54105</v>
      </c>
      <c r="C23" s="99" t="s">
        <v>246</v>
      </c>
      <c r="D23" s="98">
        <v>100</v>
      </c>
      <c r="E23" s="98">
        <v>0</v>
      </c>
      <c r="F23" s="98">
        <f>SUM(D23:E23)</f>
        <v>100</v>
      </c>
    </row>
    <row r="24" spans="2:6" x14ac:dyDescent="0.25">
      <c r="B24" s="85">
        <v>54114</v>
      </c>
      <c r="C24" s="99" t="s">
        <v>250</v>
      </c>
      <c r="D24" s="98">
        <v>100</v>
      </c>
      <c r="E24" s="98">
        <v>0</v>
      </c>
      <c r="F24" s="98">
        <f>SUM(D24:E24)</f>
        <v>100</v>
      </c>
    </row>
    <row r="25" spans="2:6" x14ac:dyDescent="0.25">
      <c r="B25" s="85">
        <v>54115</v>
      </c>
      <c r="C25" s="99" t="s">
        <v>251</v>
      </c>
      <c r="D25" s="98">
        <v>100</v>
      </c>
      <c r="E25" s="98">
        <v>0</v>
      </c>
      <c r="F25" s="98">
        <f>SUM(D25:E25)</f>
        <v>100</v>
      </c>
    </row>
    <row r="26" spans="2:6" x14ac:dyDescent="0.25">
      <c r="B26" s="76">
        <v>543</v>
      </c>
      <c r="C26" s="101" t="s">
        <v>254</v>
      </c>
      <c r="D26" s="96">
        <f>SUM(D27:D27)</f>
        <v>250</v>
      </c>
      <c r="E26" s="96">
        <f>SUM(E27:E27)</f>
        <v>0</v>
      </c>
      <c r="F26" s="96">
        <f>SUM(F27:F27)</f>
        <v>250</v>
      </c>
    </row>
    <row r="27" spans="2:6" x14ac:dyDescent="0.25">
      <c r="B27" s="85">
        <v>54304</v>
      </c>
      <c r="C27" s="99" t="s">
        <v>354</v>
      </c>
      <c r="D27" s="98">
        <v>250</v>
      </c>
      <c r="E27" s="98">
        <v>0</v>
      </c>
      <c r="F27" s="98">
        <f>SUM(D27:E27)</f>
        <v>250</v>
      </c>
    </row>
    <row r="28" spans="2:6" x14ac:dyDescent="0.25">
      <c r="B28" s="85"/>
      <c r="C28" s="99"/>
      <c r="D28" s="98"/>
      <c r="E28" s="98"/>
      <c r="F28" s="98"/>
    </row>
    <row r="29" spans="2:6" x14ac:dyDescent="0.25">
      <c r="B29" s="85"/>
      <c r="C29" s="101" t="s">
        <v>69</v>
      </c>
      <c r="D29" s="96">
        <f>SUM(D12+D20)</f>
        <v>21732.5</v>
      </c>
      <c r="E29" s="96">
        <f>SUM(E12+E20)</f>
        <v>5580</v>
      </c>
      <c r="F29" s="96">
        <f>SUM(D29:E29)</f>
        <v>27312.5</v>
      </c>
    </row>
    <row r="30" spans="2:6" x14ac:dyDescent="0.25">
      <c r="B30" s="85"/>
      <c r="C30" s="99"/>
      <c r="D30" s="98"/>
      <c r="E30" s="98"/>
      <c r="F30" s="98"/>
    </row>
    <row r="31" spans="2:6" x14ac:dyDescent="0.25">
      <c r="B31" s="76"/>
      <c r="C31" s="101" t="s">
        <v>60</v>
      </c>
      <c r="D31" s="96">
        <f>SUM(D12+D20)</f>
        <v>21732.5</v>
      </c>
      <c r="E31" s="96">
        <f>SUM(E12+E20)</f>
        <v>5580</v>
      </c>
      <c r="F31" s="96">
        <f>SUM(F12+F20)</f>
        <v>27312.5</v>
      </c>
    </row>
    <row r="32" spans="2:6" x14ac:dyDescent="0.25">
      <c r="B32" s="76"/>
      <c r="C32" s="101" t="s">
        <v>61</v>
      </c>
      <c r="D32" s="96">
        <f>SUM(D13+D16+D18+D21+D26)</f>
        <v>21732.5</v>
      </c>
      <c r="E32" s="96">
        <f>SUM(E13+E16+E18+E21+E26)</f>
        <v>5580</v>
      </c>
      <c r="F32" s="96">
        <f>SUM(F13+F16+F18+F21+F26)</f>
        <v>27312.5</v>
      </c>
    </row>
    <row r="33" spans="2:6" x14ac:dyDescent="0.25">
      <c r="B33" s="76"/>
      <c r="C33" s="101" t="s">
        <v>62</v>
      </c>
      <c r="D33" s="96">
        <f>SUM(D14+D15+D17+D19+D22+D23+D24+D25+D27)</f>
        <v>21732.5</v>
      </c>
      <c r="E33" s="96">
        <f>SUM(E14+E15+E17+E19+E22+E23+E24+E25+E27)</f>
        <v>5580</v>
      </c>
      <c r="F33" s="96">
        <f>SUM(F14+F15+F17+F19+F22+F23+F24+F25+F27)</f>
        <v>27312.5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1"/>
  <sheetViews>
    <sheetView workbookViewId="0">
      <pane ySplit="11" topLeftCell="A27" activePane="bottomLeft" state="frozen"/>
      <selection pane="bottomLeft" activeCell="C33" sqref="C33"/>
    </sheetView>
  </sheetViews>
  <sheetFormatPr baseColWidth="10" defaultRowHeight="15" x14ac:dyDescent="0.25"/>
  <cols>
    <col min="1" max="1" width="2.85546875" style="28" customWidth="1"/>
    <col min="2" max="2" width="8.5703125" style="28" customWidth="1"/>
    <col min="3" max="3" width="42.140625" style="28" customWidth="1"/>
    <col min="4" max="4" width="14.140625" style="28" customWidth="1"/>
    <col min="5" max="5" width="16.28515625" style="28" customWidth="1"/>
    <col min="6" max="6" width="14" style="28" customWidth="1"/>
    <col min="7" max="16384" width="11.42578125" style="28"/>
  </cols>
  <sheetData>
    <row r="2" spans="2:6" ht="15.75" x14ac:dyDescent="0.25">
      <c r="B2" s="425" t="s">
        <v>425</v>
      </c>
      <c r="C2" s="425"/>
      <c r="D2" s="425"/>
      <c r="E2" s="425"/>
      <c r="F2" s="425"/>
    </row>
    <row r="3" spans="2:6" ht="15.75" x14ac:dyDescent="0.25">
      <c r="B3" s="425" t="s">
        <v>220</v>
      </c>
      <c r="C3" s="425"/>
      <c r="D3" s="425"/>
      <c r="E3" s="425"/>
      <c r="F3" s="425"/>
    </row>
    <row r="4" spans="2:6" ht="15.75" x14ac:dyDescent="0.25">
      <c r="B4" s="423" t="s">
        <v>221</v>
      </c>
      <c r="C4" s="423"/>
      <c r="D4" s="423"/>
      <c r="E4" s="423"/>
      <c r="F4" s="423"/>
    </row>
    <row r="5" spans="2:6" ht="15.75" x14ac:dyDescent="0.25">
      <c r="B5" s="423" t="s">
        <v>280</v>
      </c>
      <c r="C5" s="423"/>
      <c r="D5" s="423"/>
      <c r="E5" s="423"/>
      <c r="F5" s="423"/>
    </row>
    <row r="6" spans="2:6" ht="15.75" x14ac:dyDescent="0.25">
      <c r="B6" s="139" t="s">
        <v>281</v>
      </c>
      <c r="C6" s="140"/>
      <c r="D6" s="140"/>
      <c r="E6" s="140"/>
      <c r="F6" s="140"/>
    </row>
    <row r="7" spans="2:6" ht="15.75" x14ac:dyDescent="0.25">
      <c r="B7" s="423" t="s">
        <v>223</v>
      </c>
      <c r="C7" s="423"/>
      <c r="D7" s="423"/>
      <c r="E7" s="423"/>
      <c r="F7" s="423"/>
    </row>
    <row r="8" spans="2:6" ht="15.75" x14ac:dyDescent="0.25">
      <c r="B8" s="422" t="s">
        <v>191</v>
      </c>
      <c r="C8" s="422"/>
      <c r="D8" s="422"/>
      <c r="E8" s="422"/>
      <c r="F8" s="422"/>
    </row>
    <row r="9" spans="2:6" x14ac:dyDescent="0.25">
      <c r="B9" s="29"/>
      <c r="C9" s="29"/>
      <c r="D9" s="29"/>
      <c r="E9" s="39"/>
      <c r="F9" s="29"/>
    </row>
    <row r="10" spans="2:6" x14ac:dyDescent="0.25">
      <c r="B10" s="421" t="s">
        <v>225</v>
      </c>
      <c r="C10" s="421" t="s">
        <v>226</v>
      </c>
      <c r="D10" s="92" t="s">
        <v>227</v>
      </c>
      <c r="E10" s="92" t="s">
        <v>228</v>
      </c>
      <c r="F10" s="421" t="s">
        <v>0</v>
      </c>
    </row>
    <row r="11" spans="2:6" x14ac:dyDescent="0.25">
      <c r="B11" s="421"/>
      <c r="C11" s="421"/>
      <c r="D11" s="92" t="s">
        <v>229</v>
      </c>
      <c r="E11" s="92" t="s">
        <v>230</v>
      </c>
      <c r="F11" s="421"/>
    </row>
    <row r="12" spans="2:6" x14ac:dyDescent="0.25">
      <c r="B12" s="71">
        <v>51</v>
      </c>
      <c r="C12" s="100" t="s">
        <v>127</v>
      </c>
      <c r="D12" s="94">
        <f>SUM(D13+D16+D18)</f>
        <v>74466.25</v>
      </c>
      <c r="E12" s="94">
        <f>SUM(E13+E16+E18)</f>
        <v>65216.25</v>
      </c>
      <c r="F12" s="94">
        <f>SUM(F13+F16+F18)</f>
        <v>139682.5</v>
      </c>
    </row>
    <row r="13" spans="2:6" x14ac:dyDescent="0.25">
      <c r="B13" s="76">
        <v>511</v>
      </c>
      <c r="C13" s="108" t="s">
        <v>231</v>
      </c>
      <c r="D13" s="96">
        <f>SUM(D14:D15)</f>
        <v>65350</v>
      </c>
      <c r="E13" s="96">
        <f>SUM(E14:E15)</f>
        <v>56100</v>
      </c>
      <c r="F13" s="96">
        <f>SUM(F14:F15)</f>
        <v>121450</v>
      </c>
    </row>
    <row r="14" spans="2:6" x14ac:dyDescent="0.25">
      <c r="B14" s="79">
        <v>51101</v>
      </c>
      <c r="C14" s="97" t="s">
        <v>232</v>
      </c>
      <c r="D14" s="98">
        <v>56100</v>
      </c>
      <c r="E14" s="98">
        <v>56100</v>
      </c>
      <c r="F14" s="98">
        <f>SUM(D14:E14)</f>
        <v>112200</v>
      </c>
    </row>
    <row r="15" spans="2:6" x14ac:dyDescent="0.25">
      <c r="B15" s="79">
        <v>51103</v>
      </c>
      <c r="C15" s="99" t="s">
        <v>233</v>
      </c>
      <c r="D15" s="98">
        <v>9250</v>
      </c>
      <c r="E15" s="98">
        <v>0</v>
      </c>
      <c r="F15" s="98">
        <f>SUM(D15:E15)</f>
        <v>9250</v>
      </c>
    </row>
    <row r="16" spans="2:6" x14ac:dyDescent="0.25">
      <c r="B16" s="76">
        <v>514</v>
      </c>
      <c r="C16" s="100" t="s">
        <v>236</v>
      </c>
      <c r="D16" s="96">
        <f>SUM(D17:D17)</f>
        <v>4768.5</v>
      </c>
      <c r="E16" s="96">
        <f>SUM(E17:E17)</f>
        <v>4768.5</v>
      </c>
      <c r="F16" s="96">
        <f>SUM(F17:F17)</f>
        <v>9537</v>
      </c>
    </row>
    <row r="17" spans="2:6" x14ac:dyDescent="0.25">
      <c r="B17" s="85">
        <v>51401</v>
      </c>
      <c r="C17" s="99" t="s">
        <v>237</v>
      </c>
      <c r="D17" s="98">
        <f>D14*8.5%</f>
        <v>4768.5</v>
      </c>
      <c r="E17" s="98">
        <f>E14*8.5%</f>
        <v>4768.5</v>
      </c>
      <c r="F17" s="98">
        <f>SUM(D17:E17)</f>
        <v>9537</v>
      </c>
    </row>
    <row r="18" spans="2:6" x14ac:dyDescent="0.25">
      <c r="B18" s="76">
        <v>515</v>
      </c>
      <c r="C18" s="101" t="s">
        <v>238</v>
      </c>
      <c r="D18" s="96">
        <f>SUM(D19:D19)</f>
        <v>4347.75</v>
      </c>
      <c r="E18" s="96">
        <f>SUM(E19:E19)</f>
        <v>4347.75</v>
      </c>
      <c r="F18" s="96">
        <f>SUM(F19:F19)</f>
        <v>8695.5</v>
      </c>
    </row>
    <row r="19" spans="2:6" x14ac:dyDescent="0.25">
      <c r="B19" s="85">
        <v>51501</v>
      </c>
      <c r="C19" s="99" t="s">
        <v>237</v>
      </c>
      <c r="D19" s="98">
        <f>D14*7.75%</f>
        <v>4347.75</v>
      </c>
      <c r="E19" s="98">
        <f>E14*7.75%</f>
        <v>4347.75</v>
      </c>
      <c r="F19" s="98">
        <f>SUM(D19:E19)</f>
        <v>8695.5</v>
      </c>
    </row>
    <row r="20" spans="2:6" x14ac:dyDescent="0.25">
      <c r="B20" s="76">
        <v>54</v>
      </c>
      <c r="C20" s="101" t="s">
        <v>282</v>
      </c>
      <c r="D20" s="104">
        <f>SUM(D21+D27+D30)</f>
        <v>16290</v>
      </c>
      <c r="E20" s="104">
        <f>SUM(E21+E27+E30)</f>
        <v>16000</v>
      </c>
      <c r="F20" s="96">
        <f>SUM(F21+F27+F30)</f>
        <v>32290</v>
      </c>
    </row>
    <row r="21" spans="2:6" x14ac:dyDescent="0.25">
      <c r="B21" s="76">
        <v>541</v>
      </c>
      <c r="C21" s="101" t="s">
        <v>283</v>
      </c>
      <c r="D21" s="104">
        <f>SUM(D22:D26)</f>
        <v>11040</v>
      </c>
      <c r="E21" s="104">
        <f>SUM(E22:E26)</f>
        <v>4000</v>
      </c>
      <c r="F21" s="96">
        <f>SUM(F22:F26)</f>
        <v>15040</v>
      </c>
    </row>
    <row r="22" spans="2:6" x14ac:dyDescent="0.25">
      <c r="B22" s="85">
        <v>54101</v>
      </c>
      <c r="C22" s="99" t="s">
        <v>243</v>
      </c>
      <c r="D22" s="107">
        <v>4000</v>
      </c>
      <c r="E22" s="107">
        <v>4000</v>
      </c>
      <c r="F22" s="98">
        <f>SUM(D22:E22)</f>
        <v>8000</v>
      </c>
    </row>
    <row r="23" spans="2:6" x14ac:dyDescent="0.25">
      <c r="B23" s="85">
        <v>54104</v>
      </c>
      <c r="C23" s="99" t="s">
        <v>245</v>
      </c>
      <c r="D23" s="107">
        <v>5500</v>
      </c>
      <c r="E23" s="107">
        <v>0</v>
      </c>
      <c r="F23" s="98">
        <f>SUM(D23:E23)</f>
        <v>5500</v>
      </c>
    </row>
    <row r="24" spans="2:6" x14ac:dyDescent="0.25">
      <c r="B24" s="85">
        <v>54105</v>
      </c>
      <c r="C24" s="99" t="s">
        <v>246</v>
      </c>
      <c r="D24" s="107">
        <v>650</v>
      </c>
      <c r="E24" s="107">
        <v>0</v>
      </c>
      <c r="F24" s="98">
        <f>SUM(D24:E24)</f>
        <v>650</v>
      </c>
    </row>
    <row r="25" spans="2:6" x14ac:dyDescent="0.25">
      <c r="B25" s="85">
        <v>54114</v>
      </c>
      <c r="C25" s="99" t="s">
        <v>250</v>
      </c>
      <c r="D25" s="107">
        <v>400</v>
      </c>
      <c r="E25" s="107">
        <v>0</v>
      </c>
      <c r="F25" s="98">
        <f>SUM(D25:E25)</f>
        <v>400</v>
      </c>
    </row>
    <row r="26" spans="2:6" x14ac:dyDescent="0.25">
      <c r="B26" s="85">
        <v>54115</v>
      </c>
      <c r="C26" s="99" t="s">
        <v>251</v>
      </c>
      <c r="D26" s="107">
        <v>490</v>
      </c>
      <c r="E26" s="107">
        <v>0</v>
      </c>
      <c r="F26" s="98">
        <f>SUM(D26:E26)</f>
        <v>490</v>
      </c>
    </row>
    <row r="27" spans="2:6" x14ac:dyDescent="0.25">
      <c r="B27" s="76">
        <v>543</v>
      </c>
      <c r="C27" s="101" t="s">
        <v>254</v>
      </c>
      <c r="D27" s="104">
        <f>SUM(D28:D29)</f>
        <v>5000</v>
      </c>
      <c r="E27" s="104">
        <f>SUM(E28:E29)</f>
        <v>12000</v>
      </c>
      <c r="F27" s="96">
        <f>SUM(F28:F29)</f>
        <v>17000</v>
      </c>
    </row>
    <row r="28" spans="2:6" x14ac:dyDescent="0.25">
      <c r="B28" s="85">
        <v>54304</v>
      </c>
      <c r="C28" s="99" t="s">
        <v>354</v>
      </c>
      <c r="D28" s="107">
        <v>4000</v>
      </c>
      <c r="E28" s="107">
        <v>12000</v>
      </c>
      <c r="F28" s="98">
        <f>SUM(D28:E28)</f>
        <v>16000</v>
      </c>
    </row>
    <row r="29" spans="2:6" x14ac:dyDescent="0.25">
      <c r="B29" s="85">
        <v>54313</v>
      </c>
      <c r="C29" s="99" t="s">
        <v>258</v>
      </c>
      <c r="D29" s="107">
        <v>1000</v>
      </c>
      <c r="E29" s="107"/>
      <c r="F29" s="98">
        <f>SUM(D29:E29)</f>
        <v>1000</v>
      </c>
    </row>
    <row r="30" spans="2:6" x14ac:dyDescent="0.25">
      <c r="B30" s="76">
        <v>544</v>
      </c>
      <c r="C30" s="101" t="s">
        <v>261</v>
      </c>
      <c r="D30" s="104">
        <f>SUM(D31)</f>
        <v>250</v>
      </c>
      <c r="E30" s="104">
        <f t="shared" ref="E30:F30" si="0">SUM(E31)</f>
        <v>0</v>
      </c>
      <c r="F30" s="96">
        <f t="shared" si="0"/>
        <v>250</v>
      </c>
    </row>
    <row r="31" spans="2:6" x14ac:dyDescent="0.25">
      <c r="B31" s="85">
        <v>54401</v>
      </c>
      <c r="C31" s="99" t="s">
        <v>262</v>
      </c>
      <c r="D31" s="107">
        <v>250</v>
      </c>
      <c r="E31" s="107">
        <v>0</v>
      </c>
      <c r="F31" s="98">
        <f>SUM(D31:E31)</f>
        <v>250</v>
      </c>
    </row>
    <row r="32" spans="2:6" x14ac:dyDescent="0.25">
      <c r="B32" s="76">
        <v>61</v>
      </c>
      <c r="C32" s="101" t="s">
        <v>277</v>
      </c>
      <c r="D32" s="104">
        <f>SUM(D33)</f>
        <v>900</v>
      </c>
      <c r="E32" s="104">
        <f t="shared" ref="E32:F32" si="1">SUM(E33)</f>
        <v>800</v>
      </c>
      <c r="F32" s="96">
        <f t="shared" si="1"/>
        <v>1700</v>
      </c>
    </row>
    <row r="33" spans="2:8" x14ac:dyDescent="0.25">
      <c r="B33" s="76">
        <v>611</v>
      </c>
      <c r="C33" s="101" t="s">
        <v>278</v>
      </c>
      <c r="D33" s="96">
        <f>SUM(D34:D35)</f>
        <v>900</v>
      </c>
      <c r="E33" s="96">
        <f>SUM(E34:E35)</f>
        <v>800</v>
      </c>
      <c r="F33" s="96">
        <f>SUM(F34:F35)</f>
        <v>1700</v>
      </c>
    </row>
    <row r="34" spans="2:8" x14ac:dyDescent="0.25">
      <c r="B34" s="85">
        <v>61101</v>
      </c>
      <c r="C34" s="99" t="s">
        <v>279</v>
      </c>
      <c r="D34" s="98">
        <v>0</v>
      </c>
      <c r="E34" s="98">
        <v>800</v>
      </c>
      <c r="F34" s="98">
        <f>SUM(D34:E34)</f>
        <v>800</v>
      </c>
    </row>
    <row r="35" spans="2:8" x14ac:dyDescent="0.25">
      <c r="B35" s="85">
        <v>61104</v>
      </c>
      <c r="C35" s="99" t="s">
        <v>314</v>
      </c>
      <c r="D35" s="98">
        <v>900</v>
      </c>
      <c r="E35" s="98">
        <v>0</v>
      </c>
      <c r="F35" s="98">
        <f>SUM(D35:E35)</f>
        <v>900</v>
      </c>
    </row>
    <row r="36" spans="2:8" x14ac:dyDescent="0.25">
      <c r="B36" s="85"/>
      <c r="C36" s="99"/>
      <c r="D36" s="98"/>
      <c r="E36" s="98"/>
      <c r="F36" s="98"/>
    </row>
    <row r="37" spans="2:8" x14ac:dyDescent="0.25">
      <c r="B37" s="85"/>
      <c r="C37" s="101" t="s">
        <v>69</v>
      </c>
      <c r="D37" s="96">
        <f>SUM(D12+D20+D32)</f>
        <v>91656.25</v>
      </c>
      <c r="E37" s="96">
        <f>SUM(E12+E20+E32)</f>
        <v>82016.25</v>
      </c>
      <c r="F37" s="96">
        <f>SUM(D37:E37)</f>
        <v>173672.5</v>
      </c>
    </row>
    <row r="38" spans="2:8" x14ac:dyDescent="0.25">
      <c r="B38" s="85"/>
      <c r="C38" s="99"/>
      <c r="D38" s="98"/>
      <c r="E38" s="98"/>
      <c r="F38" s="98"/>
      <c r="H38" s="28" t="s">
        <v>383</v>
      </c>
    </row>
    <row r="39" spans="2:8" x14ac:dyDescent="0.25">
      <c r="B39" s="76"/>
      <c r="C39" s="101" t="s">
        <v>60</v>
      </c>
      <c r="D39" s="96">
        <f>SUM(D12+D20+D32)</f>
        <v>91656.25</v>
      </c>
      <c r="E39" s="96">
        <f>SUM(E12+E20+E32)</f>
        <v>82016.25</v>
      </c>
      <c r="F39" s="96">
        <f>SUM(F12+F20+F32)</f>
        <v>173672.5</v>
      </c>
    </row>
    <row r="40" spans="2:8" x14ac:dyDescent="0.25">
      <c r="B40" s="76"/>
      <c r="C40" s="101" t="s">
        <v>61</v>
      </c>
      <c r="D40" s="96">
        <f>SUM(D13+D16+D18+D21+D27+D30+D33)</f>
        <v>91656.25</v>
      </c>
      <c r="E40" s="96">
        <f>SUM(E13+E16+E18+E21+E27+E30+E33)</f>
        <v>82016.25</v>
      </c>
      <c r="F40" s="96">
        <f>SUM(F13+F16+F18+F21+F27+F30+F33)</f>
        <v>173672.5</v>
      </c>
    </row>
    <row r="41" spans="2:8" x14ac:dyDescent="0.25">
      <c r="B41" s="76"/>
      <c r="C41" s="101" t="s">
        <v>62</v>
      </c>
      <c r="D41" s="96">
        <f>SUM(D14+D15+D17+D19+D22+D23+D24+D25+D26+D28+D29+D31+D34+D35)</f>
        <v>91656.25</v>
      </c>
      <c r="E41" s="96">
        <f>SUM(E14+E15+E17+E19+E22+E23+E24+E25+E26+E28+E29+E31+E34)</f>
        <v>82016.25</v>
      </c>
      <c r="F41" s="96">
        <f>SUM(F14+F15+F17+F19+F22+F23+F24+F25+F26+F28+F29+F31+F34+F35)</f>
        <v>173672.5</v>
      </c>
    </row>
  </sheetData>
  <mergeCells count="9">
    <mergeCell ref="B10:B11"/>
    <mergeCell ref="C10:C11"/>
    <mergeCell ref="F10:F11"/>
    <mergeCell ref="B2:F2"/>
    <mergeCell ref="B3:F3"/>
    <mergeCell ref="B4:F4"/>
    <mergeCell ref="B5:F5"/>
    <mergeCell ref="B7:F7"/>
    <mergeCell ref="B8:F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7"/>
  <sheetViews>
    <sheetView tabSelected="1" workbookViewId="0">
      <pane ySplit="11" topLeftCell="A33" activePane="bottomLeft" state="frozen"/>
      <selection pane="bottomLeft" activeCell="I22" sqref="I22"/>
    </sheetView>
  </sheetViews>
  <sheetFormatPr baseColWidth="10" defaultRowHeight="15" x14ac:dyDescent="0.25"/>
  <cols>
    <col min="1" max="1" width="7.42578125" style="28" customWidth="1"/>
    <col min="2" max="2" width="8.7109375" style="28" customWidth="1"/>
    <col min="3" max="3" width="49" style="28" customWidth="1"/>
    <col min="4" max="4" width="23.570312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341"/>
      <c r="D6" s="341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415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340" t="s">
        <v>228</v>
      </c>
    </row>
    <row r="11" spans="2:4" x14ac:dyDescent="0.25">
      <c r="B11" s="454"/>
      <c r="C11" s="454"/>
      <c r="D11" s="340" t="s">
        <v>412</v>
      </c>
    </row>
    <row r="12" spans="2:4" x14ac:dyDescent="0.25">
      <c r="B12" s="71">
        <v>51</v>
      </c>
      <c r="C12" s="100" t="s">
        <v>127</v>
      </c>
      <c r="D12" s="94">
        <f>SUM(D13)</f>
        <v>10000</v>
      </c>
    </row>
    <row r="13" spans="2:4" x14ac:dyDescent="0.25">
      <c r="B13" s="109">
        <v>512</v>
      </c>
      <c r="C13" s="100" t="s">
        <v>311</v>
      </c>
      <c r="D13" s="96">
        <f>SUM(D14:D14)</f>
        <v>10000</v>
      </c>
    </row>
    <row r="14" spans="2:4" x14ac:dyDescent="0.25">
      <c r="B14" s="79">
        <v>51202</v>
      </c>
      <c r="C14" s="138" t="s">
        <v>362</v>
      </c>
      <c r="D14" s="98">
        <f>'FODES 75% GASTO'!D14</f>
        <v>10000</v>
      </c>
    </row>
    <row r="15" spans="2:4" x14ac:dyDescent="0.25">
      <c r="B15" s="76">
        <v>54</v>
      </c>
      <c r="C15" s="101" t="s">
        <v>282</v>
      </c>
      <c r="D15" s="96">
        <f>SUM(D16+D27+D33)</f>
        <v>305884.05</v>
      </c>
    </row>
    <row r="16" spans="2:4" x14ac:dyDescent="0.25">
      <c r="B16" s="76">
        <v>541</v>
      </c>
      <c r="C16" s="101" t="s">
        <v>283</v>
      </c>
      <c r="D16" s="96">
        <f>SUM(D17:D26)</f>
        <v>173884.05</v>
      </c>
    </row>
    <row r="17" spans="2:4" x14ac:dyDescent="0.25">
      <c r="B17" s="85">
        <v>54101</v>
      </c>
      <c r="C17" s="99" t="s">
        <v>243</v>
      </c>
      <c r="D17" s="98">
        <f>'FODES 75% GASTO'!D17</f>
        <v>5000</v>
      </c>
    </row>
    <row r="18" spans="2:4" x14ac:dyDescent="0.25">
      <c r="B18" s="85">
        <v>54104</v>
      </c>
      <c r="C18" s="99" t="s">
        <v>245</v>
      </c>
      <c r="D18" s="98">
        <f>'FODES 75% GASTO'!D18</f>
        <v>1000</v>
      </c>
    </row>
    <row r="19" spans="2:4" x14ac:dyDescent="0.25">
      <c r="B19" s="85">
        <v>54105</v>
      </c>
      <c r="C19" s="99" t="s">
        <v>246</v>
      </c>
      <c r="D19" s="98">
        <f>'FODES 75% GASTO'!D19</f>
        <v>1000</v>
      </c>
    </row>
    <row r="20" spans="2:4" x14ac:dyDescent="0.25">
      <c r="B20" s="85">
        <v>54107</v>
      </c>
      <c r="C20" s="99" t="s">
        <v>330</v>
      </c>
      <c r="D20" s="98">
        <f>'FODES 75% GASTO'!D20+'FODES 2% GASTO'!D14</f>
        <v>12000</v>
      </c>
    </row>
    <row r="21" spans="2:4" x14ac:dyDescent="0.25">
      <c r="B21" s="85">
        <v>54110</v>
      </c>
      <c r="C21" s="99" t="s">
        <v>327</v>
      </c>
      <c r="D21" s="98">
        <f>'FODES 75% GASTO'!D21</f>
        <v>10000</v>
      </c>
    </row>
    <row r="22" spans="2:4" x14ac:dyDescent="0.25">
      <c r="B22" s="85">
        <v>54111</v>
      </c>
      <c r="C22" s="99" t="s">
        <v>363</v>
      </c>
      <c r="D22" s="98">
        <f>'FODES 75% GASTO'!D22+'FODES 2% GASTO'!D15</f>
        <v>70000</v>
      </c>
    </row>
    <row r="23" spans="2:4" x14ac:dyDescent="0.25">
      <c r="B23" s="85">
        <v>54112</v>
      </c>
      <c r="C23" s="99" t="s">
        <v>364</v>
      </c>
      <c r="D23" s="98">
        <f>'FODES 75% GASTO'!D23+'FODES 2% GASTO'!D16</f>
        <v>44634.17</v>
      </c>
    </row>
    <row r="24" spans="2:4" x14ac:dyDescent="0.25">
      <c r="B24" s="85">
        <v>54115</v>
      </c>
      <c r="C24" s="99" t="s">
        <v>251</v>
      </c>
      <c r="D24" s="98">
        <f>'FODES 75% GASTO'!D24</f>
        <v>2500</v>
      </c>
    </row>
    <row r="25" spans="2:4" x14ac:dyDescent="0.25">
      <c r="B25" s="85">
        <v>54118</v>
      </c>
      <c r="C25" s="99" t="s">
        <v>291</v>
      </c>
      <c r="D25" s="98">
        <f>'FODES 75% GASTO'!D25+'FODES 2% GASTO'!D17</f>
        <v>9749.880000000001</v>
      </c>
    </row>
    <row r="26" spans="2:4" x14ac:dyDescent="0.25">
      <c r="B26" s="85">
        <v>54199</v>
      </c>
      <c r="C26" s="99" t="s">
        <v>253</v>
      </c>
      <c r="D26" s="98">
        <f>'FODES 75% GASTO'!D26+'FODES 2% GASTO'!D18</f>
        <v>18000</v>
      </c>
    </row>
    <row r="27" spans="2:4" x14ac:dyDescent="0.25">
      <c r="B27" s="76">
        <v>543</v>
      </c>
      <c r="C27" s="101" t="s">
        <v>254</v>
      </c>
      <c r="D27" s="96">
        <f>SUM(D28:D32)</f>
        <v>107000</v>
      </c>
    </row>
    <row r="28" spans="2:4" x14ac:dyDescent="0.25">
      <c r="B28" s="85">
        <v>54304</v>
      </c>
      <c r="C28" s="99" t="s">
        <v>354</v>
      </c>
      <c r="D28" s="98">
        <f>'FODES 75% GASTO'!D28+'FODES 2% GASTO'!D20</f>
        <v>15000</v>
      </c>
    </row>
    <row r="29" spans="2:4" x14ac:dyDescent="0.25">
      <c r="B29" s="85">
        <v>54313</v>
      </c>
      <c r="C29" s="99" t="s">
        <v>258</v>
      </c>
      <c r="D29" s="98">
        <f>'FODES 75% GASTO'!D29+'FODES 2% GASTO'!D21</f>
        <v>16000</v>
      </c>
    </row>
    <row r="30" spans="2:4" x14ac:dyDescent="0.25">
      <c r="B30" s="85">
        <v>54314</v>
      </c>
      <c r="C30" s="99" t="s">
        <v>259</v>
      </c>
      <c r="D30" s="98">
        <f>'FODES 75% GASTO'!D30</f>
        <v>6000</v>
      </c>
    </row>
    <row r="31" spans="2:4" x14ac:dyDescent="0.25">
      <c r="B31" s="85">
        <v>54316</v>
      </c>
      <c r="C31" s="99" t="s">
        <v>340</v>
      </c>
      <c r="D31" s="98">
        <f>'FODES 75% GASTO'!D31+'FODES 2% GASTO'!D22</f>
        <v>60000</v>
      </c>
    </row>
    <row r="32" spans="2:4" x14ac:dyDescent="0.25">
      <c r="B32" s="85">
        <v>54399</v>
      </c>
      <c r="C32" s="99" t="s">
        <v>260</v>
      </c>
      <c r="D32" s="98">
        <f>'FODES 75% GASTO'!D32+'FODES 2% GASTO'!D23</f>
        <v>10000</v>
      </c>
    </row>
    <row r="33" spans="2:4" x14ac:dyDescent="0.25">
      <c r="B33" s="76">
        <v>545</v>
      </c>
      <c r="C33" s="101" t="s">
        <v>261</v>
      </c>
      <c r="D33" s="96">
        <f>SUM(D34)</f>
        <v>25000</v>
      </c>
    </row>
    <row r="34" spans="2:4" x14ac:dyDescent="0.25">
      <c r="B34" s="85">
        <v>54599</v>
      </c>
      <c r="C34" s="99" t="s">
        <v>365</v>
      </c>
      <c r="D34" s="98">
        <f>'FODES 75% GASTO'!D34+'FODES 2% GASTO'!D25</f>
        <v>25000</v>
      </c>
    </row>
    <row r="35" spans="2:4" x14ac:dyDescent="0.25">
      <c r="B35" s="76">
        <v>55</v>
      </c>
      <c r="C35" s="101" t="s">
        <v>129</v>
      </c>
      <c r="D35" s="96">
        <f>SUM(D36)</f>
        <v>550</v>
      </c>
    </row>
    <row r="36" spans="2:4" x14ac:dyDescent="0.25">
      <c r="B36" s="76">
        <v>556</v>
      </c>
      <c r="C36" s="101" t="s">
        <v>366</v>
      </c>
      <c r="D36" s="96">
        <f>SUM(D37)</f>
        <v>550</v>
      </c>
    </row>
    <row r="37" spans="2:4" x14ac:dyDescent="0.25">
      <c r="B37" s="85">
        <v>55603</v>
      </c>
      <c r="C37" s="99" t="s">
        <v>319</v>
      </c>
      <c r="D37" s="98">
        <f>'FODES 75% GASTO'!D37+'FODES 2% GASTO'!D28</f>
        <v>550</v>
      </c>
    </row>
    <row r="38" spans="2:4" x14ac:dyDescent="0.25">
      <c r="B38" s="76">
        <v>61</v>
      </c>
      <c r="C38" s="101" t="s">
        <v>277</v>
      </c>
      <c r="D38" s="96">
        <f t="shared" ref="D38" si="0">SUM(D39)</f>
        <v>4305270.1599999992</v>
      </c>
    </row>
    <row r="39" spans="2:4" x14ac:dyDescent="0.25">
      <c r="B39" s="76">
        <v>616</v>
      </c>
      <c r="C39" s="338" t="s">
        <v>367</v>
      </c>
      <c r="D39" s="96">
        <f>SUM(D40+D41)</f>
        <v>4305270.1599999992</v>
      </c>
    </row>
    <row r="40" spans="2:4" x14ac:dyDescent="0.25">
      <c r="B40" s="85">
        <v>61608</v>
      </c>
      <c r="C40" s="99" t="s">
        <v>368</v>
      </c>
      <c r="D40" s="98">
        <f>'FODES 75% GASTO'!D40+'FODES 2% GASTO'!D31</f>
        <v>30041.1</v>
      </c>
    </row>
    <row r="41" spans="2:4" x14ac:dyDescent="0.25">
      <c r="B41" s="85">
        <v>61699</v>
      </c>
      <c r="C41" s="99" t="s">
        <v>369</v>
      </c>
      <c r="D41" s="98">
        <f>'FODES 75% GASTO'!D41+'FODES 2% GASTO'!D32</f>
        <v>4275229.0599999996</v>
      </c>
    </row>
    <row r="42" spans="2:4" x14ac:dyDescent="0.25">
      <c r="B42" s="85"/>
      <c r="C42" s="99"/>
      <c r="D42" s="98"/>
    </row>
    <row r="43" spans="2:4" x14ac:dyDescent="0.25">
      <c r="B43" s="85"/>
      <c r="C43" s="101" t="s">
        <v>69</v>
      </c>
      <c r="D43" s="96">
        <f>SUM(D12+D15+D35+D38)</f>
        <v>4621704.209999999</v>
      </c>
    </row>
    <row r="44" spans="2:4" x14ac:dyDescent="0.25">
      <c r="B44" s="85"/>
      <c r="C44" s="99"/>
      <c r="D44" s="98"/>
    </row>
    <row r="45" spans="2:4" x14ac:dyDescent="0.25">
      <c r="B45" s="76"/>
      <c r="C45" s="101" t="s">
        <v>60</v>
      </c>
      <c r="D45" s="96">
        <f>SUM(D12+D15+D35+D38)</f>
        <v>4621704.209999999</v>
      </c>
    </row>
    <row r="46" spans="2:4" x14ac:dyDescent="0.25">
      <c r="B46" s="76"/>
      <c r="C46" s="101" t="s">
        <v>61</v>
      </c>
      <c r="D46" s="96">
        <f>SUM(D13+D16+D27+D33+D36+D39)</f>
        <v>4621704.209999999</v>
      </c>
    </row>
    <row r="47" spans="2:4" x14ac:dyDescent="0.25">
      <c r="B47" s="76"/>
      <c r="C47" s="101" t="s">
        <v>62</v>
      </c>
      <c r="D47" s="96">
        <f>SUM(D14+D17+D18+D19+D20+D21+D22+D23+D24+D25+D26+D28+D29+D30+D31+D32+D34+D37+D40+D41)</f>
        <v>4621704.21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topLeftCell="A7" zoomScaleNormal="100" workbookViewId="0">
      <selection activeCell="C38" sqref="C38"/>
    </sheetView>
  </sheetViews>
  <sheetFormatPr baseColWidth="10" defaultRowHeight="15" x14ac:dyDescent="0.25"/>
  <cols>
    <col min="1" max="1" width="7.28515625" style="193" customWidth="1"/>
    <col min="2" max="2" width="30.7109375" style="193" customWidth="1"/>
    <col min="3" max="3" width="22.28515625" style="193" customWidth="1"/>
    <col min="4" max="4" width="18.85546875" style="193" customWidth="1"/>
    <col min="5" max="16384" width="11.42578125" style="193"/>
  </cols>
  <sheetData>
    <row r="2" spans="2:4" ht="18" x14ac:dyDescent="0.25">
      <c r="B2" s="401" t="s">
        <v>433</v>
      </c>
      <c r="C2" s="402"/>
      <c r="D2" s="403"/>
    </row>
    <row r="3" spans="2:4" ht="18" x14ac:dyDescent="0.25">
      <c r="B3" s="187" t="s">
        <v>134</v>
      </c>
      <c r="C3" s="187" t="s">
        <v>394</v>
      </c>
      <c r="D3" s="187" t="s">
        <v>135</v>
      </c>
    </row>
    <row r="4" spans="2:4" ht="15.75" x14ac:dyDescent="0.25">
      <c r="B4" s="262" t="s">
        <v>136</v>
      </c>
      <c r="C4" s="271">
        <f>+'CONCEJO MPAL'!D62</f>
        <v>196084.4</v>
      </c>
      <c r="D4" s="271">
        <f>'CONCEJO MPAL'!E60</f>
        <v>136002.72</v>
      </c>
    </row>
    <row r="5" spans="2:4" ht="15.75" x14ac:dyDescent="0.25">
      <c r="B5" s="262" t="s">
        <v>164</v>
      </c>
      <c r="C5" s="271">
        <f>'GESTION Y COOPERACION'!D28</f>
        <v>20258.75</v>
      </c>
      <c r="D5" s="271">
        <f>+'GESTION Y COOPERACION'!E30</f>
        <v>0</v>
      </c>
    </row>
    <row r="6" spans="2:4" ht="15.75" x14ac:dyDescent="0.25">
      <c r="B6" s="262" t="s">
        <v>137</v>
      </c>
      <c r="C6" s="271">
        <f>+DESPACHO!D56</f>
        <v>115511.5</v>
      </c>
      <c r="D6" s="271">
        <f>+DESPACHO!E54</f>
        <v>86374.52</v>
      </c>
    </row>
    <row r="7" spans="2:4" ht="15.75" x14ac:dyDescent="0.25">
      <c r="B7" s="262" t="s">
        <v>138</v>
      </c>
      <c r="C7" s="271">
        <f>+SINDICATURA!D31</f>
        <v>9605</v>
      </c>
      <c r="D7" s="271">
        <f>SINDICATURA!E29</f>
        <v>8370</v>
      </c>
    </row>
    <row r="8" spans="2:4" ht="15.75" x14ac:dyDescent="0.25">
      <c r="B8" s="262" t="s">
        <v>139</v>
      </c>
      <c r="C8" s="271">
        <f>+SECRETARIA!D35</f>
        <v>26992.85</v>
      </c>
      <c r="D8" s="271">
        <f>SECRETARIA!E33</f>
        <v>10904.75</v>
      </c>
    </row>
    <row r="9" spans="2:4" ht="15.75" x14ac:dyDescent="0.25">
      <c r="B9" s="262" t="s">
        <v>140</v>
      </c>
      <c r="C9" s="271">
        <f>+JURIDICO!D35</f>
        <v>14530</v>
      </c>
      <c r="D9" s="271">
        <f>JURIDICO!E33</f>
        <v>7440</v>
      </c>
    </row>
    <row r="10" spans="2:4" ht="15.75" x14ac:dyDescent="0.25">
      <c r="B10" s="262" t="s">
        <v>141</v>
      </c>
      <c r="C10" s="271">
        <f>+GERENCIA!D38</f>
        <v>21939.5</v>
      </c>
      <c r="D10" s="271">
        <f>GERENCIA!E36</f>
        <v>12404.5</v>
      </c>
    </row>
    <row r="11" spans="2:4" ht="15.75" x14ac:dyDescent="0.25">
      <c r="B11" s="262" t="s">
        <v>142</v>
      </c>
      <c r="C11" s="271">
        <f>+AUDITORIA!D34</f>
        <v>6378.25</v>
      </c>
      <c r="D11" s="271">
        <f>AUDITORIA!E32</f>
        <v>5231.25</v>
      </c>
    </row>
    <row r="12" spans="2:4" ht="15.75" x14ac:dyDescent="0.25">
      <c r="B12" s="262" t="s">
        <v>143</v>
      </c>
      <c r="C12" s="271">
        <f>+RRHH!D39</f>
        <v>67245.73</v>
      </c>
      <c r="D12" s="271">
        <f>RRHH!E37</f>
        <v>7928.25</v>
      </c>
    </row>
    <row r="13" spans="2:4" ht="15.75" x14ac:dyDescent="0.25">
      <c r="B13" s="262" t="s">
        <v>144</v>
      </c>
      <c r="C13" s="271">
        <f>+CONTABILIDAD!D32</f>
        <v>12831</v>
      </c>
      <c r="D13" s="271">
        <f>CONTABILIDAD!E30</f>
        <v>10392.75</v>
      </c>
    </row>
    <row r="14" spans="2:4" ht="15.75" x14ac:dyDescent="0.25">
      <c r="B14" s="262" t="s">
        <v>145</v>
      </c>
      <c r="C14" s="271">
        <f>+PRESUPUESTO!D31</f>
        <v>11972.5</v>
      </c>
      <c r="D14" s="271">
        <f>PRESUPUESTO!E29</f>
        <v>8509.5</v>
      </c>
    </row>
    <row r="15" spans="2:4" ht="15.75" x14ac:dyDescent="0.25">
      <c r="B15" s="262" t="s">
        <v>146</v>
      </c>
      <c r="C15" s="271">
        <f>+TESORERIA!D37</f>
        <v>36669.58</v>
      </c>
      <c r="D15" s="271">
        <f>TESORERIA!E35</f>
        <v>27314.949999999997</v>
      </c>
    </row>
    <row r="16" spans="2:4" ht="15.75" x14ac:dyDescent="0.25">
      <c r="B16" s="262" t="s">
        <v>147</v>
      </c>
      <c r="C16" s="271">
        <f>+UATM!D39</f>
        <v>69671.932499999995</v>
      </c>
      <c r="D16" s="271">
        <f>UATM!E37</f>
        <v>12909.5625</v>
      </c>
    </row>
    <row r="17" spans="2:7" ht="15.75" x14ac:dyDescent="0.25">
      <c r="B17" s="262" t="s">
        <v>148</v>
      </c>
      <c r="C17" s="271">
        <f>+UACI!D31</f>
        <v>18984.875</v>
      </c>
      <c r="D17" s="271">
        <f>UACI!E29</f>
        <v>6242.625</v>
      </c>
    </row>
    <row r="18" spans="2:7" ht="15.75" x14ac:dyDescent="0.25">
      <c r="B18" s="262" t="s">
        <v>149</v>
      </c>
      <c r="C18" s="271">
        <f>+MERCADO!D37</f>
        <v>18085.849999999999</v>
      </c>
      <c r="D18" s="271">
        <f>MERCADO!E35</f>
        <v>11367.5</v>
      </c>
    </row>
    <row r="19" spans="2:7" ht="15.75" x14ac:dyDescent="0.25">
      <c r="B19" s="262" t="s">
        <v>150</v>
      </c>
      <c r="C19" s="271">
        <f>+'REGISTRO FAM'!D35</f>
        <v>21196.440000000002</v>
      </c>
      <c r="D19" s="271">
        <f>'REGISTRO FAM'!E33</f>
        <v>16251.75</v>
      </c>
    </row>
    <row r="20" spans="2:7" ht="15.75" x14ac:dyDescent="0.25">
      <c r="B20" s="262" t="s">
        <v>151</v>
      </c>
      <c r="C20" s="271">
        <f>+CEMENTERIO!D36</f>
        <v>6690.55</v>
      </c>
      <c r="D20" s="271">
        <f>CEMENTERIO!E34</f>
        <v>4314</v>
      </c>
    </row>
    <row r="21" spans="2:7" ht="15.75" x14ac:dyDescent="0.25">
      <c r="B21" s="262" t="s">
        <v>152</v>
      </c>
      <c r="C21" s="271">
        <f>+DISTRITO!D45</f>
        <v>48850.29</v>
      </c>
      <c r="D21" s="271">
        <f>DISTRITO!E43</f>
        <v>47692.75</v>
      </c>
    </row>
    <row r="22" spans="2:7" ht="15.75" x14ac:dyDescent="0.25">
      <c r="B22" s="262" t="s">
        <v>153</v>
      </c>
      <c r="C22" s="271">
        <f>+PROYECTOS!D39</f>
        <v>39295.47</v>
      </c>
      <c r="D22" s="271">
        <f>PROYECTOS!E39</f>
        <v>69179.42</v>
      </c>
      <c r="G22" s="193" t="s">
        <v>383</v>
      </c>
    </row>
    <row r="23" spans="2:7" ht="15.75" x14ac:dyDescent="0.25">
      <c r="B23" s="262" t="s">
        <v>154</v>
      </c>
      <c r="C23" s="271">
        <f>+'ACCESO A LA INF PUBLICA'!D35</f>
        <v>4622.96</v>
      </c>
      <c r="D23" s="271">
        <f>'ACCESO A LA INF PUBLICA'!E33</f>
        <v>3487.5</v>
      </c>
    </row>
    <row r="24" spans="2:7" ht="15.75" x14ac:dyDescent="0.25">
      <c r="B24" s="262" t="s">
        <v>155</v>
      </c>
      <c r="C24" s="271">
        <f>+'DESARROLLO TEC.'!D36</f>
        <v>8385</v>
      </c>
      <c r="D24" s="271">
        <f>'DESARROLLO TEC.'!E34</f>
        <v>6185</v>
      </c>
    </row>
    <row r="25" spans="2:7" ht="15.75" x14ac:dyDescent="0.25">
      <c r="B25" s="262" t="s">
        <v>156</v>
      </c>
      <c r="C25" s="271">
        <f>+COMUNICACIONES!D37</f>
        <v>32247.65</v>
      </c>
      <c r="D25" s="271">
        <f>COMUNICACIONES!E35</f>
        <v>9765</v>
      </c>
    </row>
    <row r="26" spans="2:7" ht="15.75" x14ac:dyDescent="0.25">
      <c r="B26" s="262" t="s">
        <v>157</v>
      </c>
      <c r="C26" s="271">
        <f>+CAM!D37</f>
        <v>133185</v>
      </c>
      <c r="D26" s="271">
        <f>+CAM!E37</f>
        <v>113365</v>
      </c>
    </row>
    <row r="27" spans="2:7" ht="15.75" x14ac:dyDescent="0.25">
      <c r="B27" s="262" t="s">
        <v>158</v>
      </c>
      <c r="C27" s="271">
        <f>+DHI!D40</f>
        <v>76598.75</v>
      </c>
      <c r="D27" s="271">
        <f>DHI!E38</f>
        <v>56148.75</v>
      </c>
    </row>
    <row r="28" spans="2:7" ht="15.75" x14ac:dyDescent="0.25">
      <c r="B28" s="262" t="s">
        <v>159</v>
      </c>
      <c r="C28" s="271">
        <f>+SG!D52</f>
        <v>326877.33</v>
      </c>
      <c r="D28" s="271">
        <f>+SG!E50</f>
        <v>387035.61</v>
      </c>
    </row>
    <row r="29" spans="2:7" ht="15.75" x14ac:dyDescent="0.25">
      <c r="B29" s="262" t="s">
        <v>160</v>
      </c>
      <c r="C29" s="271">
        <f>+'MEDIO AMBIENTE'!D41</f>
        <v>21360.5</v>
      </c>
      <c r="D29" s="271">
        <f>'MEDIO AMBIENTE'!E39</f>
        <v>15057.5</v>
      </c>
    </row>
    <row r="30" spans="2:7" ht="15.75" x14ac:dyDescent="0.25">
      <c r="B30" s="262" t="s">
        <v>161</v>
      </c>
      <c r="C30" s="271">
        <f>+'GESTION DE RIESGO'!D41</f>
        <v>30342.07</v>
      </c>
      <c r="D30" s="271">
        <f>+'GESTION DE RIESGO'!E39</f>
        <v>35331.31</v>
      </c>
    </row>
    <row r="31" spans="2:7" ht="15.75" x14ac:dyDescent="0.25">
      <c r="B31" s="262" t="s">
        <v>162</v>
      </c>
      <c r="C31" s="271">
        <f>+UDEL!D31</f>
        <v>21732.5</v>
      </c>
      <c r="D31" s="271">
        <f>UDEL!E29</f>
        <v>5580</v>
      </c>
    </row>
    <row r="32" spans="2:7" ht="15.75" x14ac:dyDescent="0.25">
      <c r="B32" s="262" t="s">
        <v>163</v>
      </c>
      <c r="C32" s="271">
        <f>'PROMOCION SOCIAL'!D37</f>
        <v>91656.25</v>
      </c>
      <c r="D32" s="271">
        <f>'PROMOCION SOCIAL'!E37</f>
        <v>82016.25</v>
      </c>
    </row>
    <row r="33" spans="2:4" ht="15.75" x14ac:dyDescent="0.25">
      <c r="B33" s="265" t="s">
        <v>165</v>
      </c>
      <c r="C33" s="272">
        <f>SUM(C4:C32)+C34</f>
        <v>1555708.4475</v>
      </c>
      <c r="D33" s="272">
        <f>SUM(D4:D32)</f>
        <v>1202802.7175</v>
      </c>
    </row>
    <row r="34" spans="2:4" ht="15.75" x14ac:dyDescent="0.25">
      <c r="B34" s="262" t="s">
        <v>396</v>
      </c>
      <c r="C34" s="271">
        <f>DONACIONES!D9</f>
        <v>45905.969999999994</v>
      </c>
      <c r="D34" s="271">
        <v>0</v>
      </c>
    </row>
    <row r="35" spans="2:4" ht="15.75" x14ac:dyDescent="0.25">
      <c r="B35" s="265" t="s">
        <v>166</v>
      </c>
      <c r="C35" s="272">
        <f>'PRESU INGRESOS'!F71</f>
        <v>1555708.4499999997</v>
      </c>
      <c r="D35" s="273">
        <f>'PRESU INGRESOS'!E48+'PRESU INGRESOS'!E61+412663.21</f>
        <v>1202802.72</v>
      </c>
    </row>
    <row r="36" spans="2:4" x14ac:dyDescent="0.25">
      <c r="D36" s="339"/>
    </row>
    <row r="37" spans="2:4" x14ac:dyDescent="0.25">
      <c r="D37" s="333"/>
    </row>
    <row r="41" spans="2:4" x14ac:dyDescent="0.25">
      <c r="D41" s="333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7"/>
  <sheetViews>
    <sheetView workbookViewId="0">
      <pane ySplit="11" topLeftCell="A36" activePane="bottomLeft" state="frozen"/>
      <selection pane="bottomLeft" activeCell="D46" sqref="D46"/>
    </sheetView>
  </sheetViews>
  <sheetFormatPr baseColWidth="10" defaultRowHeight="15" x14ac:dyDescent="0.25"/>
  <cols>
    <col min="1" max="1" width="7.42578125" style="28" customWidth="1"/>
    <col min="2" max="2" width="8.7109375" style="28" customWidth="1"/>
    <col min="3" max="3" width="49" style="28" customWidth="1"/>
    <col min="4" max="4" width="23.570312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140"/>
      <c r="D6" s="140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219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92" t="s">
        <v>228</v>
      </c>
    </row>
    <row r="11" spans="2:4" x14ac:dyDescent="0.25">
      <c r="B11" s="454"/>
      <c r="C11" s="454"/>
      <c r="D11" s="92" t="s">
        <v>361</v>
      </c>
    </row>
    <row r="12" spans="2:4" x14ac:dyDescent="0.25">
      <c r="B12" s="71">
        <v>51</v>
      </c>
      <c r="C12" s="100" t="s">
        <v>127</v>
      </c>
      <c r="D12" s="94">
        <f>SUM(D13)</f>
        <v>10000</v>
      </c>
    </row>
    <row r="13" spans="2:4" x14ac:dyDescent="0.25">
      <c r="B13" s="109">
        <v>512</v>
      </c>
      <c r="C13" s="100" t="s">
        <v>311</v>
      </c>
      <c r="D13" s="96">
        <f>SUM(D14:D14)</f>
        <v>10000</v>
      </c>
    </row>
    <row r="14" spans="2:4" x14ac:dyDescent="0.25">
      <c r="B14" s="79">
        <v>51202</v>
      </c>
      <c r="C14" s="138" t="s">
        <v>362</v>
      </c>
      <c r="D14" s="98">
        <v>10000</v>
      </c>
    </row>
    <row r="15" spans="2:4" x14ac:dyDescent="0.25">
      <c r="B15" s="76">
        <v>54</v>
      </c>
      <c r="C15" s="101" t="s">
        <v>282</v>
      </c>
      <c r="D15" s="96">
        <f>SUM(D16+D27+D33)</f>
        <v>159377.60000000001</v>
      </c>
    </row>
    <row r="16" spans="2:4" x14ac:dyDescent="0.25">
      <c r="B16" s="76">
        <v>541</v>
      </c>
      <c r="C16" s="101" t="s">
        <v>283</v>
      </c>
      <c r="D16" s="96">
        <f>SUM(D17:D26)</f>
        <v>95377.600000000006</v>
      </c>
    </row>
    <row r="17" spans="2:4" x14ac:dyDescent="0.25">
      <c r="B17" s="85">
        <v>54101</v>
      </c>
      <c r="C17" s="99" t="s">
        <v>243</v>
      </c>
      <c r="D17" s="98">
        <v>5000</v>
      </c>
    </row>
    <row r="18" spans="2:4" x14ac:dyDescent="0.25">
      <c r="B18" s="85">
        <v>54104</v>
      </c>
      <c r="C18" s="99" t="s">
        <v>245</v>
      </c>
      <c r="D18" s="98">
        <v>1000</v>
      </c>
    </row>
    <row r="19" spans="2:4" x14ac:dyDescent="0.25">
      <c r="B19" s="85">
        <v>54105</v>
      </c>
      <c r="C19" s="99" t="s">
        <v>246</v>
      </c>
      <c r="D19" s="98">
        <v>1000</v>
      </c>
    </row>
    <row r="20" spans="2:4" x14ac:dyDescent="0.25">
      <c r="B20" s="85">
        <v>54107</v>
      </c>
      <c r="C20" s="99" t="s">
        <v>330</v>
      </c>
      <c r="D20" s="98">
        <v>7000</v>
      </c>
    </row>
    <row r="21" spans="2:4" x14ac:dyDescent="0.25">
      <c r="B21" s="85">
        <v>54110</v>
      </c>
      <c r="C21" s="99" t="s">
        <v>327</v>
      </c>
      <c r="D21" s="98">
        <v>10000</v>
      </c>
    </row>
    <row r="22" spans="2:4" x14ac:dyDescent="0.25">
      <c r="B22" s="85">
        <v>54111</v>
      </c>
      <c r="C22" s="99" t="s">
        <v>363</v>
      </c>
      <c r="D22" s="98">
        <v>35000</v>
      </c>
    </row>
    <row r="23" spans="2:4" x14ac:dyDescent="0.25">
      <c r="B23" s="85">
        <v>54112</v>
      </c>
      <c r="C23" s="99" t="s">
        <v>364</v>
      </c>
      <c r="D23" s="98">
        <v>23127.72</v>
      </c>
    </row>
    <row r="24" spans="2:4" x14ac:dyDescent="0.25">
      <c r="B24" s="85">
        <v>54115</v>
      </c>
      <c r="C24" s="99" t="s">
        <v>251</v>
      </c>
      <c r="D24" s="98">
        <v>2500</v>
      </c>
    </row>
    <row r="25" spans="2:4" x14ac:dyDescent="0.25">
      <c r="B25" s="85">
        <v>54118</v>
      </c>
      <c r="C25" s="99" t="s">
        <v>291</v>
      </c>
      <c r="D25" s="98">
        <v>1749.88</v>
      </c>
    </row>
    <row r="26" spans="2:4" x14ac:dyDescent="0.25">
      <c r="B26" s="85">
        <v>54199</v>
      </c>
      <c r="C26" s="99" t="s">
        <v>253</v>
      </c>
      <c r="D26" s="98">
        <v>9000</v>
      </c>
    </row>
    <row r="27" spans="2:4" x14ac:dyDescent="0.25">
      <c r="B27" s="76">
        <v>543</v>
      </c>
      <c r="C27" s="101" t="s">
        <v>254</v>
      </c>
      <c r="D27" s="96">
        <f>SUM(D28:D32)</f>
        <v>49000</v>
      </c>
    </row>
    <row r="28" spans="2:4" x14ac:dyDescent="0.25">
      <c r="B28" s="85">
        <v>54304</v>
      </c>
      <c r="C28" s="99" t="s">
        <v>354</v>
      </c>
      <c r="D28" s="98">
        <v>5000</v>
      </c>
    </row>
    <row r="29" spans="2:4" x14ac:dyDescent="0.25">
      <c r="B29" s="85">
        <v>54313</v>
      </c>
      <c r="C29" s="99" t="s">
        <v>258</v>
      </c>
      <c r="D29" s="98">
        <v>3000</v>
      </c>
    </row>
    <row r="30" spans="2:4" x14ac:dyDescent="0.25">
      <c r="B30" s="85">
        <v>54314</v>
      </c>
      <c r="C30" s="99" t="s">
        <v>259</v>
      </c>
      <c r="D30" s="98">
        <v>6000</v>
      </c>
    </row>
    <row r="31" spans="2:4" x14ac:dyDescent="0.25">
      <c r="B31" s="85">
        <v>54316</v>
      </c>
      <c r="C31" s="99" t="s">
        <v>340</v>
      </c>
      <c r="D31" s="98">
        <v>30000</v>
      </c>
    </row>
    <row r="32" spans="2:4" x14ac:dyDescent="0.25">
      <c r="B32" s="85">
        <v>54399</v>
      </c>
      <c r="C32" s="99" t="s">
        <v>260</v>
      </c>
      <c r="D32" s="98">
        <v>5000</v>
      </c>
    </row>
    <row r="33" spans="2:4" x14ac:dyDescent="0.25">
      <c r="B33" s="76">
        <v>545</v>
      </c>
      <c r="C33" s="101" t="s">
        <v>261</v>
      </c>
      <c r="D33" s="96">
        <f>SUM(D34)</f>
        <v>15000</v>
      </c>
    </row>
    <row r="34" spans="2:4" x14ac:dyDescent="0.25">
      <c r="B34" s="85">
        <v>54599</v>
      </c>
      <c r="C34" s="99" t="s">
        <v>365</v>
      </c>
      <c r="D34" s="98">
        <v>15000</v>
      </c>
    </row>
    <row r="35" spans="2:4" x14ac:dyDescent="0.25">
      <c r="B35" s="76">
        <v>55</v>
      </c>
      <c r="C35" s="101" t="s">
        <v>129</v>
      </c>
      <c r="D35" s="96">
        <f>SUM(D36)</f>
        <v>500</v>
      </c>
    </row>
    <row r="36" spans="2:4" x14ac:dyDescent="0.25">
      <c r="B36" s="76">
        <v>556</v>
      </c>
      <c r="C36" s="101" t="s">
        <v>366</v>
      </c>
      <c r="D36" s="96">
        <f>SUM(D37)</f>
        <v>500</v>
      </c>
    </row>
    <row r="37" spans="2:4" x14ac:dyDescent="0.25">
      <c r="B37" s="85">
        <v>55603</v>
      </c>
      <c r="C37" s="99" t="s">
        <v>319</v>
      </c>
      <c r="D37" s="98">
        <v>500</v>
      </c>
    </row>
    <row r="38" spans="2:4" x14ac:dyDescent="0.25">
      <c r="B38" s="76">
        <v>61</v>
      </c>
      <c r="C38" s="101" t="s">
        <v>277</v>
      </c>
      <c r="D38" s="96">
        <f t="shared" ref="D38" si="0">SUM(D39)</f>
        <v>2996026.65</v>
      </c>
    </row>
    <row r="39" spans="2:4" x14ac:dyDescent="0.25">
      <c r="B39" s="76">
        <v>616</v>
      </c>
      <c r="C39" s="338" t="s">
        <v>367</v>
      </c>
      <c r="D39" s="96">
        <f>SUM(D40+D41)</f>
        <v>2996026.65</v>
      </c>
    </row>
    <row r="40" spans="2:4" x14ac:dyDescent="0.25">
      <c r="B40" s="85">
        <v>61608</v>
      </c>
      <c r="C40" s="99" t="s">
        <v>368</v>
      </c>
      <c r="D40" s="98">
        <v>25041.1</v>
      </c>
    </row>
    <row r="41" spans="2:4" x14ac:dyDescent="0.25">
      <c r="B41" s="85">
        <v>61699</v>
      </c>
      <c r="C41" s="99" t="s">
        <v>369</v>
      </c>
      <c r="D41" s="98">
        <v>2970985.55</v>
      </c>
    </row>
    <row r="42" spans="2:4" x14ac:dyDescent="0.25">
      <c r="B42" s="85"/>
      <c r="C42" s="99"/>
      <c r="D42" s="98"/>
    </row>
    <row r="43" spans="2:4" x14ac:dyDescent="0.25">
      <c r="B43" s="85"/>
      <c r="C43" s="101" t="s">
        <v>69</v>
      </c>
      <c r="D43" s="96">
        <f>SUM(D12+D15+D35+D38)</f>
        <v>3165904.25</v>
      </c>
    </row>
    <row r="44" spans="2:4" x14ac:dyDescent="0.25">
      <c r="B44" s="85"/>
      <c r="C44" s="99"/>
      <c r="D44" s="98"/>
    </row>
    <row r="45" spans="2:4" x14ac:dyDescent="0.25">
      <c r="B45" s="76"/>
      <c r="C45" s="101" t="s">
        <v>60</v>
      </c>
      <c r="D45" s="96">
        <f>SUM(D12+D15+D35+D38)</f>
        <v>3165904.25</v>
      </c>
    </row>
    <row r="46" spans="2:4" x14ac:dyDescent="0.25">
      <c r="B46" s="76"/>
      <c r="C46" s="101" t="s">
        <v>61</v>
      </c>
      <c r="D46" s="96">
        <f>SUM(D13+D16+D27+D33+D36+D39)</f>
        <v>3165904.25</v>
      </c>
    </row>
    <row r="47" spans="2:4" x14ac:dyDescent="0.25">
      <c r="B47" s="76"/>
      <c r="C47" s="101" t="s">
        <v>62</v>
      </c>
      <c r="D47" s="96">
        <f>SUM(D14+D17+D18+D19+D20+D21+D22+D23+D24+D25+D26+D28+D29+D30+D31+D32+D34+D37+D40+D41)</f>
        <v>3165904.25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pane ySplit="11" topLeftCell="A27" activePane="bottomLeft" state="frozen"/>
      <selection pane="bottomLeft" activeCell="E38" sqref="E38"/>
    </sheetView>
  </sheetViews>
  <sheetFormatPr baseColWidth="10" defaultRowHeight="15" x14ac:dyDescent="0.25"/>
  <cols>
    <col min="1" max="1" width="7.42578125" style="28" customWidth="1"/>
    <col min="2" max="2" width="8.7109375" style="28" customWidth="1"/>
    <col min="3" max="3" width="49" style="28" customWidth="1"/>
    <col min="4" max="4" width="23.570312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336"/>
      <c r="D6" s="336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409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335" t="s">
        <v>228</v>
      </c>
    </row>
    <row r="11" spans="2:4" x14ac:dyDescent="0.25">
      <c r="B11" s="454"/>
      <c r="C11" s="454"/>
      <c r="D11" s="335" t="s">
        <v>411</v>
      </c>
    </row>
    <row r="12" spans="2:4" x14ac:dyDescent="0.25">
      <c r="B12" s="76">
        <v>54</v>
      </c>
      <c r="C12" s="101" t="s">
        <v>282</v>
      </c>
      <c r="D12" s="96">
        <f>SUM(D13+D19+D24)</f>
        <v>146506.45000000001</v>
      </c>
    </row>
    <row r="13" spans="2:4" x14ac:dyDescent="0.25">
      <c r="B13" s="76">
        <v>541</v>
      </c>
      <c r="C13" s="101" t="s">
        <v>283</v>
      </c>
      <c r="D13" s="96">
        <f>SUM(D14:D18)</f>
        <v>78506.45</v>
      </c>
    </row>
    <row r="14" spans="2:4" x14ac:dyDescent="0.25">
      <c r="B14" s="85">
        <v>54107</v>
      </c>
      <c r="C14" s="99" t="s">
        <v>330</v>
      </c>
      <c r="D14" s="98">
        <v>5000</v>
      </c>
    </row>
    <row r="15" spans="2:4" x14ac:dyDescent="0.25">
      <c r="B15" s="85">
        <v>54111</v>
      </c>
      <c r="C15" s="99" t="s">
        <v>363</v>
      </c>
      <c r="D15" s="98">
        <v>35000</v>
      </c>
    </row>
    <row r="16" spans="2:4" x14ac:dyDescent="0.25">
      <c r="B16" s="85">
        <v>54112</v>
      </c>
      <c r="C16" s="99" t="s">
        <v>364</v>
      </c>
      <c r="D16" s="98">
        <v>21506.45</v>
      </c>
    </row>
    <row r="17" spans="2:4" x14ac:dyDescent="0.25">
      <c r="B17" s="85">
        <v>54118</v>
      </c>
      <c r="C17" s="99" t="s">
        <v>291</v>
      </c>
      <c r="D17" s="98">
        <v>8000</v>
      </c>
    </row>
    <row r="18" spans="2:4" x14ac:dyDescent="0.25">
      <c r="B18" s="85">
        <v>54199</v>
      </c>
      <c r="C18" s="99" t="s">
        <v>253</v>
      </c>
      <c r="D18" s="98">
        <v>9000</v>
      </c>
    </row>
    <row r="19" spans="2:4" x14ac:dyDescent="0.25">
      <c r="B19" s="76">
        <v>543</v>
      </c>
      <c r="C19" s="101" t="s">
        <v>254</v>
      </c>
      <c r="D19" s="96">
        <f>SUM(D20:D23)</f>
        <v>58000</v>
      </c>
    </row>
    <row r="20" spans="2:4" x14ac:dyDescent="0.25">
      <c r="B20" s="85">
        <v>54304</v>
      </c>
      <c r="C20" s="99" t="s">
        <v>354</v>
      </c>
      <c r="D20" s="98">
        <v>10000</v>
      </c>
    </row>
    <row r="21" spans="2:4" x14ac:dyDescent="0.25">
      <c r="B21" s="85">
        <v>54313</v>
      </c>
      <c r="C21" s="99" t="s">
        <v>258</v>
      </c>
      <c r="D21" s="98">
        <v>13000</v>
      </c>
    </row>
    <row r="22" spans="2:4" x14ac:dyDescent="0.25">
      <c r="B22" s="85">
        <v>54316</v>
      </c>
      <c r="C22" s="99" t="s">
        <v>340</v>
      </c>
      <c r="D22" s="98">
        <v>30000</v>
      </c>
    </row>
    <row r="23" spans="2:4" x14ac:dyDescent="0.25">
      <c r="B23" s="85">
        <v>54399</v>
      </c>
      <c r="C23" s="99" t="s">
        <v>260</v>
      </c>
      <c r="D23" s="98">
        <v>5000</v>
      </c>
    </row>
    <row r="24" spans="2:4" x14ac:dyDescent="0.25">
      <c r="B24" s="76">
        <v>545</v>
      </c>
      <c r="C24" s="101" t="s">
        <v>261</v>
      </c>
      <c r="D24" s="96">
        <f>SUM(D25)</f>
        <v>10000</v>
      </c>
    </row>
    <row r="25" spans="2:4" x14ac:dyDescent="0.25">
      <c r="B25" s="85">
        <v>54599</v>
      </c>
      <c r="C25" s="99" t="s">
        <v>365</v>
      </c>
      <c r="D25" s="98">
        <v>10000</v>
      </c>
    </row>
    <row r="26" spans="2:4" x14ac:dyDescent="0.25">
      <c r="B26" s="76">
        <v>55</v>
      </c>
      <c r="C26" s="101" t="s">
        <v>129</v>
      </c>
      <c r="D26" s="96">
        <f>SUM(D27)</f>
        <v>50</v>
      </c>
    </row>
    <row r="27" spans="2:4" x14ac:dyDescent="0.25">
      <c r="B27" s="76">
        <v>556</v>
      </c>
      <c r="C27" s="101" t="s">
        <v>366</v>
      </c>
      <c r="D27" s="96">
        <f>SUM(D28)</f>
        <v>50</v>
      </c>
    </row>
    <row r="28" spans="2:4" x14ac:dyDescent="0.25">
      <c r="B28" s="85">
        <v>55603</v>
      </c>
      <c r="C28" s="99" t="s">
        <v>319</v>
      </c>
      <c r="D28" s="98">
        <v>50</v>
      </c>
    </row>
    <row r="29" spans="2:4" x14ac:dyDescent="0.25">
      <c r="B29" s="76">
        <v>61</v>
      </c>
      <c r="C29" s="101" t="s">
        <v>277</v>
      </c>
      <c r="D29" s="96">
        <f t="shared" ref="D29" si="0">SUM(D30)</f>
        <v>1309243.51</v>
      </c>
    </row>
    <row r="30" spans="2:4" x14ac:dyDescent="0.25">
      <c r="B30" s="76">
        <v>616</v>
      </c>
      <c r="C30" s="338" t="s">
        <v>367</v>
      </c>
      <c r="D30" s="96">
        <f>SUM(D31+D32)</f>
        <v>1309243.51</v>
      </c>
    </row>
    <row r="31" spans="2:4" x14ac:dyDescent="0.25">
      <c r="B31" s="85">
        <v>61608</v>
      </c>
      <c r="C31" s="99" t="s">
        <v>368</v>
      </c>
      <c r="D31" s="98">
        <v>5000</v>
      </c>
    </row>
    <row r="32" spans="2:4" x14ac:dyDescent="0.25">
      <c r="B32" s="85">
        <v>61699</v>
      </c>
      <c r="C32" s="99" t="s">
        <v>369</v>
      </c>
      <c r="D32" s="98">
        <v>1304243.51</v>
      </c>
    </row>
    <row r="33" spans="2:4" x14ac:dyDescent="0.25">
      <c r="B33" s="85"/>
      <c r="C33" s="99"/>
      <c r="D33" s="98"/>
    </row>
    <row r="34" spans="2:4" x14ac:dyDescent="0.25">
      <c r="B34" s="85"/>
      <c r="C34" s="101" t="s">
        <v>69</v>
      </c>
      <c r="D34" s="96">
        <f>SUM(D12+D26+D29)</f>
        <v>1455799.96</v>
      </c>
    </row>
    <row r="35" spans="2:4" x14ac:dyDescent="0.25">
      <c r="B35" s="85"/>
      <c r="C35" s="99"/>
      <c r="D35" s="98"/>
    </row>
    <row r="36" spans="2:4" x14ac:dyDescent="0.25">
      <c r="B36" s="76"/>
      <c r="C36" s="101" t="s">
        <v>60</v>
      </c>
      <c r="D36" s="96">
        <f>SUM(D12+D26+D29)</f>
        <v>1455799.96</v>
      </c>
    </row>
    <row r="37" spans="2:4" x14ac:dyDescent="0.25">
      <c r="B37" s="76"/>
      <c r="C37" s="101" t="s">
        <v>61</v>
      </c>
      <c r="D37" s="96">
        <f>SUM(D13+D19+D24+D27+D30)</f>
        <v>1455799.96</v>
      </c>
    </row>
    <row r="38" spans="2:4" x14ac:dyDescent="0.25">
      <c r="B38" s="76"/>
      <c r="C38" s="101" t="s">
        <v>62</v>
      </c>
      <c r="D38" s="96">
        <f>SUM(D14+D15+D16+D17+D18+D20+D21+D22+D23+D25+D28+D31+D32)</f>
        <v>1455799.96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9"/>
  <sheetViews>
    <sheetView workbookViewId="0">
      <pane ySplit="11" topLeftCell="A12" activePane="bottomLeft" state="frozen"/>
      <selection pane="bottomLeft" activeCell="E19" sqref="E19"/>
    </sheetView>
  </sheetViews>
  <sheetFormatPr baseColWidth="10" defaultRowHeight="15" x14ac:dyDescent="0.25"/>
  <cols>
    <col min="1" max="1" width="3.5703125" style="28" customWidth="1"/>
    <col min="2" max="2" width="9.7109375" style="28" customWidth="1"/>
    <col min="3" max="3" width="43.7109375" style="28" customWidth="1"/>
    <col min="4" max="4" width="23.710937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140"/>
      <c r="D6" s="140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395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92" t="s">
        <v>228</v>
      </c>
    </row>
    <row r="11" spans="2:4" x14ac:dyDescent="0.25">
      <c r="B11" s="454"/>
      <c r="C11" s="454"/>
      <c r="D11" s="92" t="s">
        <v>410</v>
      </c>
    </row>
    <row r="12" spans="2:4" x14ac:dyDescent="0.25">
      <c r="B12" s="76">
        <v>54</v>
      </c>
      <c r="C12" s="101" t="s">
        <v>282</v>
      </c>
      <c r="D12" s="96">
        <f>SUM(D13+D16+D19)</f>
        <v>45880.969999999994</v>
      </c>
    </row>
    <row r="13" spans="2:4" x14ac:dyDescent="0.25">
      <c r="B13" s="76">
        <v>541</v>
      </c>
      <c r="C13" s="101" t="s">
        <v>283</v>
      </c>
      <c r="D13" s="96">
        <f>SUM(D14:D15)</f>
        <v>32636.859999999997</v>
      </c>
    </row>
    <row r="14" spans="2:4" x14ac:dyDescent="0.25">
      <c r="B14" s="85">
        <v>54101</v>
      </c>
      <c r="C14" s="99" t="s">
        <v>243</v>
      </c>
      <c r="D14" s="98">
        <v>32158.1</v>
      </c>
    </row>
    <row r="15" spans="2:4" x14ac:dyDescent="0.25">
      <c r="B15" s="85">
        <v>54199</v>
      </c>
      <c r="C15" s="99" t="s">
        <v>253</v>
      </c>
      <c r="D15" s="98">
        <v>478.76</v>
      </c>
    </row>
    <row r="16" spans="2:4" x14ac:dyDescent="0.25">
      <c r="B16" s="76">
        <v>543</v>
      </c>
      <c r="C16" s="101" t="s">
        <v>254</v>
      </c>
      <c r="D16" s="96">
        <f>SUM(D17:D18)</f>
        <v>2244.11</v>
      </c>
    </row>
    <row r="17" spans="2:4" x14ac:dyDescent="0.25">
      <c r="B17" s="85">
        <v>54304</v>
      </c>
      <c r="C17" s="99" t="s">
        <v>354</v>
      </c>
      <c r="D17" s="98">
        <v>1600</v>
      </c>
    </row>
    <row r="18" spans="2:4" x14ac:dyDescent="0.25">
      <c r="B18" s="85">
        <v>54399</v>
      </c>
      <c r="C18" s="99" t="s">
        <v>260</v>
      </c>
      <c r="D18" s="98">
        <v>644.11</v>
      </c>
    </row>
    <row r="19" spans="2:4" x14ac:dyDescent="0.25">
      <c r="B19" s="76">
        <v>545</v>
      </c>
      <c r="C19" s="101" t="s">
        <v>261</v>
      </c>
      <c r="D19" s="96">
        <f>SUM(D20)</f>
        <v>11000</v>
      </c>
    </row>
    <row r="20" spans="2:4" x14ac:dyDescent="0.25">
      <c r="B20" s="85">
        <v>54599</v>
      </c>
      <c r="C20" s="99" t="s">
        <v>365</v>
      </c>
      <c r="D20" s="98">
        <v>11000</v>
      </c>
    </row>
    <row r="21" spans="2:4" x14ac:dyDescent="0.25">
      <c r="B21" s="76">
        <v>55</v>
      </c>
      <c r="C21" s="101" t="s">
        <v>129</v>
      </c>
      <c r="D21" s="96">
        <f>SUM(+D22)</f>
        <v>25</v>
      </c>
    </row>
    <row r="22" spans="2:4" x14ac:dyDescent="0.25">
      <c r="B22" s="76">
        <v>556</v>
      </c>
      <c r="C22" s="101" t="s">
        <v>366</v>
      </c>
      <c r="D22" s="96">
        <f>SUM(D23)</f>
        <v>25</v>
      </c>
    </row>
    <row r="23" spans="2:4" x14ac:dyDescent="0.25">
      <c r="B23" s="85">
        <v>55603</v>
      </c>
      <c r="C23" s="99" t="s">
        <v>319</v>
      </c>
      <c r="D23" s="98">
        <v>25</v>
      </c>
    </row>
    <row r="24" spans="2:4" x14ac:dyDescent="0.25">
      <c r="B24" s="85"/>
      <c r="C24" s="99"/>
      <c r="D24" s="98"/>
    </row>
    <row r="25" spans="2:4" x14ac:dyDescent="0.25">
      <c r="B25" s="85"/>
      <c r="C25" s="101" t="s">
        <v>69</v>
      </c>
      <c r="D25" s="96">
        <f>SUM(D12+D21)</f>
        <v>45905.969999999994</v>
      </c>
    </row>
    <row r="26" spans="2:4" x14ac:dyDescent="0.25">
      <c r="B26" s="85"/>
      <c r="C26" s="99"/>
      <c r="D26" s="98"/>
    </row>
    <row r="27" spans="2:4" x14ac:dyDescent="0.25">
      <c r="B27" s="76"/>
      <c r="C27" s="101" t="s">
        <v>60</v>
      </c>
      <c r="D27" s="96">
        <f>SUM(D12+D21)</f>
        <v>45905.969999999994</v>
      </c>
    </row>
    <row r="28" spans="2:4" x14ac:dyDescent="0.25">
      <c r="B28" s="76"/>
      <c r="C28" s="101" t="s">
        <v>61</v>
      </c>
      <c r="D28" s="96">
        <f>SUM(D13+D16+D19+D22)</f>
        <v>45905.969999999994</v>
      </c>
    </row>
    <row r="29" spans="2:4" x14ac:dyDescent="0.25">
      <c r="B29" s="76"/>
      <c r="C29" s="101" t="s">
        <v>62</v>
      </c>
      <c r="D29" s="96">
        <f>SUM(D14+D15+D17+D18+D20+D23)</f>
        <v>45905.97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3"/>
  <sheetViews>
    <sheetView workbookViewId="0">
      <pane ySplit="11" topLeftCell="A12" activePane="bottomLeft" state="frozen"/>
      <selection pane="bottomLeft" activeCell="F45" sqref="F45"/>
    </sheetView>
  </sheetViews>
  <sheetFormatPr baseColWidth="10" defaultRowHeight="15" x14ac:dyDescent="0.25"/>
  <cols>
    <col min="1" max="1" width="5.42578125" style="28" customWidth="1"/>
    <col min="2" max="2" width="9" style="28" customWidth="1"/>
    <col min="3" max="3" width="43" style="28" customWidth="1"/>
    <col min="4" max="4" width="17.570312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140"/>
      <c r="D6" s="140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384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92" t="s">
        <v>228</v>
      </c>
    </row>
    <row r="11" spans="2:4" x14ac:dyDescent="0.25">
      <c r="B11" s="454"/>
      <c r="C11" s="454"/>
      <c r="D11" s="92" t="s">
        <v>361</v>
      </c>
    </row>
    <row r="12" spans="2:4" x14ac:dyDescent="0.25">
      <c r="B12" s="76">
        <v>54</v>
      </c>
      <c r="C12" s="101" t="s">
        <v>282</v>
      </c>
      <c r="D12" s="96">
        <f>SUM(D13+D20+D23)</f>
        <v>49958.14</v>
      </c>
    </row>
    <row r="13" spans="2:4" x14ac:dyDescent="0.25">
      <c r="B13" s="76">
        <v>541</v>
      </c>
      <c r="C13" s="101" t="s">
        <v>283</v>
      </c>
      <c r="D13" s="96">
        <f>SUM(D14:D19)</f>
        <v>37100</v>
      </c>
    </row>
    <row r="14" spans="2:4" x14ac:dyDescent="0.25">
      <c r="B14" s="85">
        <v>54101</v>
      </c>
      <c r="C14" s="99" t="s">
        <v>243</v>
      </c>
      <c r="D14" s="98">
        <v>10000</v>
      </c>
    </row>
    <row r="15" spans="2:4" x14ac:dyDescent="0.25">
      <c r="B15" s="85">
        <v>54104</v>
      </c>
      <c r="C15" s="99" t="s">
        <v>245</v>
      </c>
      <c r="D15" s="98">
        <v>5000</v>
      </c>
    </row>
    <row r="16" spans="2:4" x14ac:dyDescent="0.25">
      <c r="B16" s="85">
        <v>54105</v>
      </c>
      <c r="C16" s="99" t="s">
        <v>246</v>
      </c>
      <c r="D16" s="98">
        <v>2000</v>
      </c>
    </row>
    <row r="17" spans="2:4" x14ac:dyDescent="0.25">
      <c r="B17" s="85">
        <v>54111</v>
      </c>
      <c r="C17" s="99" t="s">
        <v>363</v>
      </c>
      <c r="D17" s="98">
        <v>10000</v>
      </c>
    </row>
    <row r="18" spans="2:4" x14ac:dyDescent="0.25">
      <c r="B18" s="85">
        <v>54112</v>
      </c>
      <c r="C18" s="99" t="s">
        <v>364</v>
      </c>
      <c r="D18" s="98">
        <v>10000</v>
      </c>
    </row>
    <row r="19" spans="2:4" x14ac:dyDescent="0.25">
      <c r="B19" s="85">
        <v>54199</v>
      </c>
      <c r="C19" s="99" t="s">
        <v>253</v>
      </c>
      <c r="D19" s="98">
        <v>100</v>
      </c>
    </row>
    <row r="20" spans="2:4" x14ac:dyDescent="0.25">
      <c r="B20" s="76">
        <v>543</v>
      </c>
      <c r="C20" s="101" t="s">
        <v>254</v>
      </c>
      <c r="D20" s="96">
        <f>SUM(D21:D22)</f>
        <v>12412.220000000001</v>
      </c>
    </row>
    <row r="21" spans="2:4" x14ac:dyDescent="0.25">
      <c r="B21" s="85">
        <v>54304</v>
      </c>
      <c r="C21" s="99" t="s">
        <v>354</v>
      </c>
      <c r="D21" s="98">
        <v>7412.22</v>
      </c>
    </row>
    <row r="22" spans="2:4" x14ac:dyDescent="0.25">
      <c r="B22" s="85">
        <v>54313</v>
      </c>
      <c r="C22" s="99" t="s">
        <v>258</v>
      </c>
      <c r="D22" s="98">
        <v>5000</v>
      </c>
    </row>
    <row r="23" spans="2:4" x14ac:dyDescent="0.25">
      <c r="B23" s="76">
        <v>545</v>
      </c>
      <c r="C23" s="101" t="s">
        <v>261</v>
      </c>
      <c r="D23" s="96">
        <f>SUM(D24)</f>
        <v>445.92</v>
      </c>
    </row>
    <row r="24" spans="2:4" x14ac:dyDescent="0.25">
      <c r="B24" s="85">
        <v>54599</v>
      </c>
      <c r="C24" s="99" t="s">
        <v>365</v>
      </c>
      <c r="D24" s="98">
        <v>445.92</v>
      </c>
    </row>
    <row r="25" spans="2:4" x14ac:dyDescent="0.25">
      <c r="B25" s="76">
        <v>55</v>
      </c>
      <c r="C25" s="101" t="s">
        <v>129</v>
      </c>
      <c r="D25" s="96">
        <f>SUM(+D26)</f>
        <v>50</v>
      </c>
    </row>
    <row r="26" spans="2:4" x14ac:dyDescent="0.25">
      <c r="B26" s="76">
        <v>556</v>
      </c>
      <c r="C26" s="101" t="s">
        <v>366</v>
      </c>
      <c r="D26" s="96">
        <f>SUM(D27)</f>
        <v>50</v>
      </c>
    </row>
    <row r="27" spans="2:4" x14ac:dyDescent="0.25">
      <c r="B27" s="85">
        <v>55603</v>
      </c>
      <c r="C27" s="99" t="s">
        <v>319</v>
      </c>
      <c r="D27" s="98">
        <v>50</v>
      </c>
    </row>
    <row r="28" spans="2:4" x14ac:dyDescent="0.25">
      <c r="B28" s="85"/>
      <c r="C28" s="99"/>
      <c r="D28" s="98"/>
    </row>
    <row r="29" spans="2:4" x14ac:dyDescent="0.25">
      <c r="B29" s="85"/>
      <c r="C29" s="101" t="s">
        <v>69</v>
      </c>
      <c r="D29" s="96">
        <f>SUM(+D12+D25)</f>
        <v>50008.14</v>
      </c>
    </row>
    <row r="30" spans="2:4" x14ac:dyDescent="0.25">
      <c r="B30" s="85"/>
      <c r="C30" s="99"/>
      <c r="D30" s="98"/>
    </row>
    <row r="31" spans="2:4" x14ac:dyDescent="0.25">
      <c r="B31" s="76"/>
      <c r="C31" s="101" t="s">
        <v>60</v>
      </c>
      <c r="D31" s="96">
        <f>SUM(+D12+D25)</f>
        <v>50008.14</v>
      </c>
    </row>
    <row r="32" spans="2:4" x14ac:dyDescent="0.25">
      <c r="B32" s="76"/>
      <c r="C32" s="101" t="s">
        <v>61</v>
      </c>
      <c r="D32" s="96">
        <f>SUM(D13+D20+D23+D26)</f>
        <v>50008.14</v>
      </c>
    </row>
    <row r="33" spans="2:4" x14ac:dyDescent="0.25">
      <c r="B33" s="76"/>
      <c r="C33" s="101" t="s">
        <v>62</v>
      </c>
      <c r="D33" s="96">
        <f>SUM(D14+D15+D16+D17+D18+D19+D21+D22+D24+D27)</f>
        <v>50008.14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9"/>
  <sheetViews>
    <sheetView workbookViewId="0">
      <pane ySplit="11" topLeftCell="A12" activePane="bottomLeft" state="frozen"/>
      <selection pane="bottomLeft" activeCell="E39" sqref="E39"/>
    </sheetView>
  </sheetViews>
  <sheetFormatPr baseColWidth="10" defaultRowHeight="15" x14ac:dyDescent="0.25"/>
  <cols>
    <col min="1" max="1" width="3.5703125" style="28" customWidth="1"/>
    <col min="2" max="2" width="9.7109375" style="28" customWidth="1"/>
    <col min="3" max="3" width="43.7109375" style="28" customWidth="1"/>
    <col min="4" max="4" width="23.710937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367"/>
      <c r="D6" s="367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442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366" t="s">
        <v>228</v>
      </c>
    </row>
    <row r="11" spans="2:4" x14ac:dyDescent="0.25">
      <c r="B11" s="454"/>
      <c r="C11" s="454"/>
      <c r="D11" s="366" t="s">
        <v>410</v>
      </c>
    </row>
    <row r="12" spans="2:4" x14ac:dyDescent="0.25">
      <c r="B12" s="76">
        <v>54</v>
      </c>
      <c r="C12" s="101" t="s">
        <v>282</v>
      </c>
      <c r="D12" s="96">
        <f>SUM(D13+D16+D19)</f>
        <v>283933.07</v>
      </c>
    </row>
    <row r="13" spans="2:4" x14ac:dyDescent="0.25">
      <c r="B13" s="76">
        <v>541</v>
      </c>
      <c r="C13" s="101" t="s">
        <v>283</v>
      </c>
      <c r="D13" s="96">
        <f>SUM(D14:D15)</f>
        <v>270688.96000000002</v>
      </c>
    </row>
    <row r="14" spans="2:4" x14ac:dyDescent="0.25">
      <c r="B14" s="85">
        <v>54101</v>
      </c>
      <c r="C14" s="99" t="s">
        <v>243</v>
      </c>
      <c r="D14" s="98">
        <v>270210.2</v>
      </c>
    </row>
    <row r="15" spans="2:4" x14ac:dyDescent="0.25">
      <c r="B15" s="85">
        <v>54199</v>
      </c>
      <c r="C15" s="99" t="s">
        <v>253</v>
      </c>
      <c r="D15" s="98">
        <v>478.76</v>
      </c>
    </row>
    <row r="16" spans="2:4" x14ac:dyDescent="0.25">
      <c r="B16" s="76">
        <v>543</v>
      </c>
      <c r="C16" s="101" t="s">
        <v>254</v>
      </c>
      <c r="D16" s="96">
        <f>SUM(D17:D18)</f>
        <v>2244.11</v>
      </c>
    </row>
    <row r="17" spans="2:4" x14ac:dyDescent="0.25">
      <c r="B17" s="85">
        <v>54304</v>
      </c>
      <c r="C17" s="99" t="s">
        <v>354</v>
      </c>
      <c r="D17" s="98">
        <v>1600</v>
      </c>
    </row>
    <row r="18" spans="2:4" x14ac:dyDescent="0.25">
      <c r="B18" s="85">
        <v>54399</v>
      </c>
      <c r="C18" s="99" t="s">
        <v>260</v>
      </c>
      <c r="D18" s="98">
        <v>644.11</v>
      </c>
    </row>
    <row r="19" spans="2:4" x14ac:dyDescent="0.25">
      <c r="B19" s="76">
        <v>545</v>
      </c>
      <c r="C19" s="101" t="s">
        <v>261</v>
      </c>
      <c r="D19" s="96">
        <f>SUM(D20)</f>
        <v>11000</v>
      </c>
    </row>
    <row r="20" spans="2:4" x14ac:dyDescent="0.25">
      <c r="B20" s="85">
        <v>54599</v>
      </c>
      <c r="C20" s="99" t="s">
        <v>365</v>
      </c>
      <c r="D20" s="98">
        <v>11000</v>
      </c>
    </row>
    <row r="21" spans="2:4" x14ac:dyDescent="0.25">
      <c r="B21" s="76">
        <v>55</v>
      </c>
      <c r="C21" s="101" t="s">
        <v>129</v>
      </c>
      <c r="D21" s="96">
        <f>SUM(+D22)</f>
        <v>25</v>
      </c>
    </row>
    <row r="22" spans="2:4" x14ac:dyDescent="0.25">
      <c r="B22" s="76">
        <v>556</v>
      </c>
      <c r="C22" s="101" t="s">
        <v>366</v>
      </c>
      <c r="D22" s="96">
        <f>SUM(D23)</f>
        <v>25</v>
      </c>
    </row>
    <row r="23" spans="2:4" x14ac:dyDescent="0.25">
      <c r="B23" s="85">
        <v>55603</v>
      </c>
      <c r="C23" s="99" t="s">
        <v>319</v>
      </c>
      <c r="D23" s="98">
        <v>25</v>
      </c>
    </row>
    <row r="24" spans="2:4" x14ac:dyDescent="0.25">
      <c r="B24" s="85"/>
      <c r="C24" s="99"/>
      <c r="D24" s="98"/>
    </row>
    <row r="25" spans="2:4" x14ac:dyDescent="0.25">
      <c r="B25" s="85"/>
      <c r="C25" s="101" t="s">
        <v>69</v>
      </c>
      <c r="D25" s="96">
        <f>SUM(D12+D21)</f>
        <v>283958.07</v>
      </c>
    </row>
    <row r="26" spans="2:4" x14ac:dyDescent="0.25">
      <c r="B26" s="85"/>
      <c r="C26" s="99"/>
      <c r="D26" s="98"/>
    </row>
    <row r="27" spans="2:4" x14ac:dyDescent="0.25">
      <c r="B27" s="76"/>
      <c r="C27" s="101" t="s">
        <v>60</v>
      </c>
      <c r="D27" s="96">
        <f>SUM(D12+D21)</f>
        <v>283958.07</v>
      </c>
    </row>
    <row r="28" spans="2:4" x14ac:dyDescent="0.25">
      <c r="B28" s="76"/>
      <c r="C28" s="101" t="s">
        <v>61</v>
      </c>
      <c r="D28" s="96">
        <f>SUM(D13+D16+D19+D22)</f>
        <v>283958.07</v>
      </c>
    </row>
    <row r="29" spans="2:4" x14ac:dyDescent="0.25">
      <c r="B29" s="76"/>
      <c r="C29" s="101" t="s">
        <v>62</v>
      </c>
      <c r="D29" s="96">
        <f>SUM(D14+D15+D17+D18+D20+D23)</f>
        <v>283958.07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workbookViewId="0">
      <selection activeCell="F29" sqref="F29"/>
    </sheetView>
  </sheetViews>
  <sheetFormatPr baseColWidth="10" defaultRowHeight="15" x14ac:dyDescent="0.25"/>
  <cols>
    <col min="1" max="1" width="3.5703125" style="28" customWidth="1"/>
    <col min="2" max="2" width="9.7109375" style="28" customWidth="1"/>
    <col min="3" max="3" width="43.7109375" style="28" customWidth="1"/>
    <col min="4" max="4" width="23.710937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378"/>
      <c r="D6" s="378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455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377" t="s">
        <v>228</v>
      </c>
    </row>
    <row r="11" spans="2:4" x14ac:dyDescent="0.25">
      <c r="B11" s="454"/>
      <c r="C11" s="454"/>
      <c r="D11" s="377" t="s">
        <v>410</v>
      </c>
    </row>
    <row r="12" spans="2:4" x14ac:dyDescent="0.25">
      <c r="B12" s="76">
        <v>51</v>
      </c>
      <c r="C12" s="100" t="s">
        <v>127</v>
      </c>
      <c r="D12" s="96">
        <f>SUM(D13)</f>
        <v>130000</v>
      </c>
    </row>
    <row r="13" spans="2:4" x14ac:dyDescent="0.25">
      <c r="B13" s="76">
        <v>511</v>
      </c>
      <c r="C13" s="108" t="s">
        <v>231</v>
      </c>
      <c r="D13" s="96">
        <f>SUM(D14:D14)</f>
        <v>130000</v>
      </c>
    </row>
    <row r="14" spans="2:4" x14ac:dyDescent="0.25">
      <c r="B14" s="85">
        <v>51101</v>
      </c>
      <c r="C14" s="97" t="s">
        <v>232</v>
      </c>
      <c r="D14" s="98">
        <v>130000</v>
      </c>
    </row>
    <row r="15" spans="2:4" x14ac:dyDescent="0.25">
      <c r="B15" s="76">
        <v>54</v>
      </c>
      <c r="C15" s="101" t="s">
        <v>282</v>
      </c>
      <c r="D15" s="96">
        <f>D16</f>
        <v>6700</v>
      </c>
    </row>
    <row r="16" spans="2:4" x14ac:dyDescent="0.25">
      <c r="B16" s="76">
        <v>542</v>
      </c>
      <c r="C16" s="101" t="s">
        <v>331</v>
      </c>
      <c r="D16" s="96">
        <f>SUM(D17:D17)</f>
        <v>6700</v>
      </c>
    </row>
    <row r="17" spans="2:6" x14ac:dyDescent="0.25">
      <c r="B17" s="85">
        <v>54201</v>
      </c>
      <c r="C17" s="99" t="s">
        <v>336</v>
      </c>
      <c r="D17" s="98">
        <v>6700</v>
      </c>
    </row>
    <row r="18" spans="2:6" x14ac:dyDescent="0.25">
      <c r="B18" s="85"/>
      <c r="C18" s="99"/>
      <c r="D18" s="98"/>
    </row>
    <row r="19" spans="2:6" x14ac:dyDescent="0.25">
      <c r="B19" s="85"/>
      <c r="C19" s="101" t="s">
        <v>69</v>
      </c>
      <c r="D19" s="96">
        <f>SUM(D12+D15)</f>
        <v>136700</v>
      </c>
    </row>
    <row r="20" spans="2:6" x14ac:dyDescent="0.25">
      <c r="B20" s="85"/>
      <c r="C20" s="99"/>
      <c r="D20" s="98"/>
    </row>
    <row r="21" spans="2:6" x14ac:dyDescent="0.25">
      <c r="B21" s="76"/>
      <c r="C21" s="101" t="s">
        <v>60</v>
      </c>
      <c r="D21" s="96">
        <f>SUM(D12+D15)</f>
        <v>136700</v>
      </c>
    </row>
    <row r="22" spans="2:6" x14ac:dyDescent="0.25">
      <c r="B22" s="76"/>
      <c r="C22" s="101" t="s">
        <v>61</v>
      </c>
      <c r="D22" s="96">
        <f>SUM(D13+D16)</f>
        <v>136700</v>
      </c>
    </row>
    <row r="23" spans="2:6" x14ac:dyDescent="0.25">
      <c r="B23" s="76"/>
      <c r="C23" s="101" t="s">
        <v>62</v>
      </c>
      <c r="D23" s="96">
        <f>SUM(D14+D17)</f>
        <v>136700</v>
      </c>
    </row>
    <row r="29" spans="2:6" x14ac:dyDescent="0.25">
      <c r="F29" s="380">
        <f>'PRESU INGRESOS'!E67</f>
        <v>136700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G30" sqref="G30"/>
    </sheetView>
  </sheetViews>
  <sheetFormatPr baseColWidth="10" defaultRowHeight="15" x14ac:dyDescent="0.25"/>
  <cols>
    <col min="1" max="1" width="3.5703125" style="28" customWidth="1"/>
    <col min="2" max="2" width="9.7109375" style="28" customWidth="1"/>
    <col min="3" max="3" width="43.7109375" style="28" customWidth="1"/>
    <col min="4" max="4" width="23.7109375" style="28" customWidth="1"/>
    <col min="5" max="16384" width="11.42578125" style="28"/>
  </cols>
  <sheetData>
    <row r="2" spans="2:4" ht="15.75" x14ac:dyDescent="0.25">
      <c r="B2" s="425" t="s">
        <v>425</v>
      </c>
      <c r="C2" s="425"/>
      <c r="D2" s="425"/>
    </row>
    <row r="3" spans="2:4" ht="15.75" x14ac:dyDescent="0.25">
      <c r="B3" s="312" t="s">
        <v>220</v>
      </c>
      <c r="C3" s="312"/>
      <c r="D3" s="312"/>
    </row>
    <row r="4" spans="2:4" ht="15.75" x14ac:dyDescent="0.25">
      <c r="B4" s="423" t="s">
        <v>221</v>
      </c>
      <c r="C4" s="423"/>
      <c r="D4" s="423"/>
    </row>
    <row r="5" spans="2:4" ht="15.75" x14ac:dyDescent="0.25">
      <c r="B5" s="423" t="s">
        <v>280</v>
      </c>
      <c r="C5" s="423"/>
      <c r="D5" s="423"/>
    </row>
    <row r="6" spans="2:4" ht="15.75" x14ac:dyDescent="0.25">
      <c r="B6" s="139" t="s">
        <v>281</v>
      </c>
      <c r="C6" s="378"/>
      <c r="D6" s="378"/>
    </row>
    <row r="7" spans="2:4" ht="15.75" x14ac:dyDescent="0.25">
      <c r="B7" s="423" t="s">
        <v>223</v>
      </c>
      <c r="C7" s="423"/>
      <c r="D7" s="423"/>
    </row>
    <row r="8" spans="2:4" ht="15.75" x14ac:dyDescent="0.25">
      <c r="B8" s="422" t="s">
        <v>457</v>
      </c>
      <c r="C8" s="422"/>
      <c r="D8" s="422"/>
    </row>
    <row r="9" spans="2:4" x14ac:dyDescent="0.25">
      <c r="B9" s="29"/>
      <c r="C9" s="29"/>
      <c r="D9" s="39"/>
    </row>
    <row r="10" spans="2:4" x14ac:dyDescent="0.25">
      <c r="B10" s="453" t="s">
        <v>225</v>
      </c>
      <c r="C10" s="453" t="s">
        <v>226</v>
      </c>
      <c r="D10" s="377" t="s">
        <v>228</v>
      </c>
    </row>
    <row r="11" spans="2:4" x14ac:dyDescent="0.25">
      <c r="B11" s="454"/>
      <c r="C11" s="454"/>
      <c r="D11" s="377" t="s">
        <v>410</v>
      </c>
    </row>
    <row r="12" spans="2:4" x14ac:dyDescent="0.25">
      <c r="B12" s="76">
        <v>55</v>
      </c>
      <c r="C12" s="101" t="s">
        <v>129</v>
      </c>
      <c r="D12" s="96">
        <f>SUM(+D13)</f>
        <v>5</v>
      </c>
    </row>
    <row r="13" spans="2:4" x14ac:dyDescent="0.25">
      <c r="B13" s="76">
        <v>556</v>
      </c>
      <c r="C13" s="101" t="s">
        <v>366</v>
      </c>
      <c r="D13" s="96">
        <f>SUM(D14)</f>
        <v>5</v>
      </c>
    </row>
    <row r="14" spans="2:4" x14ac:dyDescent="0.25">
      <c r="B14" s="85">
        <v>55603</v>
      </c>
      <c r="C14" s="99" t="s">
        <v>319</v>
      </c>
      <c r="D14" s="98">
        <v>5</v>
      </c>
    </row>
    <row r="15" spans="2:4" x14ac:dyDescent="0.25">
      <c r="B15" s="76">
        <v>61</v>
      </c>
      <c r="C15" s="101" t="s">
        <v>277</v>
      </c>
      <c r="D15" s="96">
        <f>D16</f>
        <v>2190.98</v>
      </c>
    </row>
    <row r="16" spans="2:4" x14ac:dyDescent="0.25">
      <c r="B16" s="76">
        <v>616</v>
      </c>
      <c r="C16" s="101" t="s">
        <v>459</v>
      </c>
      <c r="D16" s="96">
        <f>D17</f>
        <v>2190.98</v>
      </c>
    </row>
    <row r="17" spans="2:7" x14ac:dyDescent="0.25">
      <c r="B17" s="85">
        <v>61603</v>
      </c>
      <c r="C17" s="99" t="s">
        <v>458</v>
      </c>
      <c r="D17" s="98">
        <v>2190.98</v>
      </c>
    </row>
    <row r="18" spans="2:7" x14ac:dyDescent="0.25">
      <c r="B18" s="85"/>
      <c r="C18" s="99"/>
      <c r="D18" s="98"/>
    </row>
    <row r="19" spans="2:7" x14ac:dyDescent="0.25">
      <c r="B19" s="85"/>
      <c r="C19" s="101" t="s">
        <v>69</v>
      </c>
      <c r="D19" s="96">
        <f>SUM(D12+D15)</f>
        <v>2195.98</v>
      </c>
    </row>
    <row r="20" spans="2:7" x14ac:dyDescent="0.25">
      <c r="B20" s="85"/>
      <c r="C20" s="99"/>
      <c r="D20" s="98"/>
    </row>
    <row r="21" spans="2:7" x14ac:dyDescent="0.25">
      <c r="B21" s="76"/>
      <c r="C21" s="101" t="s">
        <v>60</v>
      </c>
      <c r="D21" s="96">
        <f>SUM(D12+D15)</f>
        <v>2195.98</v>
      </c>
    </row>
    <row r="22" spans="2:7" x14ac:dyDescent="0.25">
      <c r="B22" s="76"/>
      <c r="C22" s="101" t="s">
        <v>61</v>
      </c>
      <c r="D22" s="96">
        <f>SUM(D13+D16)</f>
        <v>2195.98</v>
      </c>
    </row>
    <row r="23" spans="2:7" x14ac:dyDescent="0.25">
      <c r="B23" s="76"/>
      <c r="C23" s="101" t="s">
        <v>62</v>
      </c>
      <c r="D23" s="96">
        <f>SUM(D14+D17)</f>
        <v>2195.98</v>
      </c>
    </row>
    <row r="30" spans="2:7" x14ac:dyDescent="0.25">
      <c r="G30" s="380">
        <f>'PRESU INGRESOS'!E66</f>
        <v>2195.98</v>
      </c>
    </row>
  </sheetData>
  <mergeCells count="7">
    <mergeCell ref="B10:B11"/>
    <mergeCell ref="C10:C11"/>
    <mergeCell ref="B2:D2"/>
    <mergeCell ref="B4:D4"/>
    <mergeCell ref="B5:D5"/>
    <mergeCell ref="B7:D7"/>
    <mergeCell ref="B8:D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40"/>
  <sheetViews>
    <sheetView workbookViewId="0">
      <pane ySplit="4" topLeftCell="A5" activePane="bottomLeft" state="frozen"/>
      <selection pane="bottomLeft" activeCell="I39" sqref="I39"/>
    </sheetView>
  </sheetViews>
  <sheetFormatPr baseColWidth="10" defaultRowHeight="14.25" x14ac:dyDescent="0.2"/>
  <cols>
    <col min="1" max="1" width="5" style="194" customWidth="1"/>
    <col min="2" max="2" width="29" style="194" customWidth="1"/>
    <col min="3" max="3" width="15.42578125" style="194" customWidth="1"/>
    <col min="4" max="4" width="16.140625" style="194" customWidth="1"/>
    <col min="5" max="5" width="17" style="194" customWidth="1"/>
    <col min="6" max="6" width="6.42578125" style="194" customWidth="1"/>
    <col min="7" max="7" width="2.85546875" style="194" customWidth="1"/>
    <col min="8" max="8" width="3" style="194" customWidth="1"/>
    <col min="9" max="9" width="30.28515625" style="194" customWidth="1"/>
    <col min="10" max="10" width="15.28515625" style="194" customWidth="1"/>
    <col min="11" max="11" width="14.140625" style="194" bestFit="1" customWidth="1"/>
    <col min="12" max="12" width="16.42578125" style="194" customWidth="1"/>
    <col min="13" max="13" width="11.42578125" style="194"/>
    <col min="14" max="14" width="15.7109375" style="194" customWidth="1"/>
    <col min="15" max="15" width="11.42578125" style="194"/>
    <col min="16" max="16" width="13.85546875" style="194" bestFit="1" customWidth="1"/>
    <col min="17" max="16384" width="11.42578125" style="194"/>
  </cols>
  <sheetData>
    <row r="2" spans="2:16" ht="15" x14ac:dyDescent="0.25">
      <c r="C2" s="203">
        <v>51</v>
      </c>
      <c r="J2" s="203">
        <v>51</v>
      </c>
    </row>
    <row r="3" spans="2:16" ht="18" x14ac:dyDescent="0.25">
      <c r="B3" s="404" t="s">
        <v>399</v>
      </c>
      <c r="C3" s="404"/>
      <c r="D3" s="404"/>
      <c r="E3" s="404"/>
      <c r="F3" s="208"/>
      <c r="G3" s="208"/>
      <c r="H3" s="208"/>
      <c r="I3" s="404" t="s">
        <v>167</v>
      </c>
      <c r="J3" s="404"/>
      <c r="K3" s="404"/>
      <c r="L3" s="404"/>
    </row>
    <row r="4" spans="2:16" ht="18" x14ac:dyDescent="0.25">
      <c r="B4" s="309" t="s">
        <v>168</v>
      </c>
      <c r="C4" s="309" t="s">
        <v>373</v>
      </c>
      <c r="D4" s="209" t="s">
        <v>374</v>
      </c>
      <c r="E4" s="309" t="s">
        <v>169</v>
      </c>
      <c r="F4" s="208"/>
      <c r="G4" s="208"/>
      <c r="H4" s="208"/>
      <c r="I4" s="269" t="s">
        <v>168</v>
      </c>
      <c r="J4" s="269">
        <v>101</v>
      </c>
      <c r="K4" s="270">
        <v>401501</v>
      </c>
      <c r="L4" s="269" t="s">
        <v>169</v>
      </c>
    </row>
    <row r="5" spans="2:16" ht="15" x14ac:dyDescent="0.2">
      <c r="B5" s="207" t="s">
        <v>136</v>
      </c>
      <c r="C5" s="210">
        <f>+'CONCEJO MPAL'!D12</f>
        <v>57600</v>
      </c>
      <c r="D5" s="210">
        <f>+'CONCEJO MPAL'!D14+'CONCEJO MPAL'!D16+'CONCEJO MPAL'!D18</f>
        <v>49360</v>
      </c>
      <c r="E5" s="211">
        <f>SUM(C5:D5)</f>
        <v>106960</v>
      </c>
      <c r="F5" s="212"/>
      <c r="G5" s="208"/>
      <c r="H5" s="208"/>
      <c r="I5" s="262" t="s">
        <v>136</v>
      </c>
      <c r="J5" s="263">
        <f>+'CONCEJO MPAL'!E12</f>
        <v>57600</v>
      </c>
      <c r="K5" s="263">
        <f>+'CONCEJO MPAL'!E14+'CONCEJO MPAL'!E16+'CONCEJO MPAL'!E18</f>
        <v>9360</v>
      </c>
      <c r="L5" s="264">
        <f t="shared" ref="L5:L33" si="0">SUM(J5:K5)</f>
        <v>66960</v>
      </c>
    </row>
    <row r="6" spans="2:16" ht="15" x14ac:dyDescent="0.2">
      <c r="B6" s="207" t="s">
        <v>182</v>
      </c>
      <c r="C6" s="210">
        <f>+'GESTION Y COOPERACION'!D14</f>
        <v>16800</v>
      </c>
      <c r="D6" s="210">
        <f>+'GESTION Y COOPERACION'!D17+'GESTION Y COOPERACION'!D19</f>
        <v>2583.75</v>
      </c>
      <c r="E6" s="211">
        <f>SUM(C6:D6)</f>
        <v>19383.75</v>
      </c>
      <c r="F6" s="212"/>
      <c r="G6" s="208"/>
      <c r="H6" s="208"/>
      <c r="I6" s="262" t="s">
        <v>182</v>
      </c>
      <c r="J6" s="263">
        <f>+'GESTION Y COOPERACION'!E14</f>
        <v>0</v>
      </c>
      <c r="K6" s="263">
        <f>+'GESTION Y COOPERACION'!E17+'GESTION Y COOPERACION'!E19</f>
        <v>0</v>
      </c>
      <c r="L6" s="264">
        <f t="shared" si="0"/>
        <v>0</v>
      </c>
    </row>
    <row r="7" spans="2:16" ht="15" x14ac:dyDescent="0.2">
      <c r="B7" s="207" t="s">
        <v>137</v>
      </c>
      <c r="C7" s="210">
        <f>+DESPACHO!D12</f>
        <v>37310</v>
      </c>
      <c r="D7" s="210">
        <f>+DESPACHO!D15+DESPACHO!D17+DESPACHO!D19</f>
        <v>23596.5</v>
      </c>
      <c r="E7" s="211">
        <f t="shared" ref="E7:E33" si="1">SUM(C7:D7)</f>
        <v>60906.5</v>
      </c>
      <c r="F7" s="212"/>
      <c r="G7" s="208"/>
      <c r="H7" s="208"/>
      <c r="I7" s="262" t="s">
        <v>137</v>
      </c>
      <c r="J7" s="263">
        <f>+DESPACHO!E12</f>
        <v>18000</v>
      </c>
      <c r="K7" s="263">
        <f>+DESPACHO!E15+DESPACHO!E17</f>
        <v>2925</v>
      </c>
      <c r="L7" s="264">
        <f t="shared" si="0"/>
        <v>20925</v>
      </c>
    </row>
    <row r="8" spans="2:16" ht="15" x14ac:dyDescent="0.2">
      <c r="B8" s="207" t="s">
        <v>170</v>
      </c>
      <c r="C8" s="210">
        <f>+SINDICATURA!D12</f>
        <v>7650</v>
      </c>
      <c r="D8" s="210">
        <f>+SINDICATURA!D15+SINDICATURA!D17</f>
        <v>1170</v>
      </c>
      <c r="E8" s="211">
        <f t="shared" si="1"/>
        <v>8820</v>
      </c>
      <c r="F8" s="212"/>
      <c r="G8" s="208"/>
      <c r="H8" s="208"/>
      <c r="I8" s="262" t="s">
        <v>170</v>
      </c>
      <c r="J8" s="263">
        <f>+SINDICATURA!E12</f>
        <v>7200</v>
      </c>
      <c r="K8" s="263">
        <f>+SINDICATURA!E15+SINDICATURA!E17</f>
        <v>1170</v>
      </c>
      <c r="L8" s="264">
        <f t="shared" si="0"/>
        <v>8370</v>
      </c>
    </row>
    <row r="9" spans="2:16" ht="15" x14ac:dyDescent="0.2">
      <c r="B9" s="207" t="s">
        <v>171</v>
      </c>
      <c r="C9" s="210">
        <f>+SECRETARIA!D11</f>
        <v>19350</v>
      </c>
      <c r="D9" s="210">
        <f>+SECRETARIA!D14+SECRETARIA!D16</f>
        <v>2869.75</v>
      </c>
      <c r="E9" s="211">
        <f t="shared" si="1"/>
        <v>22219.75</v>
      </c>
      <c r="F9" s="212"/>
      <c r="G9" s="208"/>
      <c r="H9" s="208"/>
      <c r="I9" s="262" t="s">
        <v>171</v>
      </c>
      <c r="J9" s="263">
        <f>+SECRETARIA!E11</f>
        <v>7660</v>
      </c>
      <c r="K9" s="263">
        <f>+SECRETARIA!E14+SECRETARIA!E16</f>
        <v>1244.75</v>
      </c>
      <c r="L9" s="264">
        <f t="shared" si="0"/>
        <v>8904.75</v>
      </c>
      <c r="P9" s="379"/>
    </row>
    <row r="10" spans="2:16" ht="15" x14ac:dyDescent="0.2">
      <c r="B10" s="207" t="s">
        <v>140</v>
      </c>
      <c r="C10" s="210">
        <f>+JURIDICO!D12</f>
        <v>10100</v>
      </c>
      <c r="D10" s="210">
        <f>+JURIDICO!D15+JURIDICO!D17</f>
        <v>1495</v>
      </c>
      <c r="E10" s="211">
        <f t="shared" si="1"/>
        <v>11595</v>
      </c>
      <c r="F10" s="212"/>
      <c r="G10" s="208"/>
      <c r="H10" s="208"/>
      <c r="I10" s="262" t="s">
        <v>140</v>
      </c>
      <c r="J10" s="263">
        <f>+JURIDICO!E12</f>
        <v>6400</v>
      </c>
      <c r="K10" s="263">
        <f>+JURIDICO!E15+JURIDICO!E17</f>
        <v>1040</v>
      </c>
      <c r="L10" s="264">
        <f t="shared" si="0"/>
        <v>7440</v>
      </c>
    </row>
    <row r="11" spans="2:16" ht="15" x14ac:dyDescent="0.2">
      <c r="B11" s="207" t="s">
        <v>172</v>
      </c>
      <c r="C11" s="210">
        <f>+GERENCIA!D12</f>
        <v>11740</v>
      </c>
      <c r="D11" s="210">
        <f>+GERENCIA!D15+GERENCIA!D17</f>
        <v>1774.5</v>
      </c>
      <c r="E11" s="211">
        <f t="shared" si="1"/>
        <v>13514.5</v>
      </c>
      <c r="F11" s="212"/>
      <c r="G11" s="208"/>
      <c r="H11" s="208"/>
      <c r="I11" s="262" t="s">
        <v>172</v>
      </c>
      <c r="J11" s="263">
        <f>+GERENCIA!E12</f>
        <v>8520</v>
      </c>
      <c r="K11" s="263">
        <f>+GERENCIA!E15+GERENCIA!E17</f>
        <v>1384.5</v>
      </c>
      <c r="L11" s="264">
        <f t="shared" si="0"/>
        <v>9904.5</v>
      </c>
    </row>
    <row r="12" spans="2:16" ht="15" x14ac:dyDescent="0.2">
      <c r="B12" s="207" t="s">
        <v>142</v>
      </c>
      <c r="C12" s="211">
        <f>+AUDITORIA!D12</f>
        <v>4950</v>
      </c>
      <c r="D12" s="210">
        <f>+AUDITORIA!D15+AUDITORIA!D17</f>
        <v>731.25</v>
      </c>
      <c r="E12" s="211">
        <f t="shared" si="1"/>
        <v>5681.25</v>
      </c>
      <c r="F12" s="212"/>
      <c r="G12" s="208"/>
      <c r="H12" s="208"/>
      <c r="I12" s="262" t="s">
        <v>142</v>
      </c>
      <c r="J12" s="264">
        <f>+AUDITORIA!E12</f>
        <v>4500</v>
      </c>
      <c r="K12" s="264">
        <f>+AUDITORIA!E15+AUDITORIA!E17</f>
        <v>731.25</v>
      </c>
      <c r="L12" s="264">
        <f t="shared" si="0"/>
        <v>5231.25</v>
      </c>
    </row>
    <row r="13" spans="2:16" ht="15" x14ac:dyDescent="0.2">
      <c r="B13" s="207" t="s">
        <v>173</v>
      </c>
      <c r="C13" s="210">
        <f>+RRHH!D12+RRHH!D15</f>
        <v>43690</v>
      </c>
      <c r="D13" s="210">
        <f>+RRHH!D17+RRHH!D19</f>
        <v>2733.25</v>
      </c>
      <c r="E13" s="211">
        <f t="shared" si="1"/>
        <v>46423.25</v>
      </c>
      <c r="F13" s="212"/>
      <c r="G13" s="208"/>
      <c r="H13" s="208"/>
      <c r="I13" s="262" t="s">
        <v>173</v>
      </c>
      <c r="J13" s="263">
        <f>+RRHH!E12+RRHH!E15</f>
        <v>6820</v>
      </c>
      <c r="K13" s="263">
        <f>+RRHH!E17+RRHH!E19</f>
        <v>1108.25</v>
      </c>
      <c r="L13" s="264">
        <f t="shared" si="0"/>
        <v>7928.25</v>
      </c>
    </row>
    <row r="14" spans="2:16" ht="15" x14ac:dyDescent="0.2">
      <c r="B14" s="207" t="s">
        <v>144</v>
      </c>
      <c r="C14" s="210">
        <f>+CONTABILIDAD!D12</f>
        <v>10155</v>
      </c>
      <c r="D14" s="210">
        <f>+CONTABILIDAD!D15+CONTABILIDAD!D17</f>
        <v>1452.75</v>
      </c>
      <c r="E14" s="211">
        <f t="shared" si="1"/>
        <v>11607.75</v>
      </c>
      <c r="F14" s="212"/>
      <c r="G14" s="208"/>
      <c r="H14" s="208"/>
      <c r="I14" s="262" t="s">
        <v>144</v>
      </c>
      <c r="J14" s="263">
        <f>+CONTABILIDAD!E12</f>
        <v>8940</v>
      </c>
      <c r="K14" s="263">
        <f>+CONTABILIDAD!E15+CONTABILIDAD!E17</f>
        <v>1452.75</v>
      </c>
      <c r="L14" s="264">
        <f t="shared" si="0"/>
        <v>10392.75</v>
      </c>
    </row>
    <row r="15" spans="2:16" ht="15" x14ac:dyDescent="0.2">
      <c r="B15" s="207" t="s">
        <v>145</v>
      </c>
      <c r="C15" s="210">
        <f>+PRESUPUESTO!D12</f>
        <v>8490</v>
      </c>
      <c r="D15" s="210">
        <f>+PRESUPUESTO!D15+PRESUPUESTO!D17</f>
        <v>1189.5</v>
      </c>
      <c r="E15" s="211">
        <f t="shared" si="1"/>
        <v>9679.5</v>
      </c>
      <c r="F15" s="212"/>
      <c r="G15" s="208"/>
      <c r="H15" s="208"/>
      <c r="I15" s="262" t="s">
        <v>145</v>
      </c>
      <c r="J15" s="263">
        <f>+PRESUPUESTO!E12</f>
        <v>7320</v>
      </c>
      <c r="K15" s="263">
        <f>+PRESUPUESTO!E15+PRESUPUESTO!E17</f>
        <v>1189.5</v>
      </c>
      <c r="L15" s="264">
        <f t="shared" si="0"/>
        <v>8509.5</v>
      </c>
    </row>
    <row r="16" spans="2:16" ht="15" x14ac:dyDescent="0.2">
      <c r="B16" s="207" t="s">
        <v>146</v>
      </c>
      <c r="C16" s="210">
        <f>+TESORERIA!D12</f>
        <v>25250.5</v>
      </c>
      <c r="D16" s="210">
        <f>+TESORERIA!D15+TESORERIA!D17</f>
        <v>3731.08</v>
      </c>
      <c r="E16" s="211">
        <f t="shared" si="1"/>
        <v>28981.58</v>
      </c>
      <c r="F16" s="212"/>
      <c r="G16" s="208"/>
      <c r="H16" s="208"/>
      <c r="I16" s="262" t="s">
        <v>146</v>
      </c>
      <c r="J16" s="263">
        <f>+TESORERIA!E12</f>
        <v>9919.5</v>
      </c>
      <c r="K16" s="263">
        <f>+TESORERIA!E15+TESORERIA!E17</f>
        <v>1611.92</v>
      </c>
      <c r="L16" s="264">
        <f t="shared" si="0"/>
        <v>11531.42</v>
      </c>
    </row>
    <row r="17" spans="2:12" ht="15" x14ac:dyDescent="0.2">
      <c r="B17" s="207" t="s">
        <v>147</v>
      </c>
      <c r="C17" s="210">
        <f>+UATM!D12</f>
        <v>39735</v>
      </c>
      <c r="D17" s="210">
        <f>+UATM!D15+UATM!D17</f>
        <v>5936.9324999999999</v>
      </c>
      <c r="E17" s="211">
        <f t="shared" si="1"/>
        <v>45671.932500000003</v>
      </c>
      <c r="F17" s="212"/>
      <c r="G17" s="208"/>
      <c r="H17" s="208"/>
      <c r="I17" s="262" t="s">
        <v>147</v>
      </c>
      <c r="J17" s="263">
        <f>+UATM!E12</f>
        <v>11105</v>
      </c>
      <c r="K17" s="263">
        <f>+UATM!E15+UATM!E17</f>
        <v>1804.5625</v>
      </c>
      <c r="L17" s="264">
        <f t="shared" si="0"/>
        <v>12909.5625</v>
      </c>
    </row>
    <row r="18" spans="2:12" ht="15" x14ac:dyDescent="0.2">
      <c r="B18" s="207" t="s">
        <v>148</v>
      </c>
      <c r="C18" s="210">
        <f>+UACI!D12</f>
        <v>13230</v>
      </c>
      <c r="D18" s="210">
        <f>+UACI!D15+UACI!D17</f>
        <v>1954.875</v>
      </c>
      <c r="E18" s="211">
        <f t="shared" si="1"/>
        <v>15184.875</v>
      </c>
      <c r="F18" s="212"/>
      <c r="G18" s="208"/>
      <c r="H18" s="208"/>
      <c r="I18" s="262" t="s">
        <v>148</v>
      </c>
      <c r="J18" s="263">
        <f>+UACI!E12</f>
        <v>5370</v>
      </c>
      <c r="K18" s="263">
        <f>+UACI!E15+UACI!E17</f>
        <v>872.625</v>
      </c>
      <c r="L18" s="264">
        <f t="shared" si="0"/>
        <v>6242.625</v>
      </c>
    </row>
    <row r="19" spans="2:12" ht="15" x14ac:dyDescent="0.2">
      <c r="B19" s="207" t="s">
        <v>174</v>
      </c>
      <c r="C19" s="210">
        <f>+MERCADO!D12</f>
        <v>9950</v>
      </c>
      <c r="D19" s="210">
        <f>+MERCADO!D16+MERCADO!D18</f>
        <v>1267.5</v>
      </c>
      <c r="E19" s="211">
        <f t="shared" si="1"/>
        <v>11217.5</v>
      </c>
      <c r="F19" s="212"/>
      <c r="G19" s="208"/>
      <c r="H19" s="208"/>
      <c r="I19" s="262" t="s">
        <v>174</v>
      </c>
      <c r="J19" s="263">
        <f>+MERCADO!E12</f>
        <v>7800</v>
      </c>
      <c r="K19" s="263">
        <f>+MERCADO!E16+MERCADO!E18</f>
        <v>1267.5</v>
      </c>
      <c r="L19" s="264">
        <f t="shared" si="0"/>
        <v>9067.5</v>
      </c>
    </row>
    <row r="20" spans="2:12" ht="15" x14ac:dyDescent="0.2">
      <c r="B20" s="207" t="s">
        <v>175</v>
      </c>
      <c r="C20" s="210">
        <f>+'REGISTRO FAM'!D13</f>
        <v>11870</v>
      </c>
      <c r="D20" s="210">
        <f>+'REGISTRO FAM'!D16+'REGISTRO FAM'!D18</f>
        <v>1628.25</v>
      </c>
      <c r="E20" s="211">
        <f t="shared" si="1"/>
        <v>13498.25</v>
      </c>
      <c r="F20" s="212"/>
      <c r="G20" s="208"/>
      <c r="H20" s="208"/>
      <c r="I20" s="262" t="s">
        <v>175</v>
      </c>
      <c r="J20" s="263">
        <f>+'REGISTRO FAM'!E13</f>
        <v>13980</v>
      </c>
      <c r="K20" s="263">
        <f>+'REGISTRO FAM'!E16+'REGISTRO FAM'!E18</f>
        <v>2271.75</v>
      </c>
      <c r="L20" s="264">
        <f t="shared" si="0"/>
        <v>16251.75</v>
      </c>
    </row>
    <row r="21" spans="2:12" ht="15" x14ac:dyDescent="0.2">
      <c r="B21" s="207" t="s">
        <v>151</v>
      </c>
      <c r="C21" s="210">
        <f>+CEMENTERIO!D13</f>
        <v>2800</v>
      </c>
      <c r="D21" s="210">
        <f>+CEMENTERIO!D16+CEMENTERIO!D18</f>
        <v>390</v>
      </c>
      <c r="E21" s="211">
        <f t="shared" si="1"/>
        <v>3190</v>
      </c>
      <c r="F21" s="212"/>
      <c r="G21" s="208"/>
      <c r="H21" s="208"/>
      <c r="I21" s="262" t="s">
        <v>151</v>
      </c>
      <c r="J21" s="263">
        <f>+CEMENTERIO!E13</f>
        <v>2400</v>
      </c>
      <c r="K21" s="263">
        <f>+CEMENTERIO!E16+CEMENTERIO!E18</f>
        <v>390</v>
      </c>
      <c r="L21" s="264">
        <f t="shared" si="0"/>
        <v>2790</v>
      </c>
    </row>
    <row r="22" spans="2:12" ht="15" x14ac:dyDescent="0.2">
      <c r="B22" s="207" t="s">
        <v>176</v>
      </c>
      <c r="C22" s="210">
        <f>+DISTRITO!D13</f>
        <v>29920</v>
      </c>
      <c r="D22" s="210">
        <f>+DISTRITO!D16+DISTRITO!D18</f>
        <v>4306.25</v>
      </c>
      <c r="E22" s="211">
        <f t="shared" si="1"/>
        <v>34226.25</v>
      </c>
      <c r="F22" s="212"/>
      <c r="G22" s="208"/>
      <c r="H22" s="208"/>
      <c r="I22" s="262" t="s">
        <v>176</v>
      </c>
      <c r="J22" s="263">
        <f>+DISTRITO!E13</f>
        <v>16940</v>
      </c>
      <c r="K22" s="263">
        <f>+DISTRITO!E16+DISTRITO!E18</f>
        <v>2752.75</v>
      </c>
      <c r="L22" s="264">
        <f t="shared" si="0"/>
        <v>19692.75</v>
      </c>
    </row>
    <row r="23" spans="2:12" ht="15" x14ac:dyDescent="0.2">
      <c r="B23" s="207" t="s">
        <v>153</v>
      </c>
      <c r="C23" s="210">
        <f>+PROYECTOS!D13</f>
        <v>18150</v>
      </c>
      <c r="D23" s="210">
        <f>+PROYECTOS!D16+PROYECTOS!D18</f>
        <v>2616.25</v>
      </c>
      <c r="E23" s="211">
        <f>SUM(C23:D23)</f>
        <v>20766.25</v>
      </c>
      <c r="F23" s="212"/>
      <c r="G23" s="208"/>
      <c r="H23" s="208"/>
      <c r="I23" s="262" t="s">
        <v>153</v>
      </c>
      <c r="J23" s="263">
        <f>+PROYECTOS!E13</f>
        <v>10300</v>
      </c>
      <c r="K23" s="263">
        <f>+PROYECTOS!E16+PROYECTOS!E18</f>
        <v>1673.75</v>
      </c>
      <c r="L23" s="264">
        <f t="shared" si="0"/>
        <v>11973.75</v>
      </c>
    </row>
    <row r="24" spans="2:12" ht="15" x14ac:dyDescent="0.2">
      <c r="B24" s="207" t="s">
        <v>177</v>
      </c>
      <c r="C24" s="210">
        <f>+'ACCESO A LA INF PUBLICA'!D13</f>
        <v>3450</v>
      </c>
      <c r="D24" s="210">
        <f>+'ACCESO A LA INF PUBLICA'!D16+'ACCESO A LA INF PUBLICA'!D18</f>
        <v>487.5</v>
      </c>
      <c r="E24" s="211">
        <f t="shared" si="1"/>
        <v>3937.5</v>
      </c>
      <c r="F24" s="212"/>
      <c r="G24" s="208"/>
      <c r="H24" s="208"/>
      <c r="I24" s="262" t="s">
        <v>177</v>
      </c>
      <c r="J24" s="263">
        <f>+'ACCESO A LA INF PUBLICA'!E13</f>
        <v>3000</v>
      </c>
      <c r="K24" s="263">
        <f>+'ACCESO A LA INF PUBLICA'!E16+'ACCESO A LA INF PUBLICA'!E18</f>
        <v>487.5</v>
      </c>
      <c r="L24" s="264">
        <f t="shared" si="0"/>
        <v>3487.5</v>
      </c>
    </row>
    <row r="25" spans="2:12" ht="15" x14ac:dyDescent="0.2">
      <c r="B25" s="207" t="s">
        <v>178</v>
      </c>
      <c r="C25" s="210">
        <f>+'DESARROLLO TEC.'!D13</f>
        <v>4050</v>
      </c>
      <c r="D25" s="210">
        <f>+'DESARROLLO TEC.'!D16+'DESARROLLO TEC.'!D18</f>
        <v>585</v>
      </c>
      <c r="E25" s="211">
        <f t="shared" si="1"/>
        <v>4635</v>
      </c>
      <c r="F25" s="212"/>
      <c r="G25" s="208"/>
      <c r="H25" s="208"/>
      <c r="I25" s="262" t="s">
        <v>178</v>
      </c>
      <c r="J25" s="263">
        <f>+'DESARROLLO TEC.'!E13</f>
        <v>3600</v>
      </c>
      <c r="K25" s="263">
        <f>+'DESARROLLO TEC.'!E16+'DESARROLLO TEC.'!E18</f>
        <v>585</v>
      </c>
      <c r="L25" s="264">
        <f t="shared" si="0"/>
        <v>4185</v>
      </c>
    </row>
    <row r="26" spans="2:12" ht="15" x14ac:dyDescent="0.2">
      <c r="B26" s="207" t="s">
        <v>156</v>
      </c>
      <c r="C26" s="210">
        <f>+COMUNICACIONES!D13</f>
        <v>15400</v>
      </c>
      <c r="D26" s="210">
        <f>+COMUNICACIONES!D16+COMUNICACIONES!D18</f>
        <v>2242.5</v>
      </c>
      <c r="E26" s="211">
        <f t="shared" si="1"/>
        <v>17642.5</v>
      </c>
      <c r="F26" s="212"/>
      <c r="G26" s="208"/>
      <c r="H26" s="208"/>
      <c r="I26" s="262" t="s">
        <v>156</v>
      </c>
      <c r="J26" s="263">
        <f>+COMUNICACIONES!E13</f>
        <v>8400</v>
      </c>
      <c r="K26" s="263">
        <f>+COMUNICACIONES!E16+COMUNICACIONES!E18</f>
        <v>1365</v>
      </c>
      <c r="L26" s="264">
        <f t="shared" si="0"/>
        <v>9765</v>
      </c>
    </row>
    <row r="27" spans="2:12" ht="15" x14ac:dyDescent="0.2">
      <c r="B27" s="207" t="s">
        <v>157</v>
      </c>
      <c r="C27" s="210">
        <f>+CAM!D13</f>
        <v>102150</v>
      </c>
      <c r="D27" s="210">
        <f>+CAM!D17+CAM!D19</f>
        <v>13845</v>
      </c>
      <c r="E27" s="211">
        <f t="shared" si="1"/>
        <v>115995</v>
      </c>
      <c r="F27" s="212"/>
      <c r="G27" s="208"/>
      <c r="H27" s="208"/>
      <c r="I27" s="262" t="s">
        <v>157</v>
      </c>
      <c r="J27" s="263">
        <f>+CAM!E13</f>
        <v>85200</v>
      </c>
      <c r="K27" s="263">
        <f>+CAM!E17+CAM!E19</f>
        <v>13845</v>
      </c>
      <c r="L27" s="264">
        <f t="shared" si="0"/>
        <v>99045</v>
      </c>
    </row>
    <row r="28" spans="2:12" ht="15" x14ac:dyDescent="0.2">
      <c r="B28" s="207" t="s">
        <v>158</v>
      </c>
      <c r="C28" s="210">
        <f>+DHI!D13</f>
        <v>55450</v>
      </c>
      <c r="D28" s="210">
        <f>+DHI!D16+DHI!D18</f>
        <v>7848.75</v>
      </c>
      <c r="E28" s="211">
        <f t="shared" si="1"/>
        <v>63298.75</v>
      </c>
      <c r="F28" s="212"/>
      <c r="G28" s="208"/>
      <c r="H28" s="208"/>
      <c r="I28" s="262" t="s">
        <v>158</v>
      </c>
      <c r="J28" s="263">
        <f>+DHI!E13</f>
        <v>48300</v>
      </c>
      <c r="K28" s="263">
        <f>+DHI!E16+DHI!E18</f>
        <v>7848.75</v>
      </c>
      <c r="L28" s="264">
        <f t="shared" si="0"/>
        <v>56148.75</v>
      </c>
    </row>
    <row r="29" spans="2:12" ht="15" x14ac:dyDescent="0.2">
      <c r="B29" s="207" t="s">
        <v>179</v>
      </c>
      <c r="C29" s="210">
        <f>+SG!D13</f>
        <v>104390</v>
      </c>
      <c r="D29" s="210">
        <f>+SG!D17+SG!D19</f>
        <v>13864.5</v>
      </c>
      <c r="E29" s="211">
        <f t="shared" si="1"/>
        <v>118254.5</v>
      </c>
      <c r="F29" s="212"/>
      <c r="G29" s="208"/>
      <c r="H29" s="208"/>
      <c r="I29" s="262" t="s">
        <v>179</v>
      </c>
      <c r="J29" s="263">
        <f>+SG!E13</f>
        <v>85320</v>
      </c>
      <c r="K29" s="263">
        <f>+SG!E17+SG!E19</f>
        <v>13864.5</v>
      </c>
      <c r="L29" s="264">
        <f t="shared" si="0"/>
        <v>99184.5</v>
      </c>
    </row>
    <row r="30" spans="2:12" ht="15" x14ac:dyDescent="0.2">
      <c r="B30" s="207" t="s">
        <v>160</v>
      </c>
      <c r="C30" s="210">
        <f>+'MEDIO AMBIENTE'!D13</f>
        <v>13280</v>
      </c>
      <c r="D30" s="210">
        <f>+'MEDIO AMBIENTE'!D16+'MEDIO AMBIENTE'!D18</f>
        <v>1956.5</v>
      </c>
      <c r="E30" s="211">
        <f t="shared" si="1"/>
        <v>15236.5</v>
      </c>
      <c r="F30" s="212"/>
      <c r="G30" s="208"/>
      <c r="H30" s="208"/>
      <c r="I30" s="262" t="s">
        <v>160</v>
      </c>
      <c r="J30" s="263">
        <f>+'MEDIO AMBIENTE'!E13</f>
        <v>4040</v>
      </c>
      <c r="K30" s="263">
        <f>+'MEDIO AMBIENTE'!E16+'MEDIO AMBIENTE'!E18</f>
        <v>656.5</v>
      </c>
      <c r="L30" s="264">
        <f t="shared" si="0"/>
        <v>4696.5</v>
      </c>
    </row>
    <row r="31" spans="2:12" ht="15" x14ac:dyDescent="0.2">
      <c r="B31" s="207" t="s">
        <v>180</v>
      </c>
      <c r="C31" s="210">
        <f>+'GESTION DE RIESGO'!D13</f>
        <v>9610</v>
      </c>
      <c r="D31" s="210">
        <f>+'GESTION DE RIESGO'!D17+'GESTION DE RIESGO'!D19</f>
        <v>1209</v>
      </c>
      <c r="E31" s="211">
        <f>SUM(C31:D31)</f>
        <v>10819</v>
      </c>
      <c r="F31" s="212"/>
      <c r="G31" s="208"/>
      <c r="H31" s="208"/>
      <c r="I31" s="262" t="s">
        <v>180</v>
      </c>
      <c r="J31" s="263">
        <f>+'GESTION DE RIESGO'!E13</f>
        <v>7800</v>
      </c>
      <c r="K31" s="263">
        <f>+'GESTION DE RIESGO'!E17+'GESTION DE RIESGO'!E19</f>
        <v>1267.5</v>
      </c>
      <c r="L31" s="264">
        <f t="shared" si="0"/>
        <v>9067.5</v>
      </c>
    </row>
    <row r="32" spans="2:12" ht="15" x14ac:dyDescent="0.2">
      <c r="B32" s="207" t="s">
        <v>162</v>
      </c>
      <c r="C32" s="210">
        <f>+UDEL!D13</f>
        <v>17900</v>
      </c>
      <c r="D32" s="210">
        <f>+UDEL!D16+UDEL!D18</f>
        <v>2632.5</v>
      </c>
      <c r="E32" s="211">
        <f t="shared" si="1"/>
        <v>20532.5</v>
      </c>
      <c r="F32" s="212"/>
      <c r="G32" s="208"/>
      <c r="H32" s="208"/>
      <c r="I32" s="262" t="s">
        <v>162</v>
      </c>
      <c r="J32" s="263">
        <f>+UDEL!E13</f>
        <v>4800</v>
      </c>
      <c r="K32" s="263">
        <f>+UDEL!E16+UDEL!E18</f>
        <v>780</v>
      </c>
      <c r="L32" s="264">
        <f t="shared" si="0"/>
        <v>5580</v>
      </c>
    </row>
    <row r="33" spans="2:14" ht="15" x14ac:dyDescent="0.2">
      <c r="B33" s="207" t="s">
        <v>181</v>
      </c>
      <c r="C33" s="210">
        <f>+'PROMOCION SOCIAL'!D13</f>
        <v>65350</v>
      </c>
      <c r="D33" s="210">
        <f>+'PROMOCION SOCIAL'!D16+'PROMOCION SOCIAL'!D18</f>
        <v>9116.25</v>
      </c>
      <c r="E33" s="211">
        <f t="shared" si="1"/>
        <v>74466.25</v>
      </c>
      <c r="F33" s="212"/>
      <c r="G33" s="208"/>
      <c r="H33" s="208"/>
      <c r="I33" s="262" t="s">
        <v>181</v>
      </c>
      <c r="J33" s="263">
        <f>+'PROMOCION SOCIAL'!E13</f>
        <v>56100</v>
      </c>
      <c r="K33" s="263">
        <f>+'PROMOCION SOCIAL'!E16+'PROMOCION SOCIAL'!E18</f>
        <v>9116.25</v>
      </c>
      <c r="L33" s="264">
        <f t="shared" si="0"/>
        <v>65216.25</v>
      </c>
    </row>
    <row r="34" spans="2:14" ht="15.75" x14ac:dyDescent="0.25">
      <c r="B34" s="265" t="s">
        <v>165</v>
      </c>
      <c r="C34" s="266">
        <f>SUM(C5:C33)</f>
        <v>769770.5</v>
      </c>
      <c r="D34" s="266">
        <f>SUM(D5:D33)</f>
        <v>164574.88750000001</v>
      </c>
      <c r="E34" s="267">
        <f>SUM(E5:E33)</f>
        <v>934345.38749999995</v>
      </c>
      <c r="F34" s="212"/>
      <c r="G34" s="208"/>
      <c r="H34" s="208"/>
      <c r="I34" s="265" t="s">
        <v>165</v>
      </c>
      <c r="J34" s="266">
        <f>SUM(J5:J33)</f>
        <v>517334.5</v>
      </c>
      <c r="K34" s="266">
        <f>SUM(K5:K33)</f>
        <v>84066.857499999998</v>
      </c>
      <c r="L34" s="267">
        <f>SUM(L5:L33)</f>
        <v>601401.35750000004</v>
      </c>
    </row>
    <row r="35" spans="2:14" ht="15" x14ac:dyDescent="0.2">
      <c r="I35" s="268"/>
      <c r="J35" s="268"/>
      <c r="K35" s="268"/>
      <c r="L35" s="268"/>
    </row>
    <row r="37" spans="2:14" ht="15" x14ac:dyDescent="0.25">
      <c r="N37" s="370">
        <f>'CONSOLIDADO I Y E'!C12/2</f>
        <v>601401.36</v>
      </c>
    </row>
    <row r="38" spans="2:14" x14ac:dyDescent="0.2">
      <c r="L38" s="331"/>
    </row>
    <row r="40" spans="2:14" ht="15.75" x14ac:dyDescent="0.25">
      <c r="N40" s="369">
        <f>L34-N37</f>
        <v>-2.4999999441206455E-3</v>
      </c>
    </row>
  </sheetData>
  <mergeCells count="2">
    <mergeCell ref="B3:E3"/>
    <mergeCell ref="I3:L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81"/>
  <sheetViews>
    <sheetView workbookViewId="0">
      <selection activeCell="L75" sqref="L75"/>
    </sheetView>
  </sheetViews>
  <sheetFormatPr baseColWidth="10" defaultRowHeight="15" x14ac:dyDescent="0.25"/>
  <cols>
    <col min="1" max="1" width="5.42578125" style="214" customWidth="1"/>
    <col min="2" max="2" width="5.140625" style="214" customWidth="1"/>
    <col min="3" max="3" width="37.28515625" style="214" customWidth="1"/>
    <col min="4" max="4" width="25.7109375" style="214" customWidth="1"/>
    <col min="5" max="5" width="7" style="214" customWidth="1"/>
    <col min="6" max="8" width="4.140625" style="214" customWidth="1"/>
    <col min="9" max="9" width="5.7109375" style="214" customWidth="1"/>
    <col min="10" max="10" width="35.85546875" style="214" customWidth="1"/>
    <col min="11" max="11" width="20.28515625" style="214" customWidth="1"/>
    <col min="12" max="16384" width="11.42578125" style="214"/>
  </cols>
  <sheetData>
    <row r="2" spans="3:11" ht="30" customHeight="1" x14ac:dyDescent="0.25">
      <c r="C2" s="406" t="s">
        <v>183</v>
      </c>
      <c r="D2" s="406"/>
      <c r="E2" s="213"/>
      <c r="F2" s="213"/>
      <c r="G2" s="213"/>
      <c r="H2" s="213"/>
      <c r="I2" s="213"/>
      <c r="J2" s="406" t="s">
        <v>184</v>
      </c>
      <c r="K2" s="406"/>
    </row>
    <row r="3" spans="3:11" ht="30" x14ac:dyDescent="0.25">
      <c r="C3" s="176" t="s">
        <v>185</v>
      </c>
      <c r="D3" s="176" t="s">
        <v>439</v>
      </c>
      <c r="E3" s="215"/>
      <c r="F3" s="215"/>
      <c r="G3" s="215"/>
      <c r="H3" s="215"/>
      <c r="I3" s="215"/>
      <c r="J3" s="176" t="s">
        <v>185</v>
      </c>
      <c r="K3" s="176" t="s">
        <v>440</v>
      </c>
    </row>
    <row r="4" spans="3:11" x14ac:dyDescent="0.25">
      <c r="C4" s="216" t="s">
        <v>136</v>
      </c>
      <c r="D4" s="217">
        <f>+'CONCEJO MPAL'!D20</f>
        <v>55546.400000000001</v>
      </c>
      <c r="E4" s="218"/>
      <c r="F4" s="219"/>
      <c r="G4" s="219"/>
      <c r="H4" s="219"/>
      <c r="I4" s="220"/>
      <c r="J4" s="216" t="s">
        <v>136</v>
      </c>
      <c r="K4" s="217">
        <f>+'CONCEJO MPAL'!E20</f>
        <v>61842.719999999994</v>
      </c>
    </row>
    <row r="5" spans="3:11" x14ac:dyDescent="0.25">
      <c r="C5" s="216" t="s">
        <v>137</v>
      </c>
      <c r="D5" s="217">
        <f>+DESPACHO!D21</f>
        <v>54605</v>
      </c>
      <c r="E5" s="2"/>
      <c r="F5" s="3"/>
      <c r="G5" s="3"/>
      <c r="H5" s="3"/>
      <c r="I5" s="4"/>
      <c r="J5" s="216" t="s">
        <v>137</v>
      </c>
      <c r="K5" s="217">
        <f>+DESPACHO!E21</f>
        <v>63449.520000000004</v>
      </c>
    </row>
    <row r="6" spans="3:11" x14ac:dyDescent="0.25">
      <c r="C6" s="216" t="s">
        <v>138</v>
      </c>
      <c r="D6" s="217">
        <f>+SINDICATURA!D19</f>
        <v>285</v>
      </c>
      <c r="E6" s="2"/>
      <c r="F6" s="3"/>
      <c r="G6" s="3"/>
      <c r="H6" s="3"/>
      <c r="I6" s="4"/>
      <c r="J6" s="216" t="s">
        <v>138</v>
      </c>
      <c r="K6" s="217">
        <f>+SINDICATURA!E19</f>
        <v>0</v>
      </c>
    </row>
    <row r="7" spans="3:11" x14ac:dyDescent="0.25">
      <c r="C7" s="216" t="s">
        <v>171</v>
      </c>
      <c r="D7" s="217">
        <f>+SECRETARIA!D18</f>
        <v>4173.1000000000004</v>
      </c>
      <c r="E7" s="2"/>
      <c r="F7" s="3"/>
      <c r="G7" s="3"/>
      <c r="H7" s="3"/>
      <c r="I7" s="4"/>
      <c r="J7" s="216" t="s">
        <v>171</v>
      </c>
      <c r="K7" s="217">
        <f>+SECRETARIA!E18</f>
        <v>0</v>
      </c>
    </row>
    <row r="8" spans="3:11" x14ac:dyDescent="0.25">
      <c r="C8" s="216" t="s">
        <v>140</v>
      </c>
      <c r="D8" s="217">
        <f>+JURIDICO!D19</f>
        <v>2285</v>
      </c>
      <c r="E8" s="2"/>
      <c r="F8" s="3"/>
      <c r="G8" s="3"/>
      <c r="H8" s="3"/>
      <c r="I8" s="4"/>
      <c r="J8" s="216" t="s">
        <v>140</v>
      </c>
      <c r="K8" s="217">
        <f>+JURIDICO!E19</f>
        <v>0</v>
      </c>
    </row>
    <row r="9" spans="3:11" x14ac:dyDescent="0.25">
      <c r="C9" s="216" t="s">
        <v>141</v>
      </c>
      <c r="D9" s="217">
        <f>+GERENCIA!D19</f>
        <v>8125</v>
      </c>
      <c r="E9" s="2"/>
      <c r="F9" s="3"/>
      <c r="G9" s="3"/>
      <c r="H9" s="3"/>
      <c r="I9" s="4"/>
      <c r="J9" s="216" t="s">
        <v>141</v>
      </c>
      <c r="K9" s="217">
        <f>+GERENCIA!E19</f>
        <v>2500</v>
      </c>
    </row>
    <row r="10" spans="3:11" x14ac:dyDescent="0.25">
      <c r="C10" s="216" t="s">
        <v>142</v>
      </c>
      <c r="D10" s="217">
        <f>+AUDITORIA!D19</f>
        <v>697</v>
      </c>
      <c r="E10" s="2"/>
      <c r="F10" s="3"/>
      <c r="G10" s="3"/>
      <c r="H10" s="3"/>
      <c r="I10" s="4"/>
      <c r="J10" s="216" t="s">
        <v>142</v>
      </c>
      <c r="K10" s="217">
        <f>+AUDITORIA!E19</f>
        <v>0</v>
      </c>
    </row>
    <row r="11" spans="3:11" x14ac:dyDescent="0.25">
      <c r="C11" s="216" t="s">
        <v>143</v>
      </c>
      <c r="D11" s="217">
        <f>+RRHH!D21</f>
        <v>13822.48</v>
      </c>
      <c r="E11" s="2"/>
      <c r="F11" s="3"/>
      <c r="G11" s="3"/>
      <c r="H11" s="3"/>
      <c r="I11" s="4"/>
      <c r="J11" s="216" t="s">
        <v>143</v>
      </c>
      <c r="K11" s="217">
        <f>+RRHH!E21</f>
        <v>0</v>
      </c>
    </row>
    <row r="12" spans="3:11" x14ac:dyDescent="0.25">
      <c r="C12" s="216" t="s">
        <v>144</v>
      </c>
      <c r="D12" s="217">
        <f>+CONTABILIDAD!D19</f>
        <v>1073.25</v>
      </c>
      <c r="E12" s="2"/>
      <c r="F12" s="3"/>
      <c r="G12" s="3"/>
      <c r="H12" s="3"/>
      <c r="I12" s="4"/>
      <c r="J12" s="216" t="s">
        <v>144</v>
      </c>
      <c r="K12" s="217">
        <f>+CONTABILIDAD!E19</f>
        <v>0</v>
      </c>
    </row>
    <row r="13" spans="3:11" x14ac:dyDescent="0.25">
      <c r="C13" s="216" t="s">
        <v>145</v>
      </c>
      <c r="D13" s="217">
        <f>+PRESUPUESTO!D19</f>
        <v>893</v>
      </c>
      <c r="E13" s="2"/>
      <c r="F13" s="3"/>
      <c r="G13" s="3"/>
      <c r="H13" s="3"/>
      <c r="I13" s="4"/>
      <c r="J13" s="216" t="s">
        <v>145</v>
      </c>
      <c r="K13" s="217">
        <f>+PRESUPUESTO!E19</f>
        <v>0</v>
      </c>
    </row>
    <row r="14" spans="3:11" x14ac:dyDescent="0.25">
      <c r="C14" s="216" t="s">
        <v>146</v>
      </c>
      <c r="D14" s="217">
        <f>+TESORERIA!D19</f>
        <v>6788</v>
      </c>
      <c r="E14" s="2"/>
      <c r="F14" s="3"/>
      <c r="G14" s="3"/>
      <c r="H14" s="3"/>
      <c r="I14" s="4"/>
      <c r="J14" s="216" t="s">
        <v>146</v>
      </c>
      <c r="K14" s="217">
        <f>+TESORERIA!E19</f>
        <v>15583.529999999999</v>
      </c>
    </row>
    <row r="15" spans="3:11" x14ac:dyDescent="0.25">
      <c r="C15" s="216" t="s">
        <v>147</v>
      </c>
      <c r="D15" s="217">
        <f>+UATM!D19</f>
        <v>7900</v>
      </c>
      <c r="E15" s="2"/>
      <c r="F15" s="3"/>
      <c r="G15" s="3"/>
      <c r="H15" s="3"/>
      <c r="I15" s="4"/>
      <c r="J15" s="216" t="s">
        <v>147</v>
      </c>
      <c r="K15" s="217">
        <f>+UATM!E19</f>
        <v>0</v>
      </c>
    </row>
    <row r="16" spans="3:11" x14ac:dyDescent="0.25">
      <c r="C16" s="216" t="s">
        <v>148</v>
      </c>
      <c r="D16" s="217">
        <f>+UACI!D19</f>
        <v>3800</v>
      </c>
      <c r="E16" s="2"/>
      <c r="F16" s="3"/>
      <c r="G16" s="3"/>
      <c r="H16" s="3"/>
      <c r="I16" s="4"/>
      <c r="J16" s="216" t="s">
        <v>148</v>
      </c>
      <c r="K16" s="217">
        <f>+UACI!E19</f>
        <v>0</v>
      </c>
    </row>
    <row r="17" spans="3:11" x14ac:dyDescent="0.25">
      <c r="C17" s="216" t="s">
        <v>186</v>
      </c>
      <c r="D17" s="217">
        <f>+MERCADO!D20</f>
        <v>6868.35</v>
      </c>
      <c r="E17" s="2"/>
      <c r="F17" s="3"/>
      <c r="G17" s="3"/>
      <c r="H17" s="3"/>
      <c r="I17" s="4"/>
      <c r="J17" s="216" t="s">
        <v>186</v>
      </c>
      <c r="K17" s="217">
        <f>+MERCADO!E20</f>
        <v>2300</v>
      </c>
    </row>
    <row r="18" spans="3:11" x14ac:dyDescent="0.25">
      <c r="C18" s="216" t="s">
        <v>187</v>
      </c>
      <c r="D18" s="217">
        <f>+'REGISTRO FAM'!D20</f>
        <v>4098.1900000000005</v>
      </c>
      <c r="E18" s="2"/>
      <c r="F18" s="3"/>
      <c r="G18" s="3"/>
      <c r="H18" s="3"/>
      <c r="I18" s="4"/>
      <c r="J18" s="216" t="s">
        <v>187</v>
      </c>
      <c r="K18" s="217">
        <f>+'REGISTRO FAM'!E20</f>
        <v>0</v>
      </c>
    </row>
    <row r="19" spans="3:11" x14ac:dyDescent="0.25">
      <c r="C19" s="216" t="s">
        <v>188</v>
      </c>
      <c r="D19" s="217">
        <f>+CEMENTERIO!D20</f>
        <v>3500.55</v>
      </c>
      <c r="E19" s="2"/>
      <c r="F19" s="3"/>
      <c r="G19" s="3"/>
      <c r="H19" s="3"/>
      <c r="I19" s="4"/>
      <c r="J19" s="216" t="s">
        <v>188</v>
      </c>
      <c r="K19" s="217">
        <f>+CEMENTERIO!E20</f>
        <v>1524</v>
      </c>
    </row>
    <row r="20" spans="3:11" x14ac:dyDescent="0.25">
      <c r="C20" s="216" t="s">
        <v>152</v>
      </c>
      <c r="D20" s="217">
        <f>+DISTRITO!D20</f>
        <v>13724.04</v>
      </c>
      <c r="E20" s="2"/>
      <c r="F20" s="3"/>
      <c r="G20" s="3"/>
      <c r="H20" s="3"/>
      <c r="I20" s="4"/>
      <c r="J20" s="216" t="s">
        <v>152</v>
      </c>
      <c r="K20" s="217">
        <f>+DISTRITO!E20</f>
        <v>28000</v>
      </c>
    </row>
    <row r="21" spans="3:11" x14ac:dyDescent="0.25">
      <c r="C21" s="216" t="s">
        <v>153</v>
      </c>
      <c r="D21" s="217">
        <f>+PROYECTOS!D20</f>
        <v>17529.22</v>
      </c>
      <c r="E21" s="2"/>
      <c r="F21" s="3"/>
      <c r="G21" s="3"/>
      <c r="H21" s="3"/>
      <c r="I21" s="4"/>
      <c r="J21" s="216" t="s">
        <v>153</v>
      </c>
      <c r="K21" s="217">
        <f>+PROYECTOS!E20</f>
        <v>57205.67</v>
      </c>
    </row>
    <row r="22" spans="3:11" x14ac:dyDescent="0.25">
      <c r="C22" s="216" t="s">
        <v>189</v>
      </c>
      <c r="D22" s="217">
        <f>+'ACCESO A LA INF PUBLICA'!D20</f>
        <v>585.46</v>
      </c>
      <c r="E22" s="2"/>
      <c r="F22" s="3"/>
      <c r="G22" s="3"/>
      <c r="H22" s="3"/>
      <c r="I22" s="4"/>
      <c r="J22" s="216" t="s">
        <v>189</v>
      </c>
      <c r="K22" s="217">
        <f>+'ACCESO A LA INF PUBLICA'!E20</f>
        <v>0</v>
      </c>
    </row>
    <row r="23" spans="3:11" x14ac:dyDescent="0.25">
      <c r="C23" s="216" t="s">
        <v>190</v>
      </c>
      <c r="D23" s="217">
        <f>+'DESARROLLO TEC.'!D20</f>
        <v>2550</v>
      </c>
      <c r="E23" s="2"/>
      <c r="F23" s="3"/>
      <c r="G23" s="3"/>
      <c r="H23" s="3"/>
      <c r="I23" s="4"/>
      <c r="J23" s="216" t="s">
        <v>190</v>
      </c>
      <c r="K23" s="217">
        <f>+'DESARROLLO TEC.'!E20</f>
        <v>2000</v>
      </c>
    </row>
    <row r="24" spans="3:11" x14ac:dyDescent="0.25">
      <c r="C24" s="216" t="s">
        <v>156</v>
      </c>
      <c r="D24" s="217">
        <f>+COMUNICACIONES!D20</f>
        <v>13025.15</v>
      </c>
      <c r="E24" s="2"/>
      <c r="F24" s="3"/>
      <c r="G24" s="3"/>
      <c r="H24" s="3"/>
      <c r="I24" s="4"/>
      <c r="J24" s="216" t="s">
        <v>156</v>
      </c>
      <c r="K24" s="217">
        <f>+COMUNICACIONES!E20</f>
        <v>0</v>
      </c>
    </row>
    <row r="25" spans="3:11" x14ac:dyDescent="0.25">
      <c r="C25" s="216" t="s">
        <v>157</v>
      </c>
      <c r="D25" s="217">
        <f>+CAM!D21</f>
        <v>16240</v>
      </c>
      <c r="E25" s="2"/>
      <c r="F25" s="3"/>
      <c r="G25" s="3"/>
      <c r="H25" s="3"/>
      <c r="I25" s="4"/>
      <c r="J25" s="216" t="s">
        <v>157</v>
      </c>
      <c r="K25" s="217">
        <f>+CAM!E21</f>
        <v>14320</v>
      </c>
    </row>
    <row r="26" spans="3:11" x14ac:dyDescent="0.25">
      <c r="C26" s="216" t="s">
        <v>158</v>
      </c>
      <c r="D26" s="217">
        <f>+DHI!D20</f>
        <v>12300</v>
      </c>
      <c r="E26" s="2"/>
      <c r="F26" s="3"/>
      <c r="G26" s="3"/>
      <c r="H26" s="3"/>
      <c r="I26" s="4"/>
      <c r="J26" s="216" t="s">
        <v>158</v>
      </c>
      <c r="K26" s="217">
        <f>+DHI!E20</f>
        <v>0</v>
      </c>
    </row>
    <row r="27" spans="3:11" x14ac:dyDescent="0.25">
      <c r="C27" s="216" t="s">
        <v>159</v>
      </c>
      <c r="D27" s="217">
        <f>+SG!D21</f>
        <v>208622.83000000002</v>
      </c>
      <c r="E27" s="2"/>
      <c r="F27" s="3"/>
      <c r="G27" s="3"/>
      <c r="H27" s="3"/>
      <c r="I27" s="4"/>
      <c r="J27" s="216" t="s">
        <v>159</v>
      </c>
      <c r="K27" s="217">
        <f>+SG!E21</f>
        <v>287851.11</v>
      </c>
    </row>
    <row r="28" spans="3:11" x14ac:dyDescent="0.25">
      <c r="C28" s="216" t="s">
        <v>160</v>
      </c>
      <c r="D28" s="217">
        <f>+'MEDIO AMBIENTE'!D20</f>
        <v>5424</v>
      </c>
      <c r="E28" s="2"/>
      <c r="F28" s="3"/>
      <c r="G28" s="3"/>
      <c r="H28" s="3"/>
      <c r="I28" s="4"/>
      <c r="J28" s="216" t="s">
        <v>160</v>
      </c>
      <c r="K28" s="217">
        <f>+'MEDIO AMBIENTE'!E20</f>
        <v>10361</v>
      </c>
    </row>
    <row r="29" spans="3:11" x14ac:dyDescent="0.25">
      <c r="C29" s="216" t="s">
        <v>161</v>
      </c>
      <c r="D29" s="217">
        <f>+'GESTION DE RIESGO'!D21</f>
        <v>19523.07</v>
      </c>
      <c r="E29" s="2"/>
      <c r="F29" s="3"/>
      <c r="G29" s="3"/>
      <c r="H29" s="3"/>
      <c r="I29" s="4"/>
      <c r="J29" s="216" t="s">
        <v>161</v>
      </c>
      <c r="K29" s="217">
        <f>+'GESTION DE RIESGO'!E21</f>
        <v>26263.809999999998</v>
      </c>
    </row>
    <row r="30" spans="3:11" x14ac:dyDescent="0.25">
      <c r="C30" s="216" t="s">
        <v>162</v>
      </c>
      <c r="D30" s="217">
        <f>+UDEL!D20</f>
        <v>1200</v>
      </c>
      <c r="E30" s="2"/>
      <c r="F30" s="3"/>
      <c r="G30" s="3"/>
      <c r="H30" s="3"/>
      <c r="I30" s="4"/>
      <c r="J30" s="216" t="s">
        <v>162</v>
      </c>
      <c r="K30" s="217">
        <f>+UDEL!E20</f>
        <v>0</v>
      </c>
    </row>
    <row r="31" spans="3:11" x14ac:dyDescent="0.25">
      <c r="C31" s="216" t="s">
        <v>191</v>
      </c>
      <c r="D31" s="217">
        <f>+'PROMOCION SOCIAL'!D20</f>
        <v>16290</v>
      </c>
      <c r="E31" s="2"/>
      <c r="F31" s="3"/>
      <c r="G31" s="3"/>
      <c r="H31" s="3"/>
      <c r="I31" s="4"/>
      <c r="J31" s="216" t="s">
        <v>191</v>
      </c>
      <c r="K31" s="217">
        <f>+'PROMOCION SOCIAL'!E20</f>
        <v>16000</v>
      </c>
    </row>
    <row r="32" spans="3:11" x14ac:dyDescent="0.25">
      <c r="C32" s="216" t="s">
        <v>182</v>
      </c>
      <c r="D32" s="217">
        <f>+'GESTION Y COOPERACION'!D21</f>
        <v>875</v>
      </c>
      <c r="E32" s="2"/>
      <c r="F32" s="3"/>
      <c r="G32" s="3"/>
      <c r="H32" s="3"/>
      <c r="I32" s="4"/>
      <c r="J32" s="216" t="s">
        <v>182</v>
      </c>
      <c r="K32" s="217">
        <f>+'GESTION Y COOPERACION'!E21</f>
        <v>0</v>
      </c>
    </row>
    <row r="33" spans="3:11" x14ac:dyDescent="0.25">
      <c r="C33" s="221" t="s">
        <v>69</v>
      </c>
      <c r="D33" s="222">
        <f>SUM(D4:D32)</f>
        <v>502349.09</v>
      </c>
      <c r="E33" s="223"/>
      <c r="F33" s="224"/>
      <c r="G33" s="224"/>
      <c r="H33" s="224"/>
      <c r="I33" s="225"/>
      <c r="J33" s="221" t="s">
        <v>69</v>
      </c>
      <c r="K33" s="222">
        <f>SUM(K4:K32)</f>
        <v>589201.3600000001</v>
      </c>
    </row>
    <row r="34" spans="3:11" x14ac:dyDescent="0.25">
      <c r="F34" s="226"/>
      <c r="G34" s="226"/>
      <c r="H34" s="226"/>
    </row>
    <row r="35" spans="3:11" x14ac:dyDescent="0.25">
      <c r="F35" s="226"/>
      <c r="G35" s="226"/>
      <c r="H35" s="226"/>
    </row>
    <row r="36" spans="3:11" x14ac:dyDescent="0.25">
      <c r="C36" s="407" t="s">
        <v>192</v>
      </c>
      <c r="D36" s="407"/>
      <c r="F36" s="226"/>
      <c r="G36" s="226"/>
      <c r="H36" s="226"/>
      <c r="J36" s="407" t="s">
        <v>193</v>
      </c>
      <c r="K36" s="407"/>
    </row>
    <row r="37" spans="3:11" ht="30" x14ac:dyDescent="0.25">
      <c r="C37" s="176" t="s">
        <v>185</v>
      </c>
      <c r="D37" s="176" t="s">
        <v>197</v>
      </c>
      <c r="F37" s="226"/>
      <c r="G37" s="226"/>
      <c r="H37" s="226"/>
      <c r="J37" s="176" t="s">
        <v>185</v>
      </c>
      <c r="K37" s="176" t="s">
        <v>198</v>
      </c>
    </row>
    <row r="38" spans="3:11" x14ac:dyDescent="0.25">
      <c r="C38" s="227" t="s">
        <v>136</v>
      </c>
      <c r="D38" s="228">
        <f>+'CONCEJO MPAL'!D45</f>
        <v>31278</v>
      </c>
      <c r="F38" s="226"/>
      <c r="G38" s="226"/>
      <c r="H38" s="226"/>
      <c r="J38" s="227" t="s">
        <v>136</v>
      </c>
      <c r="K38" s="228">
        <f>+'CONCEJO MPAL'!E45</f>
        <v>0</v>
      </c>
    </row>
    <row r="39" spans="3:11" x14ac:dyDescent="0.25">
      <c r="C39" s="227" t="s">
        <v>146</v>
      </c>
      <c r="D39" s="191">
        <f>+TESORERIA!D31</f>
        <v>900</v>
      </c>
      <c r="F39" s="226"/>
      <c r="G39" s="226"/>
      <c r="H39" s="226"/>
      <c r="J39" s="227" t="s">
        <v>146</v>
      </c>
      <c r="K39" s="191">
        <f>+TESORERIA!E31</f>
        <v>200</v>
      </c>
    </row>
    <row r="40" spans="3:11" x14ac:dyDescent="0.25">
      <c r="C40" s="227" t="s">
        <v>147</v>
      </c>
      <c r="D40" s="191">
        <f>+UATM!D30</f>
        <v>15000</v>
      </c>
      <c r="F40" s="226"/>
      <c r="G40" s="226"/>
      <c r="H40" s="226"/>
      <c r="J40" s="227" t="s">
        <v>147</v>
      </c>
      <c r="K40" s="191">
        <f>+UATM!E30</f>
        <v>0</v>
      </c>
    </row>
    <row r="41" spans="3:11" x14ac:dyDescent="0.25">
      <c r="C41" s="221" t="s">
        <v>69</v>
      </c>
      <c r="D41" s="222">
        <f>SUM(D38:D40)</f>
        <v>47178</v>
      </c>
      <c r="F41" s="226"/>
      <c r="G41" s="226"/>
      <c r="H41" s="226"/>
      <c r="J41" s="229" t="s">
        <v>69</v>
      </c>
      <c r="K41" s="217">
        <f>SUM(K38:K40)</f>
        <v>200</v>
      </c>
    </row>
    <row r="42" spans="3:11" x14ac:dyDescent="0.25">
      <c r="F42" s="226"/>
      <c r="G42" s="226"/>
      <c r="H42" s="226"/>
    </row>
    <row r="43" spans="3:11" x14ac:dyDescent="0.25">
      <c r="F43" s="226"/>
      <c r="G43" s="226"/>
      <c r="H43" s="226"/>
    </row>
    <row r="44" spans="3:11" ht="30" customHeight="1" x14ac:dyDescent="0.25">
      <c r="C44" s="407" t="s">
        <v>194</v>
      </c>
      <c r="D44" s="407"/>
      <c r="F44" s="226"/>
      <c r="G44" s="226"/>
      <c r="H44" s="226"/>
      <c r="J44" s="405" t="s">
        <v>194</v>
      </c>
      <c r="K44" s="405"/>
    </row>
    <row r="45" spans="3:11" ht="30" x14ac:dyDescent="0.25">
      <c r="C45" s="176" t="s">
        <v>185</v>
      </c>
      <c r="D45" s="176" t="s">
        <v>197</v>
      </c>
      <c r="F45" s="226"/>
      <c r="G45" s="226"/>
      <c r="H45" s="226"/>
      <c r="J45" s="176" t="s">
        <v>185</v>
      </c>
      <c r="K45" s="176" t="s">
        <v>198</v>
      </c>
    </row>
    <row r="46" spans="3:11" x14ac:dyDescent="0.25">
      <c r="C46" s="227" t="s">
        <v>136</v>
      </c>
      <c r="D46" s="228">
        <f>+'CONCEJO MPAL'!D49</f>
        <v>1500</v>
      </c>
      <c r="F46" s="226"/>
      <c r="G46" s="226"/>
      <c r="H46" s="226"/>
      <c r="J46" s="227" t="s">
        <v>136</v>
      </c>
      <c r="K46" s="228">
        <f>+'CONCEJO MPAL'!E49</f>
        <v>7200</v>
      </c>
    </row>
    <row r="47" spans="3:11" x14ac:dyDescent="0.25">
      <c r="C47" s="227"/>
      <c r="D47" s="191"/>
      <c r="F47" s="226"/>
      <c r="G47" s="226"/>
      <c r="H47" s="226"/>
      <c r="J47" s="227"/>
      <c r="K47" s="191"/>
    </row>
    <row r="48" spans="3:11" x14ac:dyDescent="0.25">
      <c r="C48" s="221" t="s">
        <v>69</v>
      </c>
      <c r="D48" s="222">
        <f>SUM(D46:D47)</f>
        <v>1500</v>
      </c>
      <c r="F48" s="226"/>
      <c r="G48" s="226"/>
      <c r="H48" s="226"/>
      <c r="J48" s="229" t="s">
        <v>69</v>
      </c>
      <c r="K48" s="217">
        <f>SUM(K46:K47)</f>
        <v>7200</v>
      </c>
    </row>
    <row r="49" spans="3:11" x14ac:dyDescent="0.25">
      <c r="F49" s="226"/>
      <c r="G49" s="226"/>
      <c r="H49" s="226"/>
    </row>
    <row r="50" spans="3:11" x14ac:dyDescent="0.25">
      <c r="F50" s="226"/>
      <c r="G50" s="226"/>
      <c r="H50" s="226"/>
    </row>
    <row r="52" spans="3:11" ht="30" customHeight="1" x14ac:dyDescent="0.25">
      <c r="C52" s="405" t="s">
        <v>195</v>
      </c>
      <c r="D52" s="405"/>
      <c r="E52" s="226"/>
      <c r="F52" s="226"/>
      <c r="G52" s="226"/>
      <c r="H52" s="226"/>
      <c r="I52" s="226"/>
      <c r="J52" s="405" t="s">
        <v>196</v>
      </c>
      <c r="K52" s="405"/>
    </row>
    <row r="53" spans="3:11" ht="30" x14ac:dyDescent="0.25">
      <c r="C53" s="176" t="s">
        <v>185</v>
      </c>
      <c r="D53" s="176" t="s">
        <v>197</v>
      </c>
      <c r="E53" s="230"/>
      <c r="F53" s="215"/>
      <c r="G53" s="215"/>
      <c r="H53" s="215"/>
      <c r="I53" s="231"/>
      <c r="J53" s="176" t="s">
        <v>185</v>
      </c>
      <c r="K53" s="176" t="s">
        <v>198</v>
      </c>
    </row>
    <row r="54" spans="3:11" x14ac:dyDescent="0.25">
      <c r="C54" s="216" t="s">
        <v>136</v>
      </c>
      <c r="D54" s="228">
        <f>+'CONCEJO MPAL'!D56</f>
        <v>800</v>
      </c>
      <c r="E54" s="218"/>
      <c r="F54" s="219"/>
      <c r="G54" s="219"/>
      <c r="H54" s="219"/>
      <c r="I54" s="220"/>
      <c r="J54" s="216" t="s">
        <v>136</v>
      </c>
      <c r="K54" s="191">
        <f>+'CONCEJO MPAL'!E56</f>
        <v>0</v>
      </c>
    </row>
    <row r="55" spans="3:11" x14ac:dyDescent="0.25">
      <c r="C55" s="216" t="s">
        <v>137</v>
      </c>
      <c r="D55" s="191">
        <f>+DESPACHO!D49</f>
        <v>0</v>
      </c>
      <c r="E55" s="2"/>
      <c r="F55" s="3"/>
      <c r="G55" s="3"/>
      <c r="H55" s="3"/>
      <c r="I55" s="4"/>
      <c r="J55" s="216" t="s">
        <v>137</v>
      </c>
      <c r="K55" s="191">
        <f>DESPACHO!E49</f>
        <v>2000</v>
      </c>
    </row>
    <row r="56" spans="3:11" x14ac:dyDescent="0.25">
      <c r="C56" s="216" t="s">
        <v>138</v>
      </c>
      <c r="D56" s="191">
        <f>+SINDICATURA!D25</f>
        <v>500</v>
      </c>
      <c r="E56" s="2"/>
      <c r="F56" s="3"/>
      <c r="G56" s="3"/>
      <c r="H56" s="3"/>
      <c r="I56" s="4"/>
      <c r="J56" s="216" t="s">
        <v>138</v>
      </c>
      <c r="K56" s="191">
        <f>+SINDICATURA!E25</f>
        <v>0</v>
      </c>
    </row>
    <row r="57" spans="3:11" x14ac:dyDescent="0.25">
      <c r="C57" s="216" t="s">
        <v>171</v>
      </c>
      <c r="D57" s="191">
        <f>+SECRETARIA!D28</f>
        <v>600</v>
      </c>
      <c r="E57" s="2"/>
      <c r="F57" s="3"/>
      <c r="G57" s="3"/>
      <c r="H57" s="3"/>
      <c r="I57" s="4"/>
      <c r="J57" s="216" t="s">
        <v>171</v>
      </c>
      <c r="K57" s="191">
        <f>+SECRETARIA!E28</f>
        <v>2000</v>
      </c>
    </row>
    <row r="58" spans="3:11" x14ac:dyDescent="0.25">
      <c r="C58" s="216" t="s">
        <v>140</v>
      </c>
      <c r="D58" s="191">
        <f>+JURIDICO!D28</f>
        <v>650</v>
      </c>
      <c r="E58" s="2"/>
      <c r="F58" s="3"/>
      <c r="G58" s="3"/>
      <c r="H58" s="3"/>
      <c r="I58" s="4"/>
      <c r="J58" s="216" t="s">
        <v>140</v>
      </c>
      <c r="K58" s="191">
        <f>+JURIDICO!E28</f>
        <v>0</v>
      </c>
    </row>
    <row r="59" spans="3:11" x14ac:dyDescent="0.25">
      <c r="C59" s="216" t="s">
        <v>141</v>
      </c>
      <c r="D59" s="191">
        <f>+GERENCIA!D32</f>
        <v>300</v>
      </c>
      <c r="E59" s="2"/>
      <c r="F59" s="3"/>
      <c r="G59" s="3"/>
      <c r="H59" s="3"/>
      <c r="I59" s="4"/>
      <c r="J59" s="216" t="s">
        <v>141</v>
      </c>
      <c r="K59" s="191">
        <f>+GERENCIA!E32</f>
        <v>0</v>
      </c>
    </row>
    <row r="60" spans="3:11" x14ac:dyDescent="0.25">
      <c r="C60" s="216" t="s">
        <v>143</v>
      </c>
      <c r="D60" s="191">
        <f>+RRHH!D33</f>
        <v>7000</v>
      </c>
      <c r="E60" s="2"/>
      <c r="F60" s="3"/>
      <c r="G60" s="3"/>
      <c r="H60" s="3"/>
      <c r="I60" s="4"/>
      <c r="J60" s="216" t="s">
        <v>143</v>
      </c>
      <c r="K60" s="191">
        <f>+RRHH!E33</f>
        <v>0</v>
      </c>
    </row>
    <row r="61" spans="3:11" x14ac:dyDescent="0.25">
      <c r="C61" s="216" t="s">
        <v>145</v>
      </c>
      <c r="D61" s="191">
        <f>+PRESUPUESTO!D24</f>
        <v>1400</v>
      </c>
      <c r="E61" s="2"/>
      <c r="F61" s="3"/>
      <c r="G61" s="3"/>
      <c r="H61" s="3"/>
      <c r="I61" s="4"/>
      <c r="J61" s="216" t="s">
        <v>375</v>
      </c>
      <c r="K61" s="191">
        <f>+PRESUPUESTO!E24</f>
        <v>0</v>
      </c>
    </row>
    <row r="62" spans="3:11" x14ac:dyDescent="0.25">
      <c r="C62" s="216" t="s">
        <v>144</v>
      </c>
      <c r="D62" s="191">
        <f>+CONTABILIDAD!D26</f>
        <v>150</v>
      </c>
      <c r="E62" s="2"/>
      <c r="F62" s="3"/>
      <c r="G62" s="3"/>
      <c r="H62" s="3"/>
      <c r="I62" s="4"/>
      <c r="J62" s="216" t="s">
        <v>144</v>
      </c>
      <c r="K62" s="191">
        <f>+CONTABILIDAD!E26</f>
        <v>0</v>
      </c>
    </row>
    <row r="63" spans="3:11" x14ac:dyDescent="0.25">
      <c r="C63" s="216" t="s">
        <v>147</v>
      </c>
      <c r="D63" s="191">
        <f>+UATM!D33</f>
        <v>1100</v>
      </c>
      <c r="E63" s="2"/>
      <c r="F63" s="3"/>
      <c r="G63" s="3"/>
      <c r="H63" s="3"/>
      <c r="I63" s="4"/>
      <c r="J63" s="216" t="s">
        <v>147</v>
      </c>
      <c r="K63" s="191">
        <f>+UATM!E33</f>
        <v>0</v>
      </c>
    </row>
    <row r="64" spans="3:11" x14ac:dyDescent="0.25">
      <c r="C64" s="216" t="s">
        <v>187</v>
      </c>
      <c r="D64" s="191">
        <f>+'REGISTRO FAM'!D29</f>
        <v>3600</v>
      </c>
      <c r="E64" s="2"/>
      <c r="F64" s="3"/>
      <c r="G64" s="3"/>
      <c r="H64" s="3"/>
      <c r="I64" s="4"/>
      <c r="J64" s="216" t="s">
        <v>187</v>
      </c>
      <c r="K64" s="191">
        <f>+'REGISTRO FAM'!E29</f>
        <v>0</v>
      </c>
    </row>
    <row r="65" spans="3:11" x14ac:dyDescent="0.25">
      <c r="C65" s="216" t="s">
        <v>176</v>
      </c>
      <c r="D65" s="191">
        <f>+DISTRITO!D39</f>
        <v>900</v>
      </c>
      <c r="E65" s="2"/>
      <c r="F65" s="3"/>
      <c r="G65" s="3"/>
      <c r="H65" s="3"/>
      <c r="I65" s="4"/>
      <c r="J65" s="216" t="s">
        <v>176</v>
      </c>
      <c r="K65" s="191">
        <f>+DISTRITO!E39</f>
        <v>0</v>
      </c>
    </row>
    <row r="66" spans="3:11" x14ac:dyDescent="0.25">
      <c r="C66" s="216" t="s">
        <v>153</v>
      </c>
      <c r="D66" s="191">
        <f>+PROYECTOS!D35</f>
        <v>1000</v>
      </c>
      <c r="E66" s="2"/>
      <c r="F66" s="3"/>
      <c r="G66" s="3"/>
      <c r="H66" s="3"/>
      <c r="I66" s="4"/>
      <c r="J66" s="216" t="s">
        <v>153</v>
      </c>
      <c r="K66" s="191">
        <f>+PROYECTOS!E35</f>
        <v>0</v>
      </c>
    </row>
    <row r="67" spans="3:11" x14ac:dyDescent="0.25">
      <c r="C67" s="216" t="s">
        <v>189</v>
      </c>
      <c r="D67" s="191">
        <f>+'ACCESO A LA INF PUBLICA'!D29</f>
        <v>100</v>
      </c>
      <c r="E67" s="2"/>
      <c r="F67" s="3"/>
      <c r="G67" s="3"/>
      <c r="H67" s="3"/>
      <c r="I67" s="4"/>
      <c r="J67" s="216" t="s">
        <v>189</v>
      </c>
      <c r="K67" s="191">
        <f>+'ACCESO A LA INF PUBLICA'!E29</f>
        <v>0</v>
      </c>
    </row>
    <row r="68" spans="3:11" x14ac:dyDescent="0.25">
      <c r="C68" s="216" t="s">
        <v>190</v>
      </c>
      <c r="D68" s="191">
        <f>+'DESARROLLO TEC.'!D30</f>
        <v>1200</v>
      </c>
      <c r="E68" s="2"/>
      <c r="F68" s="3"/>
      <c r="G68" s="3"/>
      <c r="H68" s="3"/>
      <c r="I68" s="4"/>
      <c r="J68" s="216" t="s">
        <v>190</v>
      </c>
      <c r="K68" s="191">
        <f>+'DESARROLLO TEC.'!E30</f>
        <v>0</v>
      </c>
    </row>
    <row r="69" spans="3:11" x14ac:dyDescent="0.25">
      <c r="C69" s="216" t="s">
        <v>156</v>
      </c>
      <c r="D69" s="191">
        <f>+COMUNICACIONES!D30</f>
        <v>1580</v>
      </c>
      <c r="E69" s="2"/>
      <c r="F69" s="3"/>
      <c r="G69" s="3"/>
      <c r="H69" s="3"/>
      <c r="I69" s="4"/>
      <c r="J69" s="216" t="s">
        <v>156</v>
      </c>
      <c r="K69" s="191">
        <f>+COMUNICACIONES!E30</f>
        <v>0</v>
      </c>
    </row>
    <row r="70" spans="3:11" x14ac:dyDescent="0.25">
      <c r="C70" s="216" t="s">
        <v>157</v>
      </c>
      <c r="D70" s="191">
        <f>+CAM!D33</f>
        <v>950</v>
      </c>
      <c r="E70" s="2"/>
      <c r="F70" s="3"/>
      <c r="G70" s="3"/>
      <c r="H70" s="3"/>
      <c r="I70" s="4"/>
      <c r="J70" s="216" t="s">
        <v>157</v>
      </c>
      <c r="K70" s="191">
        <f>+CAM!E33</f>
        <v>0</v>
      </c>
    </row>
    <row r="71" spans="3:11" x14ac:dyDescent="0.25">
      <c r="C71" s="216" t="s">
        <v>158</v>
      </c>
      <c r="D71" s="191">
        <f>+DHI!D34</f>
        <v>1000</v>
      </c>
      <c r="E71" s="2"/>
      <c r="F71" s="3"/>
      <c r="G71" s="3"/>
      <c r="H71" s="3"/>
      <c r="I71" s="4"/>
      <c r="J71" s="216" t="s">
        <v>158</v>
      </c>
      <c r="K71" s="191">
        <f>+DHI!E34</f>
        <v>0</v>
      </c>
    </row>
    <row r="72" spans="3:11" x14ac:dyDescent="0.25">
      <c r="C72" s="216" t="s">
        <v>160</v>
      </c>
      <c r="D72" s="191">
        <f>+'MEDIO AMBIENTE'!D35</f>
        <v>700</v>
      </c>
      <c r="E72" s="2"/>
      <c r="F72" s="3"/>
      <c r="G72" s="3"/>
      <c r="H72" s="3"/>
      <c r="I72" s="4"/>
      <c r="J72" s="216" t="s">
        <v>160</v>
      </c>
      <c r="K72" s="191">
        <f>+'MEDIO AMBIENTE'!E35</f>
        <v>0</v>
      </c>
    </row>
    <row r="73" spans="3:11" x14ac:dyDescent="0.25">
      <c r="C73" s="216" t="s">
        <v>191</v>
      </c>
      <c r="D73" s="191">
        <f>+'PROMOCION SOCIAL'!D32</f>
        <v>900</v>
      </c>
      <c r="E73" s="2"/>
      <c r="F73" s="3"/>
      <c r="G73" s="3"/>
      <c r="H73" s="3"/>
      <c r="I73" s="4"/>
      <c r="J73" s="216" t="s">
        <v>191</v>
      </c>
      <c r="K73" s="191">
        <f>+'PROMOCION SOCIAL'!E32</f>
        <v>800</v>
      </c>
    </row>
    <row r="74" spans="3:11" x14ac:dyDescent="0.25">
      <c r="C74" s="221" t="s">
        <v>69</v>
      </c>
      <c r="D74" s="222">
        <f>SUM(D54:D73)</f>
        <v>24430</v>
      </c>
      <c r="E74" s="223"/>
      <c r="F74" s="224"/>
      <c r="G74" s="224"/>
      <c r="H74" s="224"/>
      <c r="I74" s="225"/>
      <c r="J74" s="176" t="s">
        <v>69</v>
      </c>
      <c r="K74" s="217">
        <f>SUM(K54:K73)</f>
        <v>4800</v>
      </c>
    </row>
    <row r="81" spans="10:10" x14ac:dyDescent="0.25">
      <c r="J81" s="214" t="s">
        <v>383</v>
      </c>
    </row>
  </sheetData>
  <mergeCells count="8">
    <mergeCell ref="J52:K52"/>
    <mergeCell ref="C52:D52"/>
    <mergeCell ref="J2:K2"/>
    <mergeCell ref="C2:D2"/>
    <mergeCell ref="C36:D36"/>
    <mergeCell ref="J36:K36"/>
    <mergeCell ref="C44:D44"/>
    <mergeCell ref="J44:K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7"/>
  <sheetViews>
    <sheetView workbookViewId="0">
      <selection activeCell="D27" sqref="D27"/>
    </sheetView>
  </sheetViews>
  <sheetFormatPr baseColWidth="10" defaultRowHeight="15" x14ac:dyDescent="0.25"/>
  <cols>
    <col min="1" max="1" width="4.140625" style="19" customWidth="1"/>
    <col min="2" max="2" width="6.85546875" style="19" customWidth="1"/>
    <col min="3" max="3" width="51.5703125" style="19" customWidth="1"/>
    <col min="4" max="4" width="20.7109375" style="19" customWidth="1"/>
    <col min="5" max="16384" width="11.42578125" style="19"/>
  </cols>
  <sheetData>
    <row r="2" spans="2:4" x14ac:dyDescent="0.25">
      <c r="B2" s="408" t="s">
        <v>434</v>
      </c>
      <c r="C2" s="409"/>
      <c r="D2" s="410"/>
    </row>
    <row r="3" spans="2:4" ht="15.75" x14ac:dyDescent="0.25">
      <c r="B3" s="20"/>
      <c r="C3" s="21" t="s">
        <v>210</v>
      </c>
      <c r="D3" s="12">
        <f>+'PRESU INGRESOS'!E48</f>
        <v>790104.16999999993</v>
      </c>
    </row>
    <row r="4" spans="2:4" ht="15.75" x14ac:dyDescent="0.25">
      <c r="B4" s="20"/>
      <c r="C4" s="11" t="s">
        <v>211</v>
      </c>
      <c r="D4" s="192">
        <f>+'PRESU INGRESOS'!E61</f>
        <v>35.340000000000003</v>
      </c>
    </row>
    <row r="5" spans="2:4" ht="15.75" x14ac:dyDescent="0.25">
      <c r="B5" s="20"/>
      <c r="C5" s="11" t="s">
        <v>429</v>
      </c>
      <c r="D5" s="12">
        <v>412663.21</v>
      </c>
    </row>
    <row r="6" spans="2:4" ht="18" x14ac:dyDescent="0.25">
      <c r="B6" s="20"/>
      <c r="C6" s="11" t="s">
        <v>200</v>
      </c>
      <c r="D6" s="373">
        <f>SUM(D3:D5)</f>
        <v>1202802.72</v>
      </c>
    </row>
    <row r="7" spans="2:4" x14ac:dyDescent="0.25">
      <c r="B7" s="22"/>
      <c r="C7" s="23"/>
      <c r="D7" s="24"/>
    </row>
    <row r="8" spans="2:4" ht="15.75" x14ac:dyDescent="0.25">
      <c r="B8" s="5" t="s">
        <v>201</v>
      </c>
      <c r="C8" s="5" t="s">
        <v>202</v>
      </c>
      <c r="D8" s="5" t="s">
        <v>203</v>
      </c>
    </row>
    <row r="9" spans="2:4" ht="15.75" x14ac:dyDescent="0.25">
      <c r="B9" s="15">
        <v>1</v>
      </c>
      <c r="C9" s="6" t="s">
        <v>204</v>
      </c>
      <c r="D9" s="16">
        <f>REMUNERACIONES!L34</f>
        <v>601401.35750000004</v>
      </c>
    </row>
    <row r="10" spans="2:4" ht="15.75" x14ac:dyDescent="0.25">
      <c r="B10" s="15">
        <f>B9+1</f>
        <v>2</v>
      </c>
      <c r="C10" s="6" t="s">
        <v>212</v>
      </c>
      <c r="D10" s="16">
        <f>GASTO!K33</f>
        <v>589201.3600000001</v>
      </c>
    </row>
    <row r="11" spans="2:4" ht="15.75" x14ac:dyDescent="0.25">
      <c r="B11" s="15">
        <v>3</v>
      </c>
      <c r="C11" s="6" t="s">
        <v>206</v>
      </c>
      <c r="D11" s="16">
        <f>GASTO!K41</f>
        <v>200</v>
      </c>
    </row>
    <row r="12" spans="2:4" ht="15.75" x14ac:dyDescent="0.25">
      <c r="B12" s="15">
        <v>4</v>
      </c>
      <c r="C12" s="6" t="s">
        <v>213</v>
      </c>
      <c r="D12" s="16">
        <f>GASTO!K48</f>
        <v>7200</v>
      </c>
    </row>
    <row r="13" spans="2:4" ht="15.75" x14ac:dyDescent="0.25">
      <c r="B13" s="15">
        <v>5</v>
      </c>
      <c r="C13" s="6" t="s">
        <v>208</v>
      </c>
      <c r="D13" s="16">
        <f>GASTO!K74</f>
        <v>4800</v>
      </c>
    </row>
    <row r="14" spans="2:4" ht="15.75" x14ac:dyDescent="0.25">
      <c r="B14" s="15"/>
      <c r="C14" s="6" t="s">
        <v>214</v>
      </c>
      <c r="D14" s="16">
        <f>SUM(D9:D13)</f>
        <v>1202802.7175000003</v>
      </c>
    </row>
    <row r="15" spans="2:4" x14ac:dyDescent="0.25">
      <c r="B15" s="25"/>
      <c r="C15" s="26"/>
    </row>
    <row r="17" spans="6:6" x14ac:dyDescent="0.25">
      <c r="F17" s="27">
        <f>+D6-D14</f>
        <v>2.4999997112900019E-3</v>
      </c>
    </row>
  </sheetData>
  <mergeCells count="1">
    <mergeCell ref="B2:D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6"/>
  <sheetViews>
    <sheetView workbookViewId="0">
      <selection activeCell="F16" sqref="F16"/>
    </sheetView>
  </sheetViews>
  <sheetFormatPr baseColWidth="10" defaultRowHeight="15" x14ac:dyDescent="0.25"/>
  <cols>
    <col min="1" max="2" width="11.42578125" style="19"/>
    <col min="3" max="3" width="43.7109375" style="19" customWidth="1"/>
    <col min="4" max="4" width="18.140625" style="19" customWidth="1"/>
    <col min="5" max="16384" width="11.42578125" style="19"/>
  </cols>
  <sheetData>
    <row r="2" spans="2:6" ht="15.75" x14ac:dyDescent="0.25">
      <c r="B2" s="411" t="s">
        <v>434</v>
      </c>
      <c r="C2" s="412"/>
      <c r="D2" s="413"/>
    </row>
    <row r="3" spans="2:6" ht="15.75" x14ac:dyDescent="0.25">
      <c r="B3" s="7"/>
      <c r="C3" s="8" t="s">
        <v>376</v>
      </c>
      <c r="D3" s="9">
        <f>+'PRESU INGRESOS'!F47</f>
        <v>1237503.8199999998</v>
      </c>
    </row>
    <row r="4" spans="2:6" ht="15.75" x14ac:dyDescent="0.25">
      <c r="B4" s="10"/>
      <c r="C4" s="11" t="s">
        <v>199</v>
      </c>
      <c r="D4" s="12">
        <f>+'PRESU INGRESOS'!F58+'PRESU INGRESOS'!F57</f>
        <v>298.65999999999997</v>
      </c>
    </row>
    <row r="5" spans="2:6" ht="15.75" x14ac:dyDescent="0.25">
      <c r="B5" s="10"/>
      <c r="C5" s="11" t="s">
        <v>1</v>
      </c>
      <c r="D5" s="12">
        <f>+'PRESU INGRESOS'!F68</f>
        <v>272000</v>
      </c>
    </row>
    <row r="6" spans="2:6" ht="15.75" x14ac:dyDescent="0.25">
      <c r="B6" s="10"/>
      <c r="C6" s="11" t="s">
        <v>200</v>
      </c>
      <c r="D6" s="12">
        <f>SUM(D3:D5)</f>
        <v>1509802.4799999997</v>
      </c>
    </row>
    <row r="7" spans="2:6" ht="15.75" x14ac:dyDescent="0.25">
      <c r="B7" s="13"/>
      <c r="C7" s="14"/>
      <c r="D7" s="13"/>
    </row>
    <row r="8" spans="2:6" ht="15.75" x14ac:dyDescent="0.25">
      <c r="B8" s="5" t="s">
        <v>201</v>
      </c>
      <c r="C8" s="5" t="s">
        <v>202</v>
      </c>
      <c r="D8" s="5" t="s">
        <v>203</v>
      </c>
    </row>
    <row r="9" spans="2:6" ht="15.75" x14ac:dyDescent="0.25">
      <c r="B9" s="15">
        <v>1</v>
      </c>
      <c r="C9" s="6" t="s">
        <v>204</v>
      </c>
      <c r="D9" s="232">
        <f>+REMUNERACIONES!E34</f>
        <v>934345.38749999995</v>
      </c>
    </row>
    <row r="10" spans="2:6" ht="15.75" x14ac:dyDescent="0.25">
      <c r="B10" s="15">
        <f>B9+1</f>
        <v>2</v>
      </c>
      <c r="C10" s="6" t="s">
        <v>205</v>
      </c>
      <c r="D10" s="16">
        <f>+GASTO!D33</f>
        <v>502349.09</v>
      </c>
    </row>
    <row r="11" spans="2:6" ht="15.75" x14ac:dyDescent="0.25">
      <c r="B11" s="15">
        <v>3</v>
      </c>
      <c r="C11" s="6" t="s">
        <v>206</v>
      </c>
      <c r="D11" s="16">
        <f>+GASTO!D41</f>
        <v>47178</v>
      </c>
    </row>
    <row r="12" spans="2:6" ht="15.75" x14ac:dyDescent="0.25">
      <c r="B12" s="15">
        <v>4</v>
      </c>
      <c r="C12" s="6" t="s">
        <v>207</v>
      </c>
      <c r="D12" s="16">
        <f>+GASTO!D48</f>
        <v>1500</v>
      </c>
    </row>
    <row r="13" spans="2:6" ht="15.75" x14ac:dyDescent="0.25">
      <c r="B13" s="15">
        <v>5</v>
      </c>
      <c r="C13" s="6" t="s">
        <v>208</v>
      </c>
      <c r="D13" s="16">
        <f>+GASTO!D74</f>
        <v>24430</v>
      </c>
    </row>
    <row r="14" spans="2:6" ht="31.5" x14ac:dyDescent="0.25">
      <c r="B14" s="15"/>
      <c r="C14" s="6" t="s">
        <v>209</v>
      </c>
      <c r="D14" s="16">
        <f>SUM(D9:D13)</f>
        <v>1509802.4775</v>
      </c>
    </row>
    <row r="15" spans="2:6" ht="15.75" x14ac:dyDescent="0.25">
      <c r="B15" s="17"/>
      <c r="C15" s="18"/>
    </row>
    <row r="16" spans="2:6" ht="15.75" x14ac:dyDescent="0.25">
      <c r="F16" s="344">
        <f>+D6-D14</f>
        <v>2.4999997112900019E-3</v>
      </c>
    </row>
  </sheetData>
  <mergeCells count="1">
    <mergeCell ref="B2:D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56</vt:i4>
      </vt:variant>
    </vt:vector>
  </HeadingPairs>
  <TitlesOfParts>
    <vt:vector size="56" baseType="lpstr">
      <vt:lpstr>formato de ingresos</vt:lpstr>
      <vt:lpstr>PRESU INGRESOS</vt:lpstr>
      <vt:lpstr>CONSOLIDADO I Y E</vt:lpstr>
      <vt:lpstr>TOTAL DE I Y G</vt:lpstr>
      <vt:lpstr>GASTO DIF.</vt:lpstr>
      <vt:lpstr>REMUNERACIONES</vt:lpstr>
      <vt:lpstr>GASTO</vt:lpstr>
      <vt:lpstr>FODES 25%</vt:lpstr>
      <vt:lpstr>F.PROPIOS</vt:lpstr>
      <vt:lpstr>FODES 75%</vt:lpstr>
      <vt:lpstr>FODES 2% </vt:lpstr>
      <vt:lpstr>CTA FISDL</vt:lpstr>
      <vt:lpstr>DONACIONES</vt:lpstr>
      <vt:lpstr>EMERGENCIA</vt:lpstr>
      <vt:lpstr>PRESTAMO 4</vt:lpstr>
      <vt:lpstr>MJSP5</vt:lpstr>
      <vt:lpstr>CONCEJO Y GESTION Y COOPERACION</vt:lpstr>
      <vt:lpstr>CONCEJO MPAL</vt:lpstr>
      <vt:lpstr>GESTION Y COOPERACION</vt:lpstr>
      <vt:lpstr>DESPACHO</vt:lpstr>
      <vt:lpstr>SINDICATURA</vt:lpstr>
      <vt:lpstr>SECRETARIA</vt:lpstr>
      <vt:lpstr>JURIDICO</vt:lpstr>
      <vt:lpstr>GERENCIA</vt:lpstr>
      <vt:lpstr>AUDITORIA</vt:lpstr>
      <vt:lpstr>RRHH</vt:lpstr>
      <vt:lpstr>UFI</vt:lpstr>
      <vt:lpstr>PRESUPUESTO</vt:lpstr>
      <vt:lpstr>TESORERIA</vt:lpstr>
      <vt:lpstr>CONTABILIDAD</vt:lpstr>
      <vt:lpstr>UATM</vt:lpstr>
      <vt:lpstr>UACI</vt:lpstr>
      <vt:lpstr>MERCADO</vt:lpstr>
      <vt:lpstr>REGISTRO FAM</vt:lpstr>
      <vt:lpstr>CEMENTERIO</vt:lpstr>
      <vt:lpstr>DISTRITO</vt:lpstr>
      <vt:lpstr>PROYECTOS</vt:lpstr>
      <vt:lpstr>ACCESO A LA INF PUBLICA</vt:lpstr>
      <vt:lpstr>DESARROLLO TEC.</vt:lpstr>
      <vt:lpstr>COMUNICACIONES</vt:lpstr>
      <vt:lpstr>CAM</vt:lpstr>
      <vt:lpstr>DHI</vt:lpstr>
      <vt:lpstr>SG</vt:lpstr>
      <vt:lpstr>MED. AMBIENTE Y GESTION DE RIES</vt:lpstr>
      <vt:lpstr>MEDIO AMBIENTE</vt:lpstr>
      <vt:lpstr>GESTION DE RIESGO</vt:lpstr>
      <vt:lpstr>UDEL</vt:lpstr>
      <vt:lpstr>PROMOCION SOCIAL</vt:lpstr>
      <vt:lpstr>FODES 75% + 2%</vt:lpstr>
      <vt:lpstr>FODES 75% GASTO</vt:lpstr>
      <vt:lpstr>FODES 2% GASTO</vt:lpstr>
      <vt:lpstr>GASTO DONACION</vt:lpstr>
      <vt:lpstr>GASTO FISDL</vt:lpstr>
      <vt:lpstr>FONDO DE EMERGENCIA</vt:lpstr>
      <vt:lpstr>PRESTAMO</vt:lpstr>
      <vt:lpstr>MJSP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geo</cp:lastModifiedBy>
  <cp:lastPrinted>2021-04-26T21:47:24Z</cp:lastPrinted>
  <dcterms:created xsi:type="dcterms:W3CDTF">2018-12-13T14:39:46Z</dcterms:created>
  <dcterms:modified xsi:type="dcterms:W3CDTF">2021-04-26T22:02:53Z</dcterms:modified>
</cp:coreProperties>
</file>