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C7\Desktop\IO-Julio2020\Presupuesto\"/>
    </mc:Choice>
  </mc:AlternateContent>
  <xr:revisionPtr revIDLastSave="0" documentId="13_ncr:1_{BF68755E-DB87-4ABA-AAC3-4C96022ECC46}" xr6:coauthVersionLast="45" xr6:coauthVersionMax="45" xr10:uidLastSave="{00000000-0000-0000-0000-000000000000}"/>
  <bookViews>
    <workbookView xWindow="-120" yWindow="-120" windowWidth="20730" windowHeight="11160" tabRatio="872" activeTab="2" xr2:uid="{00000000-000D-0000-FFFF-FFFF00000000}"/>
  </bookViews>
  <sheets>
    <sheet name="formato de ingresos" sheetId="1" r:id="rId1"/>
    <sheet name="PRESU INGRESOS" sheetId="2" r:id="rId2"/>
    <sheet name="CONSOLIDADO I Y E" sheetId="3" r:id="rId3"/>
    <sheet name="TOTAL DE I Y G" sheetId="4" r:id="rId4"/>
    <sheet name="GASTO DIF." sheetId="5" r:id="rId5"/>
    <sheet name="REMUNERACIONES" sheetId="6" r:id="rId6"/>
    <sheet name="GASTO" sheetId="7" r:id="rId7"/>
    <sheet name="FODES 25%" sheetId="9" r:id="rId8"/>
    <sheet name="F.PROPIOS" sheetId="8" r:id="rId9"/>
    <sheet name="FODES 75%" sheetId="10" r:id="rId10"/>
    <sheet name="FODES 2% " sheetId="51" r:id="rId11"/>
    <sheet name="CTA FISDL" sheetId="45" r:id="rId12"/>
    <sheet name="DONACIONES" sheetId="46" r:id="rId13"/>
    <sheet name="CONCEJO Y GESTION Y COOPERACION" sheetId="11" r:id="rId14"/>
    <sheet name="CONCEJO MPAL" sheetId="12" r:id="rId15"/>
    <sheet name="GESTION Y COOPERACION" sheetId="13" r:id="rId16"/>
    <sheet name="DESPACHO" sheetId="14" r:id="rId17"/>
    <sheet name="SINDICATURA" sheetId="15" r:id="rId18"/>
    <sheet name="SECRETARIA" sheetId="16" r:id="rId19"/>
    <sheet name="JURIDICO" sheetId="18" r:id="rId20"/>
    <sheet name="GERENCIA" sheetId="19" r:id="rId21"/>
    <sheet name="AUDITORIA" sheetId="20" r:id="rId22"/>
    <sheet name="RRHH" sheetId="21" r:id="rId23"/>
    <sheet name="UFI" sheetId="22" r:id="rId24"/>
    <sheet name="PRESUPUESTO" sheetId="23" r:id="rId25"/>
    <sheet name="TESORERIA" sheetId="24" r:id="rId26"/>
    <sheet name="CONTABILIDAD" sheetId="25" r:id="rId27"/>
    <sheet name="UATM" sheetId="26" r:id="rId28"/>
    <sheet name="UACI" sheetId="27" r:id="rId29"/>
    <sheet name="MERCADO" sheetId="28" r:id="rId30"/>
    <sheet name="REGISTRO FAM" sheetId="29" r:id="rId31"/>
    <sheet name="CEMENTERIO" sheetId="30" r:id="rId32"/>
    <sheet name="DISTRITO" sheetId="31" r:id="rId33"/>
    <sheet name="PROYECTOS" sheetId="32" r:id="rId34"/>
    <sheet name="ACCESO A LA INF PUBLICA" sheetId="33" r:id="rId35"/>
    <sheet name="DESARROLLO TEC." sheetId="34" r:id="rId36"/>
    <sheet name="COMUNICACIONES" sheetId="35" r:id="rId37"/>
    <sheet name="CAM" sheetId="36" r:id="rId38"/>
    <sheet name="DHI" sheetId="37" r:id="rId39"/>
    <sheet name="SG" sheetId="38" r:id="rId40"/>
    <sheet name="MED. AMBIENTE Y GESTION DE RIES" sheetId="39" r:id="rId41"/>
    <sheet name="MEDIO AMBIENTE" sheetId="40" r:id="rId42"/>
    <sheet name="GESTION DE RIESGO" sheetId="41" r:id="rId43"/>
    <sheet name="UDEL" sheetId="42" r:id="rId44"/>
    <sheet name="PROMOCION SOCIAL" sheetId="43" r:id="rId45"/>
    <sheet name="FODES 75% + 2%" sheetId="52" r:id="rId46"/>
    <sheet name="FODES 75% GASTO" sheetId="44" r:id="rId47"/>
    <sheet name="FODES 2% GASTO" sheetId="50" r:id="rId48"/>
    <sheet name="GASTO FISDL" sheetId="47" r:id="rId49"/>
    <sheet name="GASTO DONACION" sheetId="48" r:id="rId5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3" l="1"/>
  <c r="D41" i="52" l="1"/>
  <c r="D40" i="52"/>
  <c r="D37" i="52"/>
  <c r="D36" i="52" s="1"/>
  <c r="D35" i="52" s="1"/>
  <c r="D34" i="52"/>
  <c r="D33" i="52" s="1"/>
  <c r="D32" i="52"/>
  <c r="D31" i="52"/>
  <c r="D30" i="52"/>
  <c r="D29" i="52"/>
  <c r="D28" i="52"/>
  <c r="D26" i="52"/>
  <c r="D25" i="52"/>
  <c r="D24" i="52"/>
  <c r="D23" i="52"/>
  <c r="D22" i="52"/>
  <c r="D21" i="52"/>
  <c r="D20" i="52"/>
  <c r="D19" i="52"/>
  <c r="D18" i="52"/>
  <c r="D17" i="52"/>
  <c r="D14" i="52"/>
  <c r="D13" i="52" s="1"/>
  <c r="D12" i="52" s="1"/>
  <c r="D39" i="52" l="1"/>
  <c r="D38" i="52" s="1"/>
  <c r="D27" i="52"/>
  <c r="D16" i="52"/>
  <c r="D47" i="52"/>
  <c r="D15" i="52" l="1"/>
  <c r="D45" i="52" s="1"/>
  <c r="D46" i="52"/>
  <c r="D43" i="52" l="1"/>
  <c r="Q27" i="1"/>
  <c r="D4" i="51" l="1"/>
  <c r="D7" i="51" s="1"/>
  <c r="D38" i="50"/>
  <c r="D30" i="50"/>
  <c r="D29" i="50" s="1"/>
  <c r="D27" i="50"/>
  <c r="D26" i="50" s="1"/>
  <c r="D24" i="50"/>
  <c r="D19" i="50"/>
  <c r="D13" i="50"/>
  <c r="D47" i="44"/>
  <c r="G47" i="52" s="1"/>
  <c r="D27" i="44"/>
  <c r="D33" i="44"/>
  <c r="C16" i="3"/>
  <c r="D55" i="2"/>
  <c r="D54" i="2"/>
  <c r="D4" i="10" s="1"/>
  <c r="D53" i="2" l="1"/>
  <c r="F38" i="50"/>
  <c r="G38" i="50" s="1"/>
  <c r="D37" i="50"/>
  <c r="D12" i="50"/>
  <c r="D51" i="2"/>
  <c r="D36" i="50" l="1"/>
  <c r="D34" i="50"/>
  <c r="D10" i="51" s="1"/>
  <c r="D11" i="51" s="1"/>
  <c r="D21" i="30"/>
  <c r="D30" i="30"/>
  <c r="F26" i="30"/>
  <c r="D37" i="30"/>
  <c r="E16" i="3" l="1"/>
  <c r="F16" i="3" s="1"/>
  <c r="D13" i="51"/>
  <c r="E42" i="37"/>
  <c r="D42" i="37"/>
  <c r="E41" i="36"/>
  <c r="D41" i="36"/>
  <c r="E38" i="35"/>
  <c r="D38" i="35"/>
  <c r="D42" i="32"/>
  <c r="E41" i="26"/>
  <c r="D41" i="26"/>
  <c r="D35" i="22"/>
  <c r="E33" i="23"/>
  <c r="D33" i="23"/>
  <c r="D37" i="22"/>
  <c r="D36" i="22"/>
  <c r="F36" i="22" s="1"/>
  <c r="D12" i="21"/>
  <c r="E40" i="19"/>
  <c r="D40" i="19"/>
  <c r="D19" i="16"/>
  <c r="D28" i="16"/>
  <c r="D27" i="16" s="1"/>
  <c r="E28" i="16"/>
  <c r="E36" i="16"/>
  <c r="D36" i="16"/>
  <c r="E41" i="11"/>
  <c r="D41" i="11"/>
  <c r="E32" i="13"/>
  <c r="D32" i="13"/>
  <c r="D46" i="12"/>
  <c r="D42" i="12"/>
  <c r="D38" i="12"/>
  <c r="D31" i="12"/>
  <c r="D21" i="12"/>
  <c r="E64" i="12"/>
  <c r="D64" i="12"/>
  <c r="E42" i="32"/>
  <c r="D13" i="38"/>
  <c r="D22" i="38"/>
  <c r="D36" i="38"/>
  <c r="D41" i="38"/>
  <c r="F18" i="38"/>
  <c r="D21" i="38" l="1"/>
  <c r="D37" i="18" l="1"/>
  <c r="D12" i="18"/>
  <c r="C14" i="3" l="1"/>
  <c r="D66" i="2"/>
  <c r="E33" i="42" l="1"/>
  <c r="D33" i="42"/>
  <c r="E27" i="43" l="1"/>
  <c r="F27" i="35" l="1"/>
  <c r="E47" i="31" l="1"/>
  <c r="D47" i="31"/>
  <c r="E38" i="29" l="1"/>
  <c r="D38" i="29"/>
  <c r="E21" i="29"/>
  <c r="D21" i="29"/>
  <c r="F25" i="29"/>
  <c r="E40" i="28" l="1"/>
  <c r="F34" i="28"/>
  <c r="E31" i="28"/>
  <c r="F33" i="28"/>
  <c r="D34" i="25" l="1"/>
  <c r="E26" i="24"/>
  <c r="D26" i="24"/>
  <c r="F27" i="24"/>
  <c r="F27" i="23" l="1"/>
  <c r="D25" i="23"/>
  <c r="E33" i="15" l="1"/>
  <c r="D33" i="15"/>
  <c r="E58" i="14" l="1"/>
  <c r="D26" i="15" l="1"/>
  <c r="E26" i="15"/>
  <c r="D58" i="14" l="1"/>
  <c r="E14" i="13" l="1"/>
  <c r="D14" i="13"/>
  <c r="G56" i="1" l="1"/>
  <c r="H56" i="1"/>
  <c r="I56" i="1"/>
  <c r="J56" i="1"/>
  <c r="K56" i="1"/>
  <c r="F56" i="1"/>
  <c r="M56" i="1"/>
  <c r="L56" i="1"/>
  <c r="N56" i="1"/>
  <c r="O56" i="1"/>
  <c r="E56" i="1"/>
  <c r="D56" i="1"/>
  <c r="P27" i="1" l="1"/>
  <c r="F14" i="23" l="1"/>
  <c r="F14" i="41"/>
  <c r="F15" i="41"/>
  <c r="F16" i="41"/>
  <c r="E34" i="26" l="1"/>
  <c r="E25" i="26"/>
  <c r="E20" i="26"/>
  <c r="E12" i="26"/>
  <c r="E57" i="2" l="1"/>
  <c r="C18" i="3" l="1"/>
  <c r="C10" i="3"/>
  <c r="E49" i="2"/>
  <c r="D33" i="47"/>
  <c r="D4" i="8"/>
  <c r="D57" i="2"/>
  <c r="D31" i="32" l="1"/>
  <c r="D21" i="32"/>
  <c r="D20" i="32" l="1"/>
  <c r="D21" i="7" s="1"/>
  <c r="E50" i="14" l="1"/>
  <c r="E46" i="14"/>
  <c r="E43" i="14"/>
  <c r="E34" i="14"/>
  <c r="E22" i="14"/>
  <c r="E13" i="43"/>
  <c r="E34" i="41"/>
  <c r="E22" i="41"/>
  <c r="E41" i="38"/>
  <c r="E22" i="38"/>
  <c r="E36" i="38"/>
  <c r="D45" i="12"/>
  <c r="D50" i="12"/>
  <c r="D57" i="12"/>
  <c r="D54" i="12"/>
  <c r="E50" i="12"/>
  <c r="D29" i="48"/>
  <c r="E13" i="32"/>
  <c r="D13" i="32"/>
  <c r="C23" i="6" s="1"/>
  <c r="F14" i="24"/>
  <c r="D49" i="12" l="1"/>
  <c r="J23" i="6"/>
  <c r="E21" i="38"/>
  <c r="E21" i="14"/>
  <c r="K5" i="7" s="1"/>
  <c r="E40" i="43"/>
  <c r="D40" i="43"/>
  <c r="E20" i="39"/>
  <c r="E18" i="39"/>
  <c r="D20" i="39"/>
  <c r="D18" i="39"/>
  <c r="E16" i="39"/>
  <c r="E15" i="39"/>
  <c r="E14" i="39"/>
  <c r="D16" i="39"/>
  <c r="D15" i="39"/>
  <c r="D14" i="39"/>
  <c r="E31" i="39"/>
  <c r="D31" i="39"/>
  <c r="E49" i="14" l="1"/>
  <c r="E43" i="41"/>
  <c r="D43" i="41"/>
  <c r="E43" i="40"/>
  <c r="D43" i="40"/>
  <c r="D40" i="28"/>
  <c r="D41" i="21"/>
  <c r="D54" i="38" l="1"/>
  <c r="F14" i="43"/>
  <c r="F17" i="42"/>
  <c r="E31" i="26" l="1"/>
  <c r="E30" i="26" s="1"/>
  <c r="K40" i="7" s="1"/>
  <c r="D31" i="26"/>
  <c r="D30" i="26" s="1"/>
  <c r="D40" i="7" s="1"/>
  <c r="F32" i="26"/>
  <c r="F31" i="26" s="1"/>
  <c r="F30" i="26" s="1"/>
  <c r="D13" i="37"/>
  <c r="E21" i="11" l="1"/>
  <c r="D21" i="11"/>
  <c r="E18" i="22" l="1"/>
  <c r="D18" i="22"/>
  <c r="E16" i="22"/>
  <c r="D16" i="22"/>
  <c r="D15" i="22" s="1"/>
  <c r="E13" i="22"/>
  <c r="D13" i="22"/>
  <c r="D14" i="22"/>
  <c r="D39" i="24"/>
  <c r="E41" i="21"/>
  <c r="F51" i="14"/>
  <c r="D12" i="14"/>
  <c r="D22" i="14"/>
  <c r="D34" i="14"/>
  <c r="D50" i="14"/>
  <c r="D43" i="14"/>
  <c r="F41" i="14"/>
  <c r="E12" i="22" l="1"/>
  <c r="D12" i="22"/>
  <c r="D21" i="33"/>
  <c r="E30" i="35"/>
  <c r="D27" i="33"/>
  <c r="D37" i="33"/>
  <c r="D30" i="21"/>
  <c r="D20" i="33" l="1"/>
  <c r="D22" i="48" l="1"/>
  <c r="D21" i="48" s="1"/>
  <c r="D19" i="48"/>
  <c r="D16" i="48"/>
  <c r="D13" i="48"/>
  <c r="D26" i="47"/>
  <c r="D25" i="47" s="1"/>
  <c r="D23" i="47"/>
  <c r="D20" i="47"/>
  <c r="D13" i="47"/>
  <c r="D5" i="46"/>
  <c r="D6" i="46" s="1"/>
  <c r="D4" i="45"/>
  <c r="D5" i="10"/>
  <c r="D4" i="9"/>
  <c r="K70" i="7"/>
  <c r="K69" i="7"/>
  <c r="J6" i="6"/>
  <c r="C7" i="6"/>
  <c r="D32" i="47" l="1"/>
  <c r="D28" i="48"/>
  <c r="D12" i="48"/>
  <c r="D12" i="47"/>
  <c r="D5" i="45"/>
  <c r="D31" i="47" l="1"/>
  <c r="D8" i="45" s="1"/>
  <c r="D10" i="45" s="1"/>
  <c r="D29" i="47"/>
  <c r="E18" i="3" s="1"/>
  <c r="F18" i="3" s="1"/>
  <c r="D27" i="48"/>
  <c r="D9" i="46" s="1"/>
  <c r="C34" i="5" s="1"/>
  <c r="D25" i="48"/>
  <c r="E10" i="3" s="1"/>
  <c r="F10" i="3" s="1"/>
  <c r="D21" i="34"/>
  <c r="D30" i="35"/>
  <c r="F31" i="35"/>
  <c r="F32" i="35"/>
  <c r="D21" i="35"/>
  <c r="D25" i="35"/>
  <c r="D20" i="35" l="1"/>
  <c r="D24" i="7" s="1"/>
  <c r="E21" i="35"/>
  <c r="E22" i="36"/>
  <c r="D22" i="36"/>
  <c r="F32" i="36"/>
  <c r="E34" i="36"/>
  <c r="D34" i="36"/>
  <c r="D31" i="36"/>
  <c r="F31" i="36" l="1"/>
  <c r="E21" i="33"/>
  <c r="F28" i="33" l="1"/>
  <c r="F27" i="33" s="1"/>
  <c r="E27" i="33"/>
  <c r="D35" i="32" l="1"/>
  <c r="E35" i="32"/>
  <c r="F36" i="32"/>
  <c r="E40" i="31" l="1"/>
  <c r="E39" i="31" s="1"/>
  <c r="K67" i="7" s="1"/>
  <c r="D40" i="31"/>
  <c r="D39" i="31" s="1"/>
  <c r="D67" i="7" s="1"/>
  <c r="F41" i="31"/>
  <c r="F40" i="31" s="1"/>
  <c r="F39" i="31" l="1"/>
  <c r="E37" i="30" l="1"/>
  <c r="E35" i="27" l="1"/>
  <c r="D35" i="27"/>
  <c r="D28" i="27"/>
  <c r="D27" i="27" s="1"/>
  <c r="D65" i="7" s="1"/>
  <c r="E28" i="27"/>
  <c r="E27" i="27" s="1"/>
  <c r="K65" i="7" s="1"/>
  <c r="F29" i="27"/>
  <c r="F28" i="27" s="1"/>
  <c r="F27" i="27" l="1"/>
  <c r="F24" i="26"/>
  <c r="D20" i="26"/>
  <c r="D25" i="26"/>
  <c r="D28" i="26"/>
  <c r="D34" i="26"/>
  <c r="E34" i="25" l="1"/>
  <c r="F28" i="25"/>
  <c r="F27" i="25" s="1"/>
  <c r="F26" i="25" s="1"/>
  <c r="E27" i="25"/>
  <c r="E26" i="25" s="1"/>
  <c r="K63" i="7" s="1"/>
  <c r="D27" i="25"/>
  <c r="D26" i="25" s="1"/>
  <c r="D63" i="7" s="1"/>
  <c r="E39" i="24" l="1"/>
  <c r="F31" i="21" l="1"/>
  <c r="F32" i="21"/>
  <c r="E30" i="21"/>
  <c r="F24" i="21"/>
  <c r="F30" i="21" l="1"/>
  <c r="D39" i="20"/>
  <c r="E25" i="20"/>
  <c r="D25" i="20"/>
  <c r="E32" i="20"/>
  <c r="E31" i="20" s="1"/>
  <c r="K60" i="7" s="1"/>
  <c r="D32" i="20"/>
  <c r="D31" i="20" s="1"/>
  <c r="D60" i="7" s="1"/>
  <c r="F33" i="20"/>
  <c r="F32" i="20" l="1"/>
  <c r="F31" i="20" s="1"/>
  <c r="F30" i="18"/>
  <c r="E29" i="18"/>
  <c r="D29" i="18"/>
  <c r="D28" i="18" s="1"/>
  <c r="F31" i="18"/>
  <c r="E20" i="18"/>
  <c r="D20" i="18"/>
  <c r="F29" i="18" l="1"/>
  <c r="F28" i="18" s="1"/>
  <c r="F30" i="16"/>
  <c r="E37" i="22" l="1"/>
  <c r="E35" i="22" s="1"/>
  <c r="E34" i="22" s="1"/>
  <c r="E33" i="22"/>
  <c r="D33" i="22"/>
  <c r="D32" i="22" s="1"/>
  <c r="D31" i="22" s="1"/>
  <c r="E30" i="22"/>
  <c r="D30" i="22"/>
  <c r="E28" i="22"/>
  <c r="E27" i="22"/>
  <c r="E26" i="22" s="1"/>
  <c r="D28" i="22"/>
  <c r="D27" i="22"/>
  <c r="E25" i="22"/>
  <c r="E24" i="22"/>
  <c r="E23" i="22"/>
  <c r="E22" i="22"/>
  <c r="E21" i="22"/>
  <c r="D25" i="22"/>
  <c r="D24" i="22"/>
  <c r="D23" i="22"/>
  <c r="D22" i="22"/>
  <c r="D21" i="22"/>
  <c r="F26" i="23"/>
  <c r="E25" i="23"/>
  <c r="E24" i="23" s="1"/>
  <c r="K62" i="7" s="1"/>
  <c r="D24" i="23"/>
  <c r="D62" i="7" s="1"/>
  <c r="E46" i="39"/>
  <c r="D46" i="39"/>
  <c r="E43" i="39"/>
  <c r="D43" i="39"/>
  <c r="E41" i="39"/>
  <c r="D41" i="39"/>
  <c r="E39" i="39"/>
  <c r="E38" i="39"/>
  <c r="E37" i="39"/>
  <c r="D39" i="39"/>
  <c r="D38" i="39"/>
  <c r="D37" i="39"/>
  <c r="E35" i="39"/>
  <c r="E34" i="39"/>
  <c r="E33" i="39"/>
  <c r="E32" i="39"/>
  <c r="E30" i="39"/>
  <c r="E29" i="39"/>
  <c r="E28" i="39"/>
  <c r="E27" i="39"/>
  <c r="E26" i="39"/>
  <c r="E25" i="39"/>
  <c r="E24" i="39"/>
  <c r="E23" i="39"/>
  <c r="D35" i="39"/>
  <c r="D34" i="39"/>
  <c r="D33" i="39"/>
  <c r="D32" i="39"/>
  <c r="D30" i="39"/>
  <c r="D29" i="39"/>
  <c r="D28" i="39"/>
  <c r="D27" i="39"/>
  <c r="D26" i="39"/>
  <c r="D25" i="39"/>
  <c r="D24" i="39"/>
  <c r="D23" i="39"/>
  <c r="E60" i="11"/>
  <c r="E59" i="11" s="1"/>
  <c r="E57" i="11"/>
  <c r="E56" i="11" s="1"/>
  <c r="E55" i="11"/>
  <c r="E54" i="11"/>
  <c r="E53" i="11"/>
  <c r="E50" i="11"/>
  <c r="E49" i="11"/>
  <c r="D60" i="11"/>
  <c r="D57" i="11"/>
  <c r="D55" i="11"/>
  <c r="D54" i="11"/>
  <c r="D53" i="11"/>
  <c r="D50" i="11"/>
  <c r="D49" i="11"/>
  <c r="E46" i="11"/>
  <c r="E45" i="11"/>
  <c r="D46" i="11"/>
  <c r="D45" i="11"/>
  <c r="E43" i="11"/>
  <c r="E42" i="11"/>
  <c r="D43" i="11"/>
  <c r="D42" i="11"/>
  <c r="E39" i="11"/>
  <c r="E38" i="11"/>
  <c r="E37" i="11"/>
  <c r="E36" i="11"/>
  <c r="E35" i="11"/>
  <c r="E34" i="11"/>
  <c r="D39" i="11"/>
  <c r="D38" i="11"/>
  <c r="D37" i="11"/>
  <c r="D36" i="11"/>
  <c r="D35" i="11"/>
  <c r="D34" i="11"/>
  <c r="E32" i="11"/>
  <c r="E31" i="11"/>
  <c r="E30" i="11"/>
  <c r="E29" i="11"/>
  <c r="E28" i="11"/>
  <c r="E27" i="11"/>
  <c r="E26" i="11"/>
  <c r="E25" i="11"/>
  <c r="E24" i="11"/>
  <c r="D32" i="11"/>
  <c r="D31" i="11"/>
  <c r="D30" i="11"/>
  <c r="D29" i="11"/>
  <c r="D28" i="11"/>
  <c r="D27" i="11"/>
  <c r="D26" i="11"/>
  <c r="D25" i="11"/>
  <c r="D24" i="11"/>
  <c r="E19" i="11"/>
  <c r="D19" i="11"/>
  <c r="E17" i="11"/>
  <c r="D17" i="11"/>
  <c r="E15" i="11"/>
  <c r="E14" i="11"/>
  <c r="E13" i="11"/>
  <c r="D15" i="11"/>
  <c r="D14" i="11"/>
  <c r="D13" i="11"/>
  <c r="E20" i="22" l="1"/>
  <c r="E43" i="22"/>
  <c r="D26" i="22"/>
  <c r="D66" i="11"/>
  <c r="D20" i="22"/>
  <c r="D43" i="22"/>
  <c r="E66" i="11"/>
  <c r="F25" i="23"/>
  <c r="F24" i="23" s="1"/>
  <c r="D34" i="22"/>
  <c r="E52" i="39"/>
  <c r="D52" i="39"/>
  <c r="D44" i="11"/>
  <c r="D40" i="11"/>
  <c r="D52" i="11"/>
  <c r="E52" i="11"/>
  <c r="E51" i="11" s="1"/>
  <c r="F37" i="22"/>
  <c r="D23" i="11"/>
  <c r="F58" i="12"/>
  <c r="F57" i="12" s="1"/>
  <c r="F56" i="12" s="1"/>
  <c r="E57" i="12"/>
  <c r="E56" i="12" s="1"/>
  <c r="K54" i="7" s="1"/>
  <c r="D56" i="12"/>
  <c r="F55" i="12"/>
  <c r="F54" i="12" s="1"/>
  <c r="E54" i="12"/>
  <c r="F53" i="12"/>
  <c r="F52" i="12"/>
  <c r="F51" i="12"/>
  <c r="D46" i="7"/>
  <c r="F48" i="12"/>
  <c r="F47" i="12"/>
  <c r="E46" i="12"/>
  <c r="E45" i="12" s="1"/>
  <c r="K38" i="7" s="1"/>
  <c r="D38" i="7"/>
  <c r="F44" i="12"/>
  <c r="F43" i="12"/>
  <c r="E42" i="12"/>
  <c r="F41" i="12"/>
  <c r="F40" i="12"/>
  <c r="F39" i="12"/>
  <c r="E38" i="12"/>
  <c r="F37" i="12"/>
  <c r="F36" i="12"/>
  <c r="F35" i="12"/>
  <c r="F34" i="12"/>
  <c r="F33" i="12"/>
  <c r="F32" i="12"/>
  <c r="E31" i="12"/>
  <c r="F30" i="12"/>
  <c r="F29" i="12"/>
  <c r="F28" i="12"/>
  <c r="F27" i="12"/>
  <c r="F26" i="12"/>
  <c r="F25" i="12"/>
  <c r="F24" i="12"/>
  <c r="F23" i="12"/>
  <c r="F22" i="12"/>
  <c r="E21" i="12"/>
  <c r="F19" i="12"/>
  <c r="F18" i="12" s="1"/>
  <c r="E18" i="12"/>
  <c r="D18" i="12"/>
  <c r="F17" i="12"/>
  <c r="F16" i="12" s="1"/>
  <c r="E16" i="12"/>
  <c r="D16" i="12"/>
  <c r="F15" i="12"/>
  <c r="F14" i="12" s="1"/>
  <c r="E14" i="12"/>
  <c r="D14" i="12"/>
  <c r="F13" i="12"/>
  <c r="E12" i="12"/>
  <c r="J5" i="6" s="1"/>
  <c r="D12" i="12"/>
  <c r="F35" i="22" l="1"/>
  <c r="F34" i="22" s="1"/>
  <c r="F64" i="12"/>
  <c r="F50" i="12"/>
  <c r="F49" i="12" s="1"/>
  <c r="D11" i="12"/>
  <c r="E63" i="12"/>
  <c r="E20" i="12"/>
  <c r="K4" i="7" s="1"/>
  <c r="D54" i="7"/>
  <c r="F42" i="12"/>
  <c r="D20" i="12"/>
  <c r="F21" i="12"/>
  <c r="E49" i="12"/>
  <c r="F46" i="12"/>
  <c r="F45" i="12" s="1"/>
  <c r="F31" i="12"/>
  <c r="F38" i="12"/>
  <c r="K5" i="6"/>
  <c r="D5" i="6"/>
  <c r="C5" i="6"/>
  <c r="E11" i="12"/>
  <c r="F12" i="12"/>
  <c r="F11" i="12" s="1"/>
  <c r="D63" i="12"/>
  <c r="D4" i="7" l="1"/>
  <c r="D60" i="12"/>
  <c r="K46" i="7"/>
  <c r="E60" i="12"/>
  <c r="E62" i="12"/>
  <c r="L5" i="6"/>
  <c r="F20" i="12"/>
  <c r="D62" i="12"/>
  <c r="C4" i="5" s="1"/>
  <c r="E5" i="6"/>
  <c r="F63" i="12"/>
  <c r="D4" i="5" l="1"/>
  <c r="F60" i="12"/>
  <c r="F62" i="12"/>
  <c r="D39" i="44"/>
  <c r="D38" i="44" s="1"/>
  <c r="D36" i="44"/>
  <c r="D35" i="44" s="1"/>
  <c r="D16" i="44"/>
  <c r="D13" i="44"/>
  <c r="D12" i="44" s="1"/>
  <c r="F34" i="43"/>
  <c r="F33" i="43" s="1"/>
  <c r="F32" i="43" s="1"/>
  <c r="E33" i="43"/>
  <c r="D33" i="43"/>
  <c r="D32" i="43" s="1"/>
  <c r="D75" i="7" s="1"/>
  <c r="F31" i="43"/>
  <c r="F30" i="43" s="1"/>
  <c r="E30" i="43"/>
  <c r="D30" i="43"/>
  <c r="F29" i="43"/>
  <c r="F28" i="43"/>
  <c r="D27" i="43"/>
  <c r="F26" i="43"/>
  <c r="F25" i="43"/>
  <c r="F24" i="43"/>
  <c r="F23" i="43"/>
  <c r="E21" i="43"/>
  <c r="D21" i="43"/>
  <c r="F19" i="43"/>
  <c r="E18" i="43"/>
  <c r="D18" i="43"/>
  <c r="F17" i="43"/>
  <c r="E16" i="43"/>
  <c r="D16" i="43"/>
  <c r="F15" i="43"/>
  <c r="D13" i="43"/>
  <c r="F27" i="42"/>
  <c r="F26" i="42" s="1"/>
  <c r="E26" i="42"/>
  <c r="D26" i="42"/>
  <c r="F25" i="42"/>
  <c r="F24" i="42"/>
  <c r="F23" i="42"/>
  <c r="F22" i="42"/>
  <c r="E21" i="42"/>
  <c r="D21" i="42"/>
  <c r="F19" i="42"/>
  <c r="F18" i="42" s="1"/>
  <c r="E18" i="42"/>
  <c r="D18" i="42"/>
  <c r="F16" i="42"/>
  <c r="E16" i="42"/>
  <c r="D16" i="42"/>
  <c r="F15" i="42"/>
  <c r="F14" i="42"/>
  <c r="E13" i="42"/>
  <c r="D13" i="42"/>
  <c r="C32" i="6" s="1"/>
  <c r="F37" i="41"/>
  <c r="F36" i="41" s="1"/>
  <c r="E36" i="41"/>
  <c r="E21" i="41" s="1"/>
  <c r="D36" i="41"/>
  <c r="F35" i="41"/>
  <c r="F34" i="41" s="1"/>
  <c r="D34" i="41"/>
  <c r="F33" i="41"/>
  <c r="F32" i="41"/>
  <c r="F31" i="41"/>
  <c r="F30" i="41"/>
  <c r="F29" i="41"/>
  <c r="F28" i="41"/>
  <c r="F27" i="41"/>
  <c r="F26" i="41"/>
  <c r="F25" i="41"/>
  <c r="F24" i="41"/>
  <c r="F23" i="41"/>
  <c r="D22" i="41"/>
  <c r="F20" i="41"/>
  <c r="F19" i="41" s="1"/>
  <c r="E19" i="41"/>
  <c r="D19" i="41"/>
  <c r="F18" i="41"/>
  <c r="F17" i="41" s="1"/>
  <c r="E17" i="41"/>
  <c r="D17" i="41"/>
  <c r="E13" i="41"/>
  <c r="J31" i="6" s="1"/>
  <c r="D13" i="41"/>
  <c r="C31" i="6" s="1"/>
  <c r="F37" i="40"/>
  <c r="F36" i="40" s="1"/>
  <c r="F35" i="40" s="1"/>
  <c r="E36" i="40"/>
  <c r="E35" i="40" s="1"/>
  <c r="K74" i="7" s="1"/>
  <c r="D36" i="40"/>
  <c r="D35" i="40" s="1"/>
  <c r="D74" i="7" s="1"/>
  <c r="F34" i="40"/>
  <c r="F33" i="40" s="1"/>
  <c r="E33" i="40"/>
  <c r="D33" i="40"/>
  <c r="F32" i="40"/>
  <c r="F31" i="40"/>
  <c r="E30" i="40"/>
  <c r="D30" i="40"/>
  <c r="F29" i="40"/>
  <c r="F28" i="40"/>
  <c r="F27" i="40"/>
  <c r="F26" i="40"/>
  <c r="F25" i="40"/>
  <c r="F24" i="40"/>
  <c r="F23" i="40"/>
  <c r="F22" i="40"/>
  <c r="E21" i="40"/>
  <c r="D21" i="40"/>
  <c r="F19" i="40"/>
  <c r="F18" i="40" s="1"/>
  <c r="E18" i="40"/>
  <c r="D18" i="40"/>
  <c r="F17" i="40"/>
  <c r="F16" i="40" s="1"/>
  <c r="E16" i="40"/>
  <c r="D16" i="40"/>
  <c r="F15" i="40"/>
  <c r="F14" i="40"/>
  <c r="E13" i="40"/>
  <c r="J30" i="6" s="1"/>
  <c r="D13" i="40"/>
  <c r="C30" i="6" s="1"/>
  <c r="E45" i="39"/>
  <c r="E44" i="39" s="1"/>
  <c r="D45" i="39"/>
  <c r="D44" i="39" s="1"/>
  <c r="E42" i="39"/>
  <c r="D42" i="39"/>
  <c r="E40" i="39"/>
  <c r="D40" i="39"/>
  <c r="F39" i="39"/>
  <c r="D36" i="39"/>
  <c r="F35" i="39"/>
  <c r="F32" i="39"/>
  <c r="F31" i="39"/>
  <c r="F28" i="39"/>
  <c r="F24" i="39"/>
  <c r="F23" i="39"/>
  <c r="F20" i="39"/>
  <c r="F19" i="39" s="1"/>
  <c r="E19" i="39"/>
  <c r="D19" i="39"/>
  <c r="E17" i="39"/>
  <c r="D17" i="39"/>
  <c r="F16" i="39"/>
  <c r="F15" i="39"/>
  <c r="E13" i="39"/>
  <c r="D13" i="39"/>
  <c r="E54" i="38"/>
  <c r="F48" i="38"/>
  <c r="F47" i="38"/>
  <c r="F46" i="38"/>
  <c r="F45" i="38"/>
  <c r="F44" i="38"/>
  <c r="F43" i="38"/>
  <c r="F42" i="38"/>
  <c r="F40" i="38"/>
  <c r="F39" i="38"/>
  <c r="F38" i="38"/>
  <c r="F37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0" i="38"/>
  <c r="F19" i="38" s="1"/>
  <c r="E19" i="38"/>
  <c r="D19" i="38"/>
  <c r="F17" i="38"/>
  <c r="E17" i="38"/>
  <c r="D17" i="38"/>
  <c r="F16" i="38"/>
  <c r="F15" i="38"/>
  <c r="F14" i="38"/>
  <c r="E13" i="38"/>
  <c r="F36" i="37"/>
  <c r="E35" i="37"/>
  <c r="E34" i="37" s="1"/>
  <c r="K73" i="7" s="1"/>
  <c r="D35" i="37"/>
  <c r="D34" i="37" s="1"/>
  <c r="D73" i="7" s="1"/>
  <c r="F33" i="37"/>
  <c r="F32" i="37" s="1"/>
  <c r="E32" i="37"/>
  <c r="D32" i="37"/>
  <c r="F31" i="37"/>
  <c r="F30" i="37"/>
  <c r="E29" i="37"/>
  <c r="D29" i="37"/>
  <c r="F28" i="37"/>
  <c r="F27" i="37"/>
  <c r="F26" i="37"/>
  <c r="F25" i="37"/>
  <c r="F24" i="37"/>
  <c r="F23" i="37"/>
  <c r="F22" i="37"/>
  <c r="E21" i="37"/>
  <c r="D21" i="37"/>
  <c r="F19" i="37"/>
  <c r="F18" i="37" s="1"/>
  <c r="E18" i="37"/>
  <c r="D18" i="37"/>
  <c r="F17" i="37"/>
  <c r="F16" i="37" s="1"/>
  <c r="E16" i="37"/>
  <c r="D16" i="37"/>
  <c r="F15" i="37"/>
  <c r="F14" i="37"/>
  <c r="E13" i="37"/>
  <c r="C28" i="6"/>
  <c r="D13" i="36"/>
  <c r="E13" i="36"/>
  <c r="F14" i="36"/>
  <c r="F15" i="36"/>
  <c r="F16" i="36"/>
  <c r="D17" i="36"/>
  <c r="E17" i="36"/>
  <c r="F18" i="36"/>
  <c r="D19" i="36"/>
  <c r="E19" i="36"/>
  <c r="F20" i="36"/>
  <c r="F23" i="36"/>
  <c r="F24" i="36"/>
  <c r="F25" i="36"/>
  <c r="F26" i="36"/>
  <c r="F27" i="36"/>
  <c r="F28" i="36"/>
  <c r="D29" i="36"/>
  <c r="E29" i="36"/>
  <c r="F30" i="36"/>
  <c r="F29" i="36" s="1"/>
  <c r="E31" i="36"/>
  <c r="D33" i="36"/>
  <c r="D72" i="7" s="1"/>
  <c r="E33" i="36"/>
  <c r="K72" i="7" s="1"/>
  <c r="F35" i="36"/>
  <c r="F34" i="36" s="1"/>
  <c r="E29" i="35"/>
  <c r="K71" i="7" s="1"/>
  <c r="D29" i="35"/>
  <c r="D71" i="7" s="1"/>
  <c r="F28" i="35"/>
  <c r="F26" i="35"/>
  <c r="E25" i="35"/>
  <c r="E20" i="35" s="1"/>
  <c r="K24" i="7" s="1"/>
  <c r="F24" i="35"/>
  <c r="F23" i="35"/>
  <c r="F22" i="35"/>
  <c r="F19" i="35"/>
  <c r="F18" i="35" s="1"/>
  <c r="E18" i="35"/>
  <c r="D18" i="35"/>
  <c r="F17" i="35"/>
  <c r="F16" i="35" s="1"/>
  <c r="E16" i="35"/>
  <c r="D16" i="35"/>
  <c r="F15" i="35"/>
  <c r="F14" i="35"/>
  <c r="E13" i="35"/>
  <c r="D13" i="35"/>
  <c r="E39" i="34"/>
  <c r="D39" i="34"/>
  <c r="F33" i="34"/>
  <c r="D32" i="34"/>
  <c r="D31" i="34" s="1"/>
  <c r="D70" i="7" s="1"/>
  <c r="F30" i="34"/>
  <c r="F29" i="34" s="1"/>
  <c r="E29" i="34"/>
  <c r="D29" i="34"/>
  <c r="D20" i="34" s="1"/>
  <c r="D23" i="7" s="1"/>
  <c r="F27" i="34"/>
  <c r="F26" i="34"/>
  <c r="F25" i="34"/>
  <c r="F24" i="34"/>
  <c r="F23" i="34"/>
  <c r="F22" i="34"/>
  <c r="E21" i="34"/>
  <c r="E20" i="34" s="1"/>
  <c r="K23" i="7" s="1"/>
  <c r="F19" i="34"/>
  <c r="F18" i="34" s="1"/>
  <c r="E18" i="34"/>
  <c r="D18" i="34"/>
  <c r="F17" i="34"/>
  <c r="F16" i="34" s="1"/>
  <c r="E16" i="34"/>
  <c r="D16" i="34"/>
  <c r="F15" i="34"/>
  <c r="F14" i="34"/>
  <c r="E13" i="34"/>
  <c r="D13" i="34"/>
  <c r="E37" i="33"/>
  <c r="F31" i="33"/>
  <c r="F30" i="33" s="1"/>
  <c r="F29" i="33" s="1"/>
  <c r="D30" i="33"/>
  <c r="D29" i="33" s="1"/>
  <c r="D69" i="7" s="1"/>
  <c r="F25" i="33"/>
  <c r="F24" i="33"/>
  <c r="F23" i="33"/>
  <c r="F22" i="33"/>
  <c r="E20" i="33"/>
  <c r="K22" i="7" s="1"/>
  <c r="F19" i="33"/>
  <c r="F18" i="33" s="1"/>
  <c r="E18" i="33"/>
  <c r="D18" i="33"/>
  <c r="F17" i="33"/>
  <c r="F16" i="33" s="1"/>
  <c r="E16" i="33"/>
  <c r="D16" i="33"/>
  <c r="F15" i="33"/>
  <c r="F14" i="33"/>
  <c r="E13" i="33"/>
  <c r="D13" i="33"/>
  <c r="E34" i="32"/>
  <c r="K68" i="7" s="1"/>
  <c r="D34" i="32"/>
  <c r="F33" i="32"/>
  <c r="F32" i="32"/>
  <c r="E31" i="32"/>
  <c r="F30" i="32"/>
  <c r="F29" i="32"/>
  <c r="F28" i="32"/>
  <c r="F27" i="32"/>
  <c r="F26" i="32"/>
  <c r="F25" i="32"/>
  <c r="F24" i="32"/>
  <c r="F23" i="32"/>
  <c r="F22" i="32"/>
  <c r="E21" i="32"/>
  <c r="F19" i="32"/>
  <c r="F18" i="32" s="1"/>
  <c r="E18" i="32"/>
  <c r="D18" i="32"/>
  <c r="F17" i="32"/>
  <c r="F16" i="32" s="1"/>
  <c r="E16" i="32"/>
  <c r="D16" i="32"/>
  <c r="F15" i="32"/>
  <c r="F14" i="32"/>
  <c r="F38" i="31"/>
  <c r="F37" i="31"/>
  <c r="F36" i="31"/>
  <c r="F35" i="31"/>
  <c r="E34" i="31"/>
  <c r="D34" i="31"/>
  <c r="F33" i="31"/>
  <c r="F32" i="31"/>
  <c r="F31" i="31"/>
  <c r="E30" i="31"/>
  <c r="D30" i="31"/>
  <c r="F29" i="31"/>
  <c r="F28" i="31"/>
  <c r="F27" i="31"/>
  <c r="F26" i="31"/>
  <c r="F25" i="31"/>
  <c r="F24" i="31"/>
  <c r="F23" i="31"/>
  <c r="F22" i="31"/>
  <c r="E21" i="31"/>
  <c r="D21" i="31"/>
  <c r="F19" i="31"/>
  <c r="F18" i="31" s="1"/>
  <c r="E18" i="31"/>
  <c r="D18" i="31"/>
  <c r="F17" i="31"/>
  <c r="F16" i="31" s="1"/>
  <c r="E16" i="31"/>
  <c r="D16" i="31"/>
  <c r="F15" i="31"/>
  <c r="F14" i="31"/>
  <c r="E13" i="31"/>
  <c r="D13" i="31"/>
  <c r="F31" i="30"/>
  <c r="F30" i="30" s="1"/>
  <c r="E30" i="30"/>
  <c r="F29" i="30"/>
  <c r="F28" i="30"/>
  <c r="F27" i="30"/>
  <c r="F25" i="30"/>
  <c r="F24" i="30"/>
  <c r="F23" i="30"/>
  <c r="F22" i="30"/>
  <c r="E21" i="30"/>
  <c r="F19" i="30"/>
  <c r="F18" i="30" s="1"/>
  <c r="E18" i="30"/>
  <c r="D18" i="30"/>
  <c r="F17" i="30"/>
  <c r="F16" i="30" s="1"/>
  <c r="E16" i="30"/>
  <c r="D16" i="30"/>
  <c r="F15" i="30"/>
  <c r="E13" i="30"/>
  <c r="D13" i="30"/>
  <c r="C21" i="6" s="1"/>
  <c r="F32" i="29"/>
  <c r="F31" i="29" s="1"/>
  <c r="F30" i="29" s="1"/>
  <c r="E31" i="29"/>
  <c r="E30" i="29" s="1"/>
  <c r="K66" i="7" s="1"/>
  <c r="D31" i="29"/>
  <c r="D30" i="29" s="1"/>
  <c r="D66" i="7" s="1"/>
  <c r="F29" i="29"/>
  <c r="F28" i="29"/>
  <c r="E27" i="29"/>
  <c r="D27" i="29"/>
  <c r="D20" i="29" s="1"/>
  <c r="F26" i="29"/>
  <c r="F24" i="29"/>
  <c r="F23" i="29"/>
  <c r="F22" i="29"/>
  <c r="F19" i="29"/>
  <c r="F18" i="29" s="1"/>
  <c r="E18" i="29"/>
  <c r="D18" i="29"/>
  <c r="F17" i="29"/>
  <c r="F16" i="29" s="1"/>
  <c r="E16" i="29"/>
  <c r="D16" i="29"/>
  <c r="F15" i="29"/>
  <c r="F14" i="29"/>
  <c r="E13" i="29"/>
  <c r="D13" i="29"/>
  <c r="F32" i="28"/>
  <c r="F31" i="28" s="1"/>
  <c r="D31" i="28"/>
  <c r="F30" i="28"/>
  <c r="F29" i="28"/>
  <c r="F28" i="28"/>
  <c r="F27" i="28"/>
  <c r="F26" i="28"/>
  <c r="F25" i="28"/>
  <c r="F24" i="28"/>
  <c r="F23" i="28"/>
  <c r="F22" i="28"/>
  <c r="E21" i="28"/>
  <c r="D21" i="28"/>
  <c r="F19" i="28"/>
  <c r="F18" i="28" s="1"/>
  <c r="E18" i="28"/>
  <c r="D18" i="28"/>
  <c r="F17" i="28"/>
  <c r="F16" i="28" s="1"/>
  <c r="E16" i="28"/>
  <c r="D16" i="28"/>
  <c r="F15" i="28"/>
  <c r="F14" i="28"/>
  <c r="F13" i="28"/>
  <c r="E12" i="28"/>
  <c r="D12" i="28"/>
  <c r="F26" i="27"/>
  <c r="F25" i="27" s="1"/>
  <c r="E25" i="27"/>
  <c r="D25" i="27"/>
  <c r="F24" i="27"/>
  <c r="F23" i="27"/>
  <c r="F22" i="27"/>
  <c r="F21" i="27"/>
  <c r="E20" i="27"/>
  <c r="D20" i="27"/>
  <c r="F18" i="27"/>
  <c r="F17" i="27" s="1"/>
  <c r="E17" i="27"/>
  <c r="D17" i="27"/>
  <c r="F16" i="27"/>
  <c r="F15" i="27" s="1"/>
  <c r="E15" i="27"/>
  <c r="D15" i="27"/>
  <c r="F14" i="27"/>
  <c r="F13" i="27"/>
  <c r="E12" i="27"/>
  <c r="D12" i="27"/>
  <c r="F35" i="26"/>
  <c r="E33" i="26"/>
  <c r="D33" i="26"/>
  <c r="D64" i="7" s="1"/>
  <c r="F29" i="26"/>
  <c r="F28" i="26" s="1"/>
  <c r="E28" i="26"/>
  <c r="F27" i="26"/>
  <c r="F26" i="26"/>
  <c r="F23" i="26"/>
  <c r="F22" i="26"/>
  <c r="F21" i="26"/>
  <c r="F18" i="26"/>
  <c r="F17" i="26" s="1"/>
  <c r="E17" i="26"/>
  <c r="D17" i="26"/>
  <c r="F16" i="26"/>
  <c r="F15" i="26" s="1"/>
  <c r="E15" i="26"/>
  <c r="D15" i="26"/>
  <c r="F14" i="26"/>
  <c r="F13" i="26"/>
  <c r="J17" i="6"/>
  <c r="D12" i="26"/>
  <c r="F25" i="25"/>
  <c r="F24" i="25" s="1"/>
  <c r="E24" i="25"/>
  <c r="D24" i="25"/>
  <c r="F23" i="25"/>
  <c r="F22" i="25"/>
  <c r="F21" i="25"/>
  <c r="E20" i="25"/>
  <c r="E19" i="25" s="1"/>
  <c r="D20" i="25"/>
  <c r="D19" i="25" s="1"/>
  <c r="F18" i="25"/>
  <c r="F17" i="25" s="1"/>
  <c r="E17" i="25"/>
  <c r="D17" i="25"/>
  <c r="F16" i="25"/>
  <c r="F15" i="25" s="1"/>
  <c r="E15" i="25"/>
  <c r="D15" i="25"/>
  <c r="F14" i="25"/>
  <c r="F13" i="25"/>
  <c r="E12" i="25"/>
  <c r="D12" i="25"/>
  <c r="F33" i="24"/>
  <c r="F32" i="24" s="1"/>
  <c r="F31" i="24" s="1"/>
  <c r="E32" i="24"/>
  <c r="E31" i="24" s="1"/>
  <c r="K39" i="7" s="1"/>
  <c r="D32" i="24"/>
  <c r="D31" i="24" s="1"/>
  <c r="D39" i="7" s="1"/>
  <c r="D41" i="7" s="1"/>
  <c r="F30" i="24"/>
  <c r="F29" i="24" s="1"/>
  <c r="E29" i="24"/>
  <c r="D29" i="24"/>
  <c r="F28" i="24"/>
  <c r="F26" i="24" s="1"/>
  <c r="F25" i="24"/>
  <c r="F24" i="24"/>
  <c r="F23" i="24"/>
  <c r="F22" i="24"/>
  <c r="F21" i="24"/>
  <c r="E20" i="24"/>
  <c r="D20" i="24"/>
  <c r="F18" i="24"/>
  <c r="F17" i="24" s="1"/>
  <c r="E17" i="24"/>
  <c r="D17" i="24"/>
  <c r="F16" i="24"/>
  <c r="F15" i="24" s="1"/>
  <c r="E15" i="24"/>
  <c r="D15" i="24"/>
  <c r="F13" i="24"/>
  <c r="E12" i="24"/>
  <c r="D12" i="24"/>
  <c r="C16" i="6" s="1"/>
  <c r="F23" i="23"/>
  <c r="F22" i="23"/>
  <c r="F21" i="23"/>
  <c r="E20" i="23"/>
  <c r="E19" i="23" s="1"/>
  <c r="K13" i="7" s="1"/>
  <c r="D20" i="23"/>
  <c r="F18" i="23"/>
  <c r="F17" i="23" s="1"/>
  <c r="E17" i="23"/>
  <c r="D17" i="23"/>
  <c r="F16" i="23"/>
  <c r="F15" i="23" s="1"/>
  <c r="E15" i="23"/>
  <c r="D15" i="23"/>
  <c r="F13" i="23"/>
  <c r="E12" i="23"/>
  <c r="D12" i="23"/>
  <c r="C15" i="6" s="1"/>
  <c r="E32" i="22"/>
  <c r="E31" i="22" s="1"/>
  <c r="D29" i="22"/>
  <c r="D19" i="22" s="1"/>
  <c r="E29" i="22"/>
  <c r="E19" i="22" s="1"/>
  <c r="F28" i="22"/>
  <c r="F27" i="22"/>
  <c r="F26" i="22" s="1"/>
  <c r="F25" i="22"/>
  <c r="F24" i="22"/>
  <c r="F23" i="22"/>
  <c r="F22" i="22"/>
  <c r="F21" i="22"/>
  <c r="F18" i="22"/>
  <c r="F17" i="22" s="1"/>
  <c r="E17" i="22"/>
  <c r="E15" i="22"/>
  <c r="E11" i="22" s="1"/>
  <c r="F14" i="22"/>
  <c r="F13" i="22"/>
  <c r="F35" i="21"/>
  <c r="F34" i="21" s="1"/>
  <c r="F33" i="21" s="1"/>
  <c r="E34" i="21"/>
  <c r="E33" i="21" s="1"/>
  <c r="K61" i="7" s="1"/>
  <c r="D34" i="21"/>
  <c r="D33" i="21" s="1"/>
  <c r="D61" i="7" s="1"/>
  <c r="F29" i="21"/>
  <c r="F28" i="21"/>
  <c r="F27" i="21"/>
  <c r="F26" i="21"/>
  <c r="F25" i="21"/>
  <c r="F23" i="21"/>
  <c r="E22" i="21"/>
  <c r="E21" i="21" s="1"/>
  <c r="D22" i="21"/>
  <c r="F20" i="21"/>
  <c r="F19" i="21" s="1"/>
  <c r="E19" i="21"/>
  <c r="D19" i="21"/>
  <c r="F18" i="21"/>
  <c r="F17" i="21" s="1"/>
  <c r="E17" i="21"/>
  <c r="D17" i="21"/>
  <c r="F16" i="21"/>
  <c r="E15" i="21"/>
  <c r="D15" i="21"/>
  <c r="F14" i="21"/>
  <c r="F13" i="21"/>
  <c r="E12" i="21"/>
  <c r="E39" i="20"/>
  <c r="F30" i="20"/>
  <c r="D29" i="20"/>
  <c r="F29" i="20" s="1"/>
  <c r="F28" i="20"/>
  <c r="F27" i="20"/>
  <c r="F26" i="20"/>
  <c r="F24" i="20"/>
  <c r="F23" i="20"/>
  <c r="F22" i="20"/>
  <c r="F21" i="20"/>
  <c r="E20" i="20"/>
  <c r="E19" i="20" s="1"/>
  <c r="K10" i="7" s="1"/>
  <c r="D20" i="20"/>
  <c r="F18" i="20"/>
  <c r="F17" i="20" s="1"/>
  <c r="E17" i="20"/>
  <c r="D17" i="20"/>
  <c r="F16" i="20"/>
  <c r="F15" i="20" s="1"/>
  <c r="E15" i="20"/>
  <c r="D15" i="20"/>
  <c r="F14" i="20"/>
  <c r="F13" i="20"/>
  <c r="E12" i="20"/>
  <c r="D12" i="20"/>
  <c r="F34" i="19"/>
  <c r="F33" i="19" s="1"/>
  <c r="F32" i="19" s="1"/>
  <c r="E33" i="19"/>
  <c r="E32" i="19" s="1"/>
  <c r="K59" i="7" s="1"/>
  <c r="D33" i="19"/>
  <c r="D32" i="19" s="1"/>
  <c r="D59" i="7" s="1"/>
  <c r="F31" i="19"/>
  <c r="F30" i="19" s="1"/>
  <c r="E30" i="19"/>
  <c r="D30" i="19"/>
  <c r="F29" i="19"/>
  <c r="E28" i="19"/>
  <c r="D28" i="19"/>
  <c r="F27" i="19"/>
  <c r="F26" i="19"/>
  <c r="F25" i="19"/>
  <c r="F24" i="19"/>
  <c r="F23" i="19"/>
  <c r="F22" i="19"/>
  <c r="F21" i="19"/>
  <c r="E20" i="19"/>
  <c r="E19" i="19" s="1"/>
  <c r="D20" i="19"/>
  <c r="F18" i="19"/>
  <c r="F17" i="19" s="1"/>
  <c r="E17" i="19"/>
  <c r="D17" i="19"/>
  <c r="F16" i="19"/>
  <c r="F15" i="19" s="1"/>
  <c r="E15" i="19"/>
  <c r="D15" i="19"/>
  <c r="F14" i="19"/>
  <c r="F13" i="19"/>
  <c r="E12" i="19"/>
  <c r="D12" i="19"/>
  <c r="E37" i="18"/>
  <c r="E28" i="18"/>
  <c r="K58" i="7" s="1"/>
  <c r="D58" i="7"/>
  <c r="F27" i="18"/>
  <c r="F26" i="18" s="1"/>
  <c r="E26" i="18"/>
  <c r="D26" i="18"/>
  <c r="F25" i="18"/>
  <c r="F24" i="18" s="1"/>
  <c r="E24" i="18"/>
  <c r="D24" i="18"/>
  <c r="F23" i="18"/>
  <c r="F22" i="18"/>
  <c r="F21" i="18"/>
  <c r="E19" i="18"/>
  <c r="K8" i="7" s="1"/>
  <c r="F18" i="18"/>
  <c r="F17" i="18" s="1"/>
  <c r="E17" i="18"/>
  <c r="D17" i="18"/>
  <c r="F16" i="18"/>
  <c r="F15" i="18" s="1"/>
  <c r="E15" i="18"/>
  <c r="D15" i="18"/>
  <c r="F14" i="18"/>
  <c r="F13" i="18"/>
  <c r="E12" i="18"/>
  <c r="J10" i="6" s="1"/>
  <c r="F29" i="16"/>
  <c r="F28" i="16" s="1"/>
  <c r="F27" i="16" s="1"/>
  <c r="E27" i="16"/>
  <c r="K57" i="7" s="1"/>
  <c r="D57" i="7"/>
  <c r="F26" i="16"/>
  <c r="F25" i="16" s="1"/>
  <c r="E25" i="16"/>
  <c r="D25" i="16"/>
  <c r="F24" i="16"/>
  <c r="F23" i="16" s="1"/>
  <c r="E23" i="16"/>
  <c r="D23" i="16"/>
  <c r="F22" i="16"/>
  <c r="F21" i="16"/>
  <c r="F20" i="16"/>
  <c r="E19" i="16"/>
  <c r="F17" i="16"/>
  <c r="F16" i="16" s="1"/>
  <c r="E16" i="16"/>
  <c r="D16" i="16"/>
  <c r="F15" i="16"/>
  <c r="F14" i="16" s="1"/>
  <c r="E14" i="16"/>
  <c r="D14" i="16"/>
  <c r="F13" i="16"/>
  <c r="F12" i="16"/>
  <c r="E11" i="16"/>
  <c r="J9" i="6" s="1"/>
  <c r="D11" i="16"/>
  <c r="F27" i="15"/>
  <c r="F26" i="15" s="1"/>
  <c r="F25" i="15" s="1"/>
  <c r="E25" i="15"/>
  <c r="K56" i="7" s="1"/>
  <c r="D25" i="15"/>
  <c r="D56" i="7" s="1"/>
  <c r="F24" i="15"/>
  <c r="F23" i="15"/>
  <c r="F22" i="15"/>
  <c r="F21" i="15"/>
  <c r="E20" i="15"/>
  <c r="E19" i="15" s="1"/>
  <c r="D20" i="15"/>
  <c r="D19" i="15" s="1"/>
  <c r="F18" i="15"/>
  <c r="F17" i="15" s="1"/>
  <c r="E17" i="15"/>
  <c r="D17" i="15"/>
  <c r="F16" i="15"/>
  <c r="F15" i="15" s="1"/>
  <c r="E15" i="15"/>
  <c r="D15" i="15"/>
  <c r="F14" i="15"/>
  <c r="F13" i="15"/>
  <c r="E12" i="15"/>
  <c r="D12" i="15"/>
  <c r="F52" i="14"/>
  <c r="K55" i="7"/>
  <c r="D49" i="14"/>
  <c r="D55" i="7" s="1"/>
  <c r="F48" i="14"/>
  <c r="F47" i="14"/>
  <c r="D46" i="14"/>
  <c r="F45" i="14"/>
  <c r="F44" i="14"/>
  <c r="F42" i="14"/>
  <c r="F40" i="14"/>
  <c r="F39" i="14"/>
  <c r="F38" i="14"/>
  <c r="F37" i="14"/>
  <c r="F36" i="14"/>
  <c r="F35" i="14"/>
  <c r="F33" i="14"/>
  <c r="F32" i="14"/>
  <c r="F31" i="14"/>
  <c r="F30" i="14"/>
  <c r="F29" i="14"/>
  <c r="F28" i="14"/>
  <c r="F27" i="14"/>
  <c r="F26" i="14"/>
  <c r="F25" i="14"/>
  <c r="F24" i="14"/>
  <c r="F23" i="14"/>
  <c r="F20" i="14"/>
  <c r="F19" i="14" s="1"/>
  <c r="E19" i="14"/>
  <c r="D19" i="14"/>
  <c r="F18" i="14"/>
  <c r="F17" i="14" s="1"/>
  <c r="E17" i="14"/>
  <c r="D17" i="14"/>
  <c r="F16" i="14"/>
  <c r="F15" i="14" s="1"/>
  <c r="E15" i="14"/>
  <c r="D15" i="14"/>
  <c r="F13" i="14"/>
  <c r="E12" i="14"/>
  <c r="F26" i="13"/>
  <c r="F25" i="13"/>
  <c r="F24" i="13"/>
  <c r="F23" i="13"/>
  <c r="E22" i="13"/>
  <c r="E21" i="13" s="1"/>
  <c r="D22" i="13"/>
  <c r="D21" i="13" s="1"/>
  <c r="F20" i="13"/>
  <c r="F19" i="13" s="1"/>
  <c r="E19" i="13"/>
  <c r="D19" i="13"/>
  <c r="F18" i="13"/>
  <c r="F17" i="13" s="1"/>
  <c r="E17" i="13"/>
  <c r="D17" i="13"/>
  <c r="D31" i="13" s="1"/>
  <c r="F16" i="13"/>
  <c r="F15" i="13"/>
  <c r="C6" i="6"/>
  <c r="F60" i="11"/>
  <c r="F59" i="11" s="1"/>
  <c r="F58" i="11" s="1"/>
  <c r="D59" i="11"/>
  <c r="D58" i="11" s="1"/>
  <c r="E58" i="11"/>
  <c r="D56" i="11"/>
  <c r="D51" i="11" s="1"/>
  <c r="F55" i="11"/>
  <c r="F53" i="11"/>
  <c r="F50" i="11"/>
  <c r="E48" i="11"/>
  <c r="E47" i="11" s="1"/>
  <c r="D48" i="11"/>
  <c r="D47" i="11" s="1"/>
  <c r="E44" i="11"/>
  <c r="F45" i="11"/>
  <c r="F43" i="11"/>
  <c r="F42" i="11"/>
  <c r="E40" i="11"/>
  <c r="F39" i="11"/>
  <c r="F38" i="11"/>
  <c r="F37" i="11"/>
  <c r="F36" i="11"/>
  <c r="F35" i="11"/>
  <c r="F34" i="11"/>
  <c r="D33" i="11"/>
  <c r="F32" i="11"/>
  <c r="F31" i="11"/>
  <c r="F30" i="11"/>
  <c r="F29" i="11"/>
  <c r="F28" i="11"/>
  <c r="F27" i="11"/>
  <c r="F25" i="11"/>
  <c r="E23" i="11"/>
  <c r="F21" i="11"/>
  <c r="F20" i="11" s="1"/>
  <c r="E20" i="11"/>
  <c r="D20" i="11"/>
  <c r="D18" i="11"/>
  <c r="E18" i="11"/>
  <c r="F17" i="11"/>
  <c r="E16" i="11"/>
  <c r="D16" i="11"/>
  <c r="F15" i="11"/>
  <c r="D12" i="11"/>
  <c r="F13" i="11"/>
  <c r="B10" i="9"/>
  <c r="B10" i="8"/>
  <c r="K48" i="7"/>
  <c r="D48" i="7"/>
  <c r="E20" i="31" l="1"/>
  <c r="D46" i="44"/>
  <c r="D12" i="38"/>
  <c r="F33" i="23"/>
  <c r="D11" i="6"/>
  <c r="F34" i="25"/>
  <c r="D20" i="31"/>
  <c r="F32" i="13"/>
  <c r="F36" i="16"/>
  <c r="K11" i="6"/>
  <c r="F41" i="26"/>
  <c r="F21" i="29"/>
  <c r="E31" i="13"/>
  <c r="F43" i="14"/>
  <c r="C11" i="6"/>
  <c r="E11" i="6" s="1"/>
  <c r="D39" i="19"/>
  <c r="D13" i="6"/>
  <c r="F20" i="22"/>
  <c r="J11" i="6"/>
  <c r="L11" i="6" s="1"/>
  <c r="E39" i="19"/>
  <c r="F40" i="19"/>
  <c r="D19" i="19"/>
  <c r="F38" i="35"/>
  <c r="F41" i="36"/>
  <c r="F35" i="37"/>
  <c r="F34" i="37" s="1"/>
  <c r="F42" i="37"/>
  <c r="F42" i="32"/>
  <c r="E12" i="32"/>
  <c r="E41" i="32"/>
  <c r="D12" i="32"/>
  <c r="D41" i="32"/>
  <c r="E40" i="26"/>
  <c r="F58" i="14"/>
  <c r="F37" i="18"/>
  <c r="E20" i="42"/>
  <c r="K30" i="7" s="1"/>
  <c r="E32" i="42"/>
  <c r="F33" i="42"/>
  <c r="E46" i="31"/>
  <c r="F47" i="31"/>
  <c r="C22" i="6"/>
  <c r="D46" i="31"/>
  <c r="E37" i="29"/>
  <c r="F38" i="29"/>
  <c r="C20" i="6"/>
  <c r="D37" i="29"/>
  <c r="F40" i="28"/>
  <c r="D33" i="25"/>
  <c r="E33" i="25"/>
  <c r="E11" i="24"/>
  <c r="D12" i="6"/>
  <c r="D10" i="6"/>
  <c r="J8" i="6"/>
  <c r="E32" i="15"/>
  <c r="F33" i="15"/>
  <c r="C8" i="6"/>
  <c r="D32" i="15"/>
  <c r="F16" i="11"/>
  <c r="D32" i="42"/>
  <c r="D20" i="42"/>
  <c r="D30" i="7" s="1"/>
  <c r="E32" i="43"/>
  <c r="K75" i="7" s="1"/>
  <c r="F21" i="33"/>
  <c r="F20" i="33" s="1"/>
  <c r="F27" i="29"/>
  <c r="D14" i="6"/>
  <c r="E13" i="13"/>
  <c r="J7" i="6"/>
  <c r="E11" i="14"/>
  <c r="E54" i="14" s="1"/>
  <c r="D6" i="5" s="1"/>
  <c r="F11" i="16"/>
  <c r="F10" i="16" s="1"/>
  <c r="J12" i="6"/>
  <c r="E11" i="20"/>
  <c r="E37" i="20" s="1"/>
  <c r="E32" i="23"/>
  <c r="E11" i="23"/>
  <c r="E11" i="27"/>
  <c r="J22" i="6"/>
  <c r="E12" i="31"/>
  <c r="F13" i="34"/>
  <c r="F12" i="34" s="1"/>
  <c r="E21" i="36"/>
  <c r="K25" i="7" s="1"/>
  <c r="E20" i="43"/>
  <c r="E12" i="43"/>
  <c r="E12" i="42"/>
  <c r="D21" i="41"/>
  <c r="F43" i="40"/>
  <c r="J28" i="6"/>
  <c r="E12" i="37"/>
  <c r="E12" i="36"/>
  <c r="J27" i="6"/>
  <c r="C27" i="6"/>
  <c r="D40" i="36"/>
  <c r="D12" i="36"/>
  <c r="E12" i="35"/>
  <c r="E34" i="35" s="1"/>
  <c r="E12" i="34"/>
  <c r="E35" i="34" s="1"/>
  <c r="D24" i="5" s="1"/>
  <c r="E12" i="33"/>
  <c r="E33" i="33" s="1"/>
  <c r="D23" i="5" s="1"/>
  <c r="D23" i="6"/>
  <c r="E23" i="6" s="1"/>
  <c r="K23" i="6"/>
  <c r="L23" i="6" s="1"/>
  <c r="J21" i="6"/>
  <c r="E12" i="30"/>
  <c r="J20" i="6"/>
  <c r="E12" i="29"/>
  <c r="D20" i="6"/>
  <c r="E11" i="28"/>
  <c r="D18" i="6"/>
  <c r="C14" i="6"/>
  <c r="D11" i="25"/>
  <c r="J14" i="6"/>
  <c r="E11" i="25"/>
  <c r="F41" i="21"/>
  <c r="E11" i="21"/>
  <c r="E37" i="21" s="1"/>
  <c r="D12" i="5" s="1"/>
  <c r="K32" i="7"/>
  <c r="J29" i="6"/>
  <c r="E12" i="38"/>
  <c r="E50" i="38" s="1"/>
  <c r="E53" i="38"/>
  <c r="F32" i="34"/>
  <c r="F31" i="34" s="1"/>
  <c r="F21" i="32"/>
  <c r="D12" i="9"/>
  <c r="F43" i="41"/>
  <c r="C29" i="6"/>
  <c r="D53" i="38"/>
  <c r="E12" i="39"/>
  <c r="F30" i="35"/>
  <c r="F29" i="35" s="1"/>
  <c r="C33" i="6"/>
  <c r="D12" i="43"/>
  <c r="D39" i="43"/>
  <c r="J33" i="6"/>
  <c r="E39" i="43"/>
  <c r="K32" i="6"/>
  <c r="F30" i="40"/>
  <c r="F54" i="38"/>
  <c r="F21" i="35"/>
  <c r="K22" i="6"/>
  <c r="J19" i="6"/>
  <c r="E39" i="28"/>
  <c r="C19" i="6"/>
  <c r="D39" i="28"/>
  <c r="F20" i="15"/>
  <c r="F19" i="15" s="1"/>
  <c r="F18" i="43"/>
  <c r="F16" i="43"/>
  <c r="D29" i="6"/>
  <c r="K29" i="6"/>
  <c r="D20" i="28"/>
  <c r="D17" i="7" s="1"/>
  <c r="F25" i="35"/>
  <c r="F46" i="14"/>
  <c r="F34" i="14"/>
  <c r="K10" i="6"/>
  <c r="L10" i="6" s="1"/>
  <c r="K13" i="6"/>
  <c r="C17" i="6"/>
  <c r="D40" i="26"/>
  <c r="F20" i="26"/>
  <c r="F21" i="34"/>
  <c r="F20" i="34" s="1"/>
  <c r="K28" i="6"/>
  <c r="F22" i="36"/>
  <c r="K27" i="6"/>
  <c r="D29" i="7"/>
  <c r="D28" i="6"/>
  <c r="E28" i="6" s="1"/>
  <c r="D12" i="37"/>
  <c r="D8" i="6"/>
  <c r="E8" i="6" s="1"/>
  <c r="F20" i="23"/>
  <c r="F19" i="23" s="1"/>
  <c r="D24" i="6"/>
  <c r="F13" i="40"/>
  <c r="F12" i="40" s="1"/>
  <c r="E20" i="40"/>
  <c r="K28" i="7" s="1"/>
  <c r="F22" i="41"/>
  <c r="F21" i="41" s="1"/>
  <c r="D6" i="6"/>
  <c r="E6" i="6" s="1"/>
  <c r="K8" i="6"/>
  <c r="E18" i="16"/>
  <c r="K7" i="7" s="1"/>
  <c r="D21" i="21"/>
  <c r="D11" i="7" s="1"/>
  <c r="J16" i="6"/>
  <c r="K41" i="7"/>
  <c r="F25" i="26"/>
  <c r="D21" i="6"/>
  <c r="E21" i="6" s="1"/>
  <c r="K6" i="6"/>
  <c r="L6" i="6" s="1"/>
  <c r="K7" i="6"/>
  <c r="F50" i="14"/>
  <c r="F49" i="14" s="1"/>
  <c r="F19" i="16"/>
  <c r="F18" i="16" s="1"/>
  <c r="F34" i="26"/>
  <c r="F33" i="26" s="1"/>
  <c r="E20" i="29"/>
  <c r="K18" i="7" s="1"/>
  <c r="E20" i="37"/>
  <c r="K26" i="7" s="1"/>
  <c r="F29" i="37"/>
  <c r="F36" i="38"/>
  <c r="K30" i="6"/>
  <c r="L30" i="6" s="1"/>
  <c r="F21" i="42"/>
  <c r="K64" i="7"/>
  <c r="D11" i="8"/>
  <c r="G9" i="4"/>
  <c r="D12" i="8"/>
  <c r="D26" i="6"/>
  <c r="F20" i="18"/>
  <c r="F19" i="18" s="1"/>
  <c r="F22" i="14"/>
  <c r="K33" i="6"/>
  <c r="D33" i="6"/>
  <c r="D27" i="6"/>
  <c r="D32" i="6"/>
  <c r="E32" i="6" s="1"/>
  <c r="J32" i="6"/>
  <c r="K31" i="6"/>
  <c r="L31" i="6" s="1"/>
  <c r="D31" i="6"/>
  <c r="E31" i="6" s="1"/>
  <c r="D42" i="41"/>
  <c r="E42" i="41"/>
  <c r="D30" i="6"/>
  <c r="E30" i="6" s="1"/>
  <c r="K26" i="6"/>
  <c r="J26" i="6"/>
  <c r="E37" i="35"/>
  <c r="D37" i="35"/>
  <c r="C26" i="6"/>
  <c r="K25" i="6"/>
  <c r="D25" i="6"/>
  <c r="E38" i="34"/>
  <c r="J25" i="6"/>
  <c r="D12" i="34"/>
  <c r="D37" i="34" s="1"/>
  <c r="C24" i="5" s="1"/>
  <c r="C25" i="6"/>
  <c r="K24" i="6"/>
  <c r="F37" i="33"/>
  <c r="J24" i="6"/>
  <c r="L24" i="6" s="1"/>
  <c r="D12" i="33"/>
  <c r="D33" i="33" s="1"/>
  <c r="D36" i="33"/>
  <c r="C24" i="6"/>
  <c r="F13" i="33"/>
  <c r="D22" i="6"/>
  <c r="E22" i="6" s="1"/>
  <c r="K21" i="6"/>
  <c r="K20" i="6"/>
  <c r="D19" i="6"/>
  <c r="K19" i="6"/>
  <c r="K18" i="6"/>
  <c r="F35" i="27"/>
  <c r="J18" i="6"/>
  <c r="E34" i="27"/>
  <c r="C18" i="6"/>
  <c r="D34" i="27"/>
  <c r="K17" i="6"/>
  <c r="L17" i="6" s="1"/>
  <c r="D17" i="6"/>
  <c r="F28" i="19"/>
  <c r="K9" i="7"/>
  <c r="E39" i="22"/>
  <c r="F39" i="24"/>
  <c r="D38" i="24"/>
  <c r="D11" i="24"/>
  <c r="D16" i="6"/>
  <c r="E16" i="6" s="1"/>
  <c r="K16" i="6"/>
  <c r="K14" i="6"/>
  <c r="K15" i="6"/>
  <c r="D15" i="6"/>
  <c r="E15" i="6" s="1"/>
  <c r="D11" i="23"/>
  <c r="J15" i="6"/>
  <c r="D32" i="23"/>
  <c r="J13" i="6"/>
  <c r="L13" i="6" s="1"/>
  <c r="E40" i="21"/>
  <c r="D40" i="21"/>
  <c r="F15" i="21"/>
  <c r="F22" i="21"/>
  <c r="F21" i="21" s="1"/>
  <c r="C13" i="6"/>
  <c r="F12" i="21"/>
  <c r="K11" i="7"/>
  <c r="K12" i="6"/>
  <c r="F39" i="20"/>
  <c r="C12" i="6"/>
  <c r="E12" i="6" s="1"/>
  <c r="D38" i="20"/>
  <c r="F12" i="19"/>
  <c r="C10" i="6"/>
  <c r="D36" i="18"/>
  <c r="D21" i="14"/>
  <c r="D7" i="6"/>
  <c r="E57" i="14"/>
  <c r="D20" i="37"/>
  <c r="D26" i="7" s="1"/>
  <c r="D10" i="16"/>
  <c r="C9" i="6"/>
  <c r="D9" i="6"/>
  <c r="D18" i="16"/>
  <c r="D7" i="7" s="1"/>
  <c r="K9" i="6"/>
  <c r="L9" i="6" s="1"/>
  <c r="D22" i="7"/>
  <c r="D68" i="7"/>
  <c r="D76" i="7" s="1"/>
  <c r="D13" i="8" s="1"/>
  <c r="D20" i="40"/>
  <c r="D28" i="7" s="1"/>
  <c r="F21" i="40"/>
  <c r="F33" i="36"/>
  <c r="F19" i="36"/>
  <c r="F17" i="36"/>
  <c r="F13" i="36"/>
  <c r="E40" i="36"/>
  <c r="D21" i="36"/>
  <c r="D25" i="7" s="1"/>
  <c r="K6" i="7"/>
  <c r="D6" i="7"/>
  <c r="F35" i="32"/>
  <c r="E20" i="32"/>
  <c r="K21" i="7" s="1"/>
  <c r="F13" i="31"/>
  <c r="D12" i="30"/>
  <c r="E20" i="30"/>
  <c r="K19" i="7" s="1"/>
  <c r="D20" i="30"/>
  <c r="D19" i="7" s="1"/>
  <c r="E19" i="27"/>
  <c r="K16" i="7" s="1"/>
  <c r="F20" i="27"/>
  <c r="F19" i="27" s="1"/>
  <c r="D11" i="26"/>
  <c r="E11" i="26"/>
  <c r="D19" i="26"/>
  <c r="D15" i="7" s="1"/>
  <c r="F20" i="25"/>
  <c r="F19" i="25" s="1"/>
  <c r="D19" i="23"/>
  <c r="D13" i="7" s="1"/>
  <c r="D19" i="20"/>
  <c r="D10" i="7" s="1"/>
  <c r="F25" i="20"/>
  <c r="F20" i="20"/>
  <c r="D32" i="7"/>
  <c r="D22" i="11"/>
  <c r="E36" i="39"/>
  <c r="F37" i="39"/>
  <c r="F38" i="39"/>
  <c r="F29" i="39"/>
  <c r="F30" i="39"/>
  <c r="F33" i="39"/>
  <c r="F25" i="39"/>
  <c r="F26" i="39"/>
  <c r="E22" i="39"/>
  <c r="F27" i="39"/>
  <c r="F34" i="39"/>
  <c r="D15" i="44"/>
  <c r="D45" i="44" s="1"/>
  <c r="D20" i="43"/>
  <c r="D31" i="7" s="1"/>
  <c r="F27" i="43"/>
  <c r="F13" i="43"/>
  <c r="F22" i="43"/>
  <c r="F21" i="43" s="1"/>
  <c r="D12" i="42"/>
  <c r="F13" i="42"/>
  <c r="E12" i="41"/>
  <c r="D12" i="41"/>
  <c r="F13" i="41"/>
  <c r="F12" i="41" s="1"/>
  <c r="D12" i="40"/>
  <c r="E12" i="40"/>
  <c r="D42" i="40"/>
  <c r="E42" i="40"/>
  <c r="D12" i="39"/>
  <c r="F43" i="39"/>
  <c r="F42" i="39" s="1"/>
  <c r="D22" i="39"/>
  <c r="D21" i="39" s="1"/>
  <c r="F46" i="39"/>
  <c r="F45" i="39" s="1"/>
  <c r="F44" i="39" s="1"/>
  <c r="F41" i="39"/>
  <c r="F40" i="39" s="1"/>
  <c r="F18" i="39"/>
  <c r="F17" i="39" s="1"/>
  <c r="F14" i="39"/>
  <c r="F41" i="38"/>
  <c r="F22" i="38"/>
  <c r="F13" i="38"/>
  <c r="F21" i="37"/>
  <c r="F13" i="37"/>
  <c r="F12" i="37" s="1"/>
  <c r="E41" i="37"/>
  <c r="D41" i="37"/>
  <c r="D12" i="35"/>
  <c r="D36" i="35" s="1"/>
  <c r="C25" i="5" s="1"/>
  <c r="F13" i="35"/>
  <c r="F39" i="34"/>
  <c r="E37" i="34"/>
  <c r="D38" i="34"/>
  <c r="E36" i="33"/>
  <c r="F31" i="32"/>
  <c r="F13" i="32"/>
  <c r="F12" i="32" s="1"/>
  <c r="D20" i="7"/>
  <c r="F34" i="31"/>
  <c r="F30" i="31"/>
  <c r="F21" i="31"/>
  <c r="F20" i="31" s="1"/>
  <c r="D12" i="31"/>
  <c r="F21" i="30"/>
  <c r="F20" i="30" s="1"/>
  <c r="D36" i="30"/>
  <c r="E36" i="30"/>
  <c r="F14" i="30"/>
  <c r="F37" i="30" s="1"/>
  <c r="D18" i="7"/>
  <c r="F13" i="29"/>
  <c r="F37" i="29" s="1"/>
  <c r="D12" i="29"/>
  <c r="E20" i="28"/>
  <c r="K17" i="7" s="1"/>
  <c r="F21" i="28"/>
  <c r="D11" i="28"/>
  <c r="F12" i="28"/>
  <c r="D19" i="27"/>
  <c r="D16" i="7" s="1"/>
  <c r="F12" i="27"/>
  <c r="D11" i="27"/>
  <c r="E19" i="26"/>
  <c r="K15" i="7" s="1"/>
  <c r="F12" i="26"/>
  <c r="K12" i="7"/>
  <c r="D12" i="7"/>
  <c r="F12" i="25"/>
  <c r="F33" i="25" s="1"/>
  <c r="D19" i="24"/>
  <c r="D14" i="7" s="1"/>
  <c r="E19" i="24"/>
  <c r="K14" i="7" s="1"/>
  <c r="F20" i="24"/>
  <c r="F19" i="24" s="1"/>
  <c r="E38" i="24"/>
  <c r="F12" i="24"/>
  <c r="F11" i="24" s="1"/>
  <c r="F12" i="23"/>
  <c r="E42" i="22"/>
  <c r="F12" i="22"/>
  <c r="D17" i="22"/>
  <c r="F30" i="22"/>
  <c r="F29" i="22" s="1"/>
  <c r="F33" i="22"/>
  <c r="F32" i="22" s="1"/>
  <c r="F31" i="22" s="1"/>
  <c r="F16" i="22"/>
  <c r="F15" i="22" s="1"/>
  <c r="D11" i="21"/>
  <c r="E38" i="20"/>
  <c r="F12" i="20"/>
  <c r="D11" i="20"/>
  <c r="D9" i="7"/>
  <c r="F20" i="19"/>
  <c r="F19" i="19" s="1"/>
  <c r="D11" i="19"/>
  <c r="E11" i="19"/>
  <c r="D19" i="18"/>
  <c r="D8" i="7" s="1"/>
  <c r="E11" i="18"/>
  <c r="F12" i="18"/>
  <c r="D11" i="18"/>
  <c r="E36" i="18"/>
  <c r="E35" i="16"/>
  <c r="E10" i="16"/>
  <c r="D35" i="16"/>
  <c r="D11" i="15"/>
  <c r="E11" i="15"/>
  <c r="E29" i="15" s="1"/>
  <c r="D7" i="5" s="1"/>
  <c r="F12" i="15"/>
  <c r="D57" i="14"/>
  <c r="D11" i="14"/>
  <c r="F12" i="14"/>
  <c r="F22" i="13"/>
  <c r="F21" i="13" s="1"/>
  <c r="D13" i="13"/>
  <c r="E28" i="13"/>
  <c r="E30" i="13"/>
  <c r="D5" i="5" s="1"/>
  <c r="F14" i="13"/>
  <c r="D11" i="11"/>
  <c r="D65" i="11"/>
  <c r="F33" i="11"/>
  <c r="F24" i="11"/>
  <c r="E33" i="11"/>
  <c r="E22" i="11" s="1"/>
  <c r="F46" i="11"/>
  <c r="F44" i="11" s="1"/>
  <c r="F54" i="11"/>
  <c r="F52" i="11" s="1"/>
  <c r="F14" i="11"/>
  <c r="F26" i="11"/>
  <c r="F41" i="11"/>
  <c r="F40" i="11" s="1"/>
  <c r="F49" i="11"/>
  <c r="F48" i="11" s="1"/>
  <c r="F47" i="11" s="1"/>
  <c r="F57" i="11"/>
  <c r="F56" i="11" s="1"/>
  <c r="E12" i="11"/>
  <c r="F12" i="11" s="1"/>
  <c r="F19" i="11"/>
  <c r="F18" i="11" s="1"/>
  <c r="E10" i="6" l="1"/>
  <c r="L12" i="6"/>
  <c r="E20" i="6"/>
  <c r="E13" i="6"/>
  <c r="F31" i="13"/>
  <c r="L8" i="6"/>
  <c r="F43" i="22"/>
  <c r="K76" i="7"/>
  <c r="D13" i="9" s="1"/>
  <c r="F42" i="22"/>
  <c r="L19" i="6"/>
  <c r="L20" i="6"/>
  <c r="L22" i="6"/>
  <c r="L7" i="6"/>
  <c r="F11" i="19"/>
  <c r="F39" i="19"/>
  <c r="L32" i="6"/>
  <c r="L14" i="6"/>
  <c r="F66" i="11"/>
  <c r="L18" i="6"/>
  <c r="L25" i="6"/>
  <c r="L16" i="6"/>
  <c r="F20" i="29"/>
  <c r="L21" i="6"/>
  <c r="L26" i="6"/>
  <c r="F32" i="23"/>
  <c r="L15" i="6"/>
  <c r="F34" i="32"/>
  <c r="F41" i="32"/>
  <c r="L28" i="6"/>
  <c r="L27" i="6"/>
  <c r="L33" i="6"/>
  <c r="L29" i="6"/>
  <c r="G8" i="4"/>
  <c r="K34" i="6"/>
  <c r="J34" i="6"/>
  <c r="E36" i="43"/>
  <c r="D32" i="5" s="1"/>
  <c r="F12" i="31"/>
  <c r="F45" i="31" s="1"/>
  <c r="F46" i="31"/>
  <c r="F11" i="15"/>
  <c r="F32" i="15"/>
  <c r="F20" i="42"/>
  <c r="F32" i="42"/>
  <c r="F20" i="40"/>
  <c r="F41" i="40" s="1"/>
  <c r="E34" i="29"/>
  <c r="D19" i="5" s="1"/>
  <c r="E14" i="6"/>
  <c r="E30" i="25"/>
  <c r="D13" i="5" s="1"/>
  <c r="F35" i="16"/>
  <c r="E35" i="18"/>
  <c r="E33" i="18"/>
  <c r="D9" i="5" s="1"/>
  <c r="E31" i="23"/>
  <c r="E29" i="23"/>
  <c r="D14" i="5" s="1"/>
  <c r="D11" i="22"/>
  <c r="D39" i="22" s="1"/>
  <c r="D42" i="22"/>
  <c r="E43" i="31"/>
  <c r="D21" i="5" s="1"/>
  <c r="E36" i="35"/>
  <c r="E37" i="36"/>
  <c r="D26" i="5" s="1"/>
  <c r="F40" i="43"/>
  <c r="E29" i="42"/>
  <c r="D31" i="5" s="1"/>
  <c r="E38" i="37"/>
  <c r="D27" i="5" s="1"/>
  <c r="F12" i="36"/>
  <c r="F40" i="36"/>
  <c r="D35" i="34"/>
  <c r="F35" i="34" s="1"/>
  <c r="F37" i="34"/>
  <c r="F38" i="34"/>
  <c r="E18" i="6"/>
  <c r="D32" i="25"/>
  <c r="C13" i="5" s="1"/>
  <c r="D30" i="25"/>
  <c r="F19" i="22"/>
  <c r="E32" i="16"/>
  <c r="D8" i="5" s="1"/>
  <c r="D32" i="16"/>
  <c r="F31" i="15"/>
  <c r="E37" i="26"/>
  <c r="D16" i="5" s="1"/>
  <c r="D38" i="32"/>
  <c r="C22" i="5" s="1"/>
  <c r="K29" i="7"/>
  <c r="E39" i="41"/>
  <c r="D30" i="5" s="1"/>
  <c r="F21" i="14"/>
  <c r="D34" i="6"/>
  <c r="E7" i="6"/>
  <c r="E29" i="6"/>
  <c r="E25" i="6"/>
  <c r="F52" i="39"/>
  <c r="D50" i="39"/>
  <c r="F20" i="35"/>
  <c r="E56" i="14"/>
  <c r="D5" i="7"/>
  <c r="D54" i="14"/>
  <c r="F12" i="43"/>
  <c r="F39" i="43"/>
  <c r="D39" i="21"/>
  <c r="C12" i="5" s="1"/>
  <c r="D41" i="41"/>
  <c r="C30" i="5" s="1"/>
  <c r="E39" i="40"/>
  <c r="D29" i="5" s="1"/>
  <c r="D27" i="7"/>
  <c r="D52" i="38"/>
  <c r="C28" i="5" s="1"/>
  <c r="D50" i="38"/>
  <c r="F53" i="38"/>
  <c r="F37" i="35"/>
  <c r="E19" i="6"/>
  <c r="D38" i="28"/>
  <c r="C18" i="5" s="1"/>
  <c r="D36" i="28"/>
  <c r="E36" i="28"/>
  <c r="D18" i="5" s="1"/>
  <c r="E38" i="28"/>
  <c r="E33" i="6"/>
  <c r="D11" i="9"/>
  <c r="D28" i="5"/>
  <c r="E52" i="38"/>
  <c r="E17" i="6"/>
  <c r="F41" i="41"/>
  <c r="D41" i="40"/>
  <c r="C29" i="5" s="1"/>
  <c r="F20" i="37"/>
  <c r="F40" i="37" s="1"/>
  <c r="D30" i="13"/>
  <c r="D37" i="26"/>
  <c r="D39" i="26"/>
  <c r="C16" i="5" s="1"/>
  <c r="F40" i="26"/>
  <c r="E26" i="6"/>
  <c r="F19" i="26"/>
  <c r="D31" i="15"/>
  <c r="C7" i="5" s="1"/>
  <c r="E41" i="22"/>
  <c r="E24" i="6"/>
  <c r="F34" i="27"/>
  <c r="K27" i="7"/>
  <c r="E45" i="31"/>
  <c r="K20" i="7"/>
  <c r="F51" i="11"/>
  <c r="E38" i="43"/>
  <c r="K31" i="7"/>
  <c r="E27" i="6"/>
  <c r="E39" i="36"/>
  <c r="D37" i="36"/>
  <c r="C26" i="5" s="1"/>
  <c r="E41" i="41"/>
  <c r="D34" i="35"/>
  <c r="F33" i="33"/>
  <c r="E35" i="33"/>
  <c r="D35" i="33"/>
  <c r="C23" i="5" s="1"/>
  <c r="F12" i="33"/>
  <c r="F35" i="33" s="1"/>
  <c r="F36" i="33"/>
  <c r="D33" i="30"/>
  <c r="E33" i="27"/>
  <c r="E31" i="27"/>
  <c r="D17" i="5" s="1"/>
  <c r="D33" i="27"/>
  <c r="C17" i="5" s="1"/>
  <c r="D31" i="27"/>
  <c r="E36" i="19"/>
  <c r="D10" i="5" s="1"/>
  <c r="F11" i="22"/>
  <c r="F38" i="24"/>
  <c r="E39" i="21"/>
  <c r="F40" i="21"/>
  <c r="F11" i="21"/>
  <c r="F39" i="21" s="1"/>
  <c r="F11" i="20"/>
  <c r="F38" i="20"/>
  <c r="D35" i="20"/>
  <c r="D37" i="20"/>
  <c r="C11" i="5" s="1"/>
  <c r="D38" i="19"/>
  <c r="C10" i="5" s="1"/>
  <c r="F11" i="18"/>
  <c r="F35" i="18" s="1"/>
  <c r="F36" i="18"/>
  <c r="D35" i="18"/>
  <c r="C9" i="5" s="1"/>
  <c r="D40" i="37"/>
  <c r="C27" i="5" s="1"/>
  <c r="D34" i="16"/>
  <c r="C8" i="5" s="1"/>
  <c r="E9" i="6"/>
  <c r="E21" i="39"/>
  <c r="E50" i="39" s="1"/>
  <c r="F42" i="40"/>
  <c r="F21" i="38"/>
  <c r="D25" i="5"/>
  <c r="D39" i="36"/>
  <c r="F21" i="36"/>
  <c r="F20" i="43"/>
  <c r="D36" i="43"/>
  <c r="C32" i="5" s="1"/>
  <c r="E38" i="32"/>
  <c r="D22" i="5" s="1"/>
  <c r="F20" i="32"/>
  <c r="D45" i="31"/>
  <c r="C21" i="5" s="1"/>
  <c r="D43" i="31"/>
  <c r="D35" i="30"/>
  <c r="C20" i="5" s="1"/>
  <c r="E39" i="26"/>
  <c r="D31" i="23"/>
  <c r="C14" i="5" s="1"/>
  <c r="D29" i="23"/>
  <c r="E35" i="20"/>
  <c r="D11" i="5" s="1"/>
  <c r="F19" i="20"/>
  <c r="E51" i="39"/>
  <c r="F36" i="39"/>
  <c r="F22" i="39"/>
  <c r="D48" i="39"/>
  <c r="D43" i="44"/>
  <c r="E31" i="42"/>
  <c r="D38" i="43"/>
  <c r="F12" i="42"/>
  <c r="D31" i="42"/>
  <c r="C31" i="5" s="1"/>
  <c r="D29" i="42"/>
  <c r="D39" i="41"/>
  <c r="F42" i="41"/>
  <c r="D39" i="40"/>
  <c r="E41" i="40"/>
  <c r="D51" i="39"/>
  <c r="F13" i="39"/>
  <c r="F12" i="38"/>
  <c r="F41" i="37"/>
  <c r="E40" i="37"/>
  <c r="D38" i="37"/>
  <c r="F12" i="35"/>
  <c r="E40" i="32"/>
  <c r="D40" i="32"/>
  <c r="E33" i="30"/>
  <c r="D20" i="5" s="1"/>
  <c r="E35" i="30"/>
  <c r="F13" i="30"/>
  <c r="E36" i="29"/>
  <c r="F12" i="29"/>
  <c r="F36" i="29" s="1"/>
  <c r="D36" i="29"/>
  <c r="C19" i="5" s="1"/>
  <c r="D34" i="29"/>
  <c r="F11" i="28"/>
  <c r="F11" i="27"/>
  <c r="F33" i="27" s="1"/>
  <c r="F11" i="26"/>
  <c r="E32" i="25"/>
  <c r="F11" i="25"/>
  <c r="F32" i="25" s="1"/>
  <c r="E37" i="24"/>
  <c r="D37" i="24"/>
  <c r="C15" i="5" s="1"/>
  <c r="E35" i="24"/>
  <c r="D15" i="5" s="1"/>
  <c r="D35" i="24"/>
  <c r="F37" i="24"/>
  <c r="F11" i="23"/>
  <c r="F31" i="23" s="1"/>
  <c r="D37" i="21"/>
  <c r="F37" i="21" s="1"/>
  <c r="D36" i="19"/>
  <c r="F38" i="19"/>
  <c r="E38" i="19"/>
  <c r="D33" i="18"/>
  <c r="E34" i="16"/>
  <c r="F34" i="16"/>
  <c r="D29" i="15"/>
  <c r="F29" i="15" s="1"/>
  <c r="E31" i="15"/>
  <c r="F57" i="14"/>
  <c r="F11" i="14"/>
  <c r="D56" i="14"/>
  <c r="C6" i="5" s="1"/>
  <c r="D28" i="13"/>
  <c r="F13" i="13"/>
  <c r="F30" i="13" s="1"/>
  <c r="F11" i="11"/>
  <c r="E65" i="11"/>
  <c r="E11" i="11"/>
  <c r="F23" i="11"/>
  <c r="F22" i="11" s="1"/>
  <c r="D64" i="11"/>
  <c r="D62" i="11"/>
  <c r="D33" i="5" l="1"/>
  <c r="F30" i="25"/>
  <c r="G10" i="4"/>
  <c r="D10" i="10"/>
  <c r="D23" i="10" s="1"/>
  <c r="G11" i="4" s="1"/>
  <c r="L34" i="6"/>
  <c r="F31" i="42"/>
  <c r="F34" i="29"/>
  <c r="F36" i="35"/>
  <c r="F32" i="16"/>
  <c r="D41" i="22"/>
  <c r="F39" i="22"/>
  <c r="F38" i="37"/>
  <c r="F29" i="42"/>
  <c r="F39" i="41"/>
  <c r="F39" i="40"/>
  <c r="F41" i="22"/>
  <c r="F28" i="13"/>
  <c r="C5" i="5"/>
  <c r="C33" i="5" s="1"/>
  <c r="F52" i="38"/>
  <c r="F56" i="14"/>
  <c r="F36" i="28"/>
  <c r="E34" i="6"/>
  <c r="F54" i="14"/>
  <c r="D33" i="7"/>
  <c r="F39" i="26"/>
  <c r="F37" i="26"/>
  <c r="F37" i="20"/>
  <c r="F36" i="43"/>
  <c r="K33" i="7"/>
  <c r="K82" i="7" s="1"/>
  <c r="F39" i="36"/>
  <c r="F37" i="36"/>
  <c r="F33" i="30"/>
  <c r="F31" i="27"/>
  <c r="F36" i="19"/>
  <c r="F29" i="23"/>
  <c r="F35" i="20"/>
  <c r="F33" i="18"/>
  <c r="E62" i="11"/>
  <c r="F62" i="11" s="1"/>
  <c r="E64" i="11"/>
  <c r="E48" i="39"/>
  <c r="F48" i="39" s="1"/>
  <c r="F50" i="38"/>
  <c r="F34" i="35"/>
  <c r="F38" i="43"/>
  <c r="F38" i="32"/>
  <c r="F40" i="32"/>
  <c r="F43" i="31"/>
  <c r="F21" i="39"/>
  <c r="F12" i="39"/>
  <c r="F51" i="39"/>
  <c r="F36" i="30"/>
  <c r="F12" i="30"/>
  <c r="F35" i="30" s="1"/>
  <c r="F35" i="24"/>
  <c r="F64" i="11"/>
  <c r="F65" i="11"/>
  <c r="N34" i="6" l="1"/>
  <c r="E14" i="3"/>
  <c r="D10" i="8"/>
  <c r="G7" i="4"/>
  <c r="D10" i="9"/>
  <c r="F50" i="39"/>
  <c r="D52" i="2"/>
  <c r="D49" i="2"/>
  <c r="D35" i="5" s="1"/>
  <c r="D65" i="2"/>
  <c r="E53" i="2"/>
  <c r="E52" i="2" s="1"/>
  <c r="F14" i="3" l="1"/>
  <c r="G14" i="3"/>
  <c r="C12" i="3"/>
  <c r="L37" i="6" s="1"/>
  <c r="D50" i="2"/>
  <c r="D3" i="9"/>
  <c r="D6" i="9" s="1"/>
  <c r="D10" i="4"/>
  <c r="F52" i="2"/>
  <c r="D7" i="10"/>
  <c r="D25" i="10" s="1"/>
  <c r="D11" i="4"/>
  <c r="D56" i="2"/>
  <c r="F49" i="2"/>
  <c r="K83" i="7" l="1"/>
  <c r="L39" i="6"/>
  <c r="G21" i="44"/>
  <c r="G27" i="44" s="1"/>
  <c r="C29" i="3"/>
  <c r="D69" i="2"/>
  <c r="D68" i="2"/>
  <c r="P56" i="1" l="1"/>
  <c r="D49" i="1"/>
  <c r="D48" i="1" s="1"/>
  <c r="E49" i="1"/>
  <c r="E48" i="1" s="1"/>
  <c r="F49" i="1"/>
  <c r="F48" i="1" s="1"/>
  <c r="G49" i="1"/>
  <c r="G48" i="1" s="1"/>
  <c r="H49" i="1"/>
  <c r="H48" i="1" s="1"/>
  <c r="I49" i="1"/>
  <c r="I48" i="1" s="1"/>
  <c r="J49" i="1"/>
  <c r="J48" i="1" s="1"/>
  <c r="K49" i="1"/>
  <c r="K48" i="1" s="1"/>
  <c r="L49" i="1"/>
  <c r="L48" i="1" s="1"/>
  <c r="M49" i="1"/>
  <c r="M48" i="1" s="1"/>
  <c r="N49" i="1"/>
  <c r="N48" i="1" s="1"/>
  <c r="O49" i="1"/>
  <c r="O48" i="1" s="1"/>
  <c r="K46" i="1"/>
  <c r="E46" i="1"/>
  <c r="F46" i="1"/>
  <c r="G46" i="1"/>
  <c r="H46" i="1"/>
  <c r="I46" i="1"/>
  <c r="J46" i="1"/>
  <c r="L46" i="1"/>
  <c r="M46" i="1"/>
  <c r="N46" i="1"/>
  <c r="O46" i="1"/>
  <c r="D46" i="1"/>
  <c r="E44" i="1"/>
  <c r="F44" i="1"/>
  <c r="G44" i="1"/>
  <c r="H44" i="1"/>
  <c r="I44" i="1"/>
  <c r="J44" i="1"/>
  <c r="K44" i="1"/>
  <c r="L44" i="1"/>
  <c r="M44" i="1"/>
  <c r="N44" i="1"/>
  <c r="O44" i="1"/>
  <c r="D44" i="1"/>
  <c r="G37" i="1"/>
  <c r="F37" i="1"/>
  <c r="E37" i="1"/>
  <c r="H37" i="1"/>
  <c r="I37" i="1"/>
  <c r="J37" i="1"/>
  <c r="K37" i="1"/>
  <c r="L37" i="1"/>
  <c r="M37" i="1"/>
  <c r="N37" i="1"/>
  <c r="O37" i="1"/>
  <c r="D37" i="1"/>
  <c r="E34" i="1"/>
  <c r="E33" i="1" s="1"/>
  <c r="F34" i="1"/>
  <c r="F33" i="1" s="1"/>
  <c r="G34" i="1"/>
  <c r="G33" i="1" s="1"/>
  <c r="H34" i="1"/>
  <c r="H33" i="1" s="1"/>
  <c r="I34" i="1"/>
  <c r="I33" i="1" s="1"/>
  <c r="J34" i="1"/>
  <c r="J33" i="1" s="1"/>
  <c r="K34" i="1"/>
  <c r="K33" i="1" s="1"/>
  <c r="L34" i="1"/>
  <c r="L33" i="1" s="1"/>
  <c r="M34" i="1"/>
  <c r="M33" i="1" s="1"/>
  <c r="N34" i="1"/>
  <c r="N33" i="1" s="1"/>
  <c r="O34" i="1"/>
  <c r="O33" i="1" s="1"/>
  <c r="D34" i="1"/>
  <c r="D33" i="1" s="1"/>
  <c r="H31" i="1"/>
  <c r="E31" i="1"/>
  <c r="F31" i="1"/>
  <c r="G31" i="1"/>
  <c r="I31" i="1"/>
  <c r="J31" i="1"/>
  <c r="K31" i="1"/>
  <c r="L31" i="1"/>
  <c r="M31" i="1"/>
  <c r="N31" i="1"/>
  <c r="O31" i="1"/>
  <c r="D31" i="1"/>
  <c r="O16" i="1"/>
  <c r="N16" i="1"/>
  <c r="M16" i="1"/>
  <c r="L16" i="1"/>
  <c r="K16" i="1"/>
  <c r="J16" i="1"/>
  <c r="I16" i="1"/>
  <c r="H16" i="1"/>
  <c r="G16" i="1"/>
  <c r="F16" i="1"/>
  <c r="E16" i="1"/>
  <c r="D16" i="1"/>
  <c r="D15" i="1" s="1"/>
  <c r="N9" i="1"/>
  <c r="N8" i="1" s="1"/>
  <c r="O9" i="1"/>
  <c r="O8" i="1" s="1"/>
  <c r="M9" i="1"/>
  <c r="L9" i="1"/>
  <c r="K9" i="1"/>
  <c r="K8" i="1" s="1"/>
  <c r="J9" i="1"/>
  <c r="I9" i="1"/>
  <c r="I8" i="1" s="1"/>
  <c r="H9" i="1"/>
  <c r="G9" i="1"/>
  <c r="G8" i="1" s="1"/>
  <c r="F9" i="1"/>
  <c r="F8" i="1" s="1"/>
  <c r="E9" i="1"/>
  <c r="D9" i="1"/>
  <c r="P35" i="1"/>
  <c r="E35" i="2" s="1"/>
  <c r="E34" i="2" s="1"/>
  <c r="E33" i="2" s="1"/>
  <c r="D8" i="4" s="1"/>
  <c r="P20" i="1"/>
  <c r="E20" i="2" s="1"/>
  <c r="P23" i="1"/>
  <c r="E23" i="2" s="1"/>
  <c r="P22" i="1"/>
  <c r="E22" i="2" s="1"/>
  <c r="D36" i="1" l="1"/>
  <c r="L36" i="1"/>
  <c r="D55" i="1"/>
  <c r="L55" i="1"/>
  <c r="H15" i="1"/>
  <c r="G15" i="1"/>
  <c r="E55" i="1"/>
  <c r="F15" i="1"/>
  <c r="O36" i="1"/>
  <c r="E15" i="1"/>
  <c r="N36" i="1"/>
  <c r="G55" i="1"/>
  <c r="M36" i="1"/>
  <c r="M55" i="1"/>
  <c r="F36" i="1"/>
  <c r="N15" i="1"/>
  <c r="M15" i="1"/>
  <c r="E36" i="1"/>
  <c r="E8" i="1"/>
  <c r="I55" i="1"/>
  <c r="K36" i="1"/>
  <c r="J36" i="1"/>
  <c r="L8" i="1"/>
  <c r="P34" i="1"/>
  <c r="P33" i="1" s="1"/>
  <c r="J55" i="1"/>
  <c r="J15" i="1"/>
  <c r="N55" i="1"/>
  <c r="H55" i="1"/>
  <c r="L15" i="1"/>
  <c r="M8" i="1"/>
  <c r="K55" i="1"/>
  <c r="O55" i="1"/>
  <c r="I15" i="1"/>
  <c r="J8" i="1"/>
  <c r="F55" i="1"/>
  <c r="G36" i="1"/>
  <c r="D8" i="1"/>
  <c r="H8" i="1"/>
  <c r="O15" i="1"/>
  <c r="H36" i="1"/>
  <c r="K15" i="1"/>
  <c r="I36" i="1"/>
  <c r="N52" i="1" l="1"/>
  <c r="G52" i="1"/>
  <c r="F52" i="1"/>
  <c r="N54" i="1"/>
  <c r="I54" i="1"/>
  <c r="G54" i="1"/>
  <c r="K54" i="1"/>
  <c r="F54" i="1"/>
  <c r="P55" i="1"/>
  <c r="E52" i="1"/>
  <c r="E54" i="1"/>
  <c r="D52" i="1"/>
  <c r="D54" i="1"/>
  <c r="I52" i="1"/>
  <c r="K52" i="1"/>
  <c r="H52" i="1"/>
  <c r="H54" i="1"/>
  <c r="M54" i="1"/>
  <c r="M52" i="1"/>
  <c r="L52" i="1"/>
  <c r="L54" i="1"/>
  <c r="J54" i="1"/>
  <c r="J52" i="1"/>
  <c r="O54" i="1"/>
  <c r="O52" i="1"/>
  <c r="P10" i="1"/>
  <c r="E10" i="2" s="1"/>
  <c r="P11" i="1"/>
  <c r="E11" i="2" s="1"/>
  <c r="P12" i="1"/>
  <c r="E12" i="2" s="1"/>
  <c r="P13" i="1"/>
  <c r="E13" i="2" s="1"/>
  <c r="P14" i="1"/>
  <c r="E14" i="2" s="1"/>
  <c r="P17" i="1"/>
  <c r="E17" i="2" s="1"/>
  <c r="P18" i="1"/>
  <c r="E18" i="2" s="1"/>
  <c r="P19" i="1"/>
  <c r="E19" i="2" s="1"/>
  <c r="P21" i="1"/>
  <c r="Q21" i="1" s="1"/>
  <c r="P24" i="1"/>
  <c r="E24" i="2" s="1"/>
  <c r="P25" i="1"/>
  <c r="E25" i="2" s="1"/>
  <c r="P26" i="1"/>
  <c r="E26" i="2" s="1"/>
  <c r="E27" i="2"/>
  <c r="P28" i="1"/>
  <c r="E28" i="2" s="1"/>
  <c r="P29" i="1"/>
  <c r="E29" i="2" s="1"/>
  <c r="P30" i="1"/>
  <c r="E30" i="2" s="1"/>
  <c r="P32" i="1"/>
  <c r="P38" i="1"/>
  <c r="E38" i="2" s="1"/>
  <c r="P39" i="1"/>
  <c r="E39" i="2" s="1"/>
  <c r="P40" i="1"/>
  <c r="E40" i="2" s="1"/>
  <c r="P41" i="1"/>
  <c r="E41" i="2" s="1"/>
  <c r="P42" i="1"/>
  <c r="E42" i="2" s="1"/>
  <c r="P43" i="1"/>
  <c r="E43" i="2" s="1"/>
  <c r="P45" i="1"/>
  <c r="P47" i="1"/>
  <c r="P50" i="1"/>
  <c r="E66" i="2" s="1"/>
  <c r="E65" i="2" s="1"/>
  <c r="E56" i="2" s="1"/>
  <c r="E21" i="2" l="1"/>
  <c r="P46" i="1"/>
  <c r="E47" i="2"/>
  <c r="E46" i="2" s="1"/>
  <c r="P31" i="1"/>
  <c r="E32" i="2"/>
  <c r="E31" i="2" s="1"/>
  <c r="P44" i="1"/>
  <c r="E45" i="2"/>
  <c r="E44" i="2" s="1"/>
  <c r="P54" i="1"/>
  <c r="D5" i="8"/>
  <c r="E37" i="2"/>
  <c r="E9" i="2"/>
  <c r="P49" i="1"/>
  <c r="P48" i="1" s="1"/>
  <c r="P9" i="1"/>
  <c r="P8" i="1" s="1"/>
  <c r="P37" i="1"/>
  <c r="P16" i="1"/>
  <c r="E70" i="2" l="1"/>
  <c r="E16" i="2"/>
  <c r="E15" i="2" s="1"/>
  <c r="D7" i="4" s="1"/>
  <c r="F56" i="2"/>
  <c r="D12" i="4" s="1"/>
  <c r="P15" i="1"/>
  <c r="P36" i="1"/>
  <c r="E8" i="2"/>
  <c r="E36" i="2"/>
  <c r="D9" i="4" s="1"/>
  <c r="E48" i="2" l="1"/>
  <c r="E69" i="2"/>
  <c r="E68" i="2"/>
  <c r="C35" i="5" s="1"/>
  <c r="C36" i="5" s="1"/>
  <c r="P52" i="1"/>
  <c r="D6" i="4"/>
  <c r="D14" i="4" s="1"/>
  <c r="C8" i="3" l="1"/>
  <c r="C20" i="3" s="1"/>
  <c r="D3" i="8"/>
  <c r="D6" i="8" s="1"/>
  <c r="F48" i="2"/>
  <c r="F69" i="2" l="1"/>
  <c r="F70" i="2" s="1"/>
  <c r="F68" i="2"/>
  <c r="C34" i="6" l="1"/>
  <c r="G6" i="4" l="1"/>
  <c r="G14" i="4" s="1"/>
  <c r="G17" i="4" s="1"/>
  <c r="D9" i="9"/>
  <c r="D14" i="9" s="1"/>
  <c r="D15" i="9" s="1"/>
  <c r="D9" i="8"/>
  <c r="D14" i="8" s="1"/>
  <c r="E8" i="3" l="1"/>
  <c r="F8" i="3" s="1"/>
  <c r="D15" i="8"/>
  <c r="E12" i="3"/>
  <c r="F12" i="3" s="1"/>
  <c r="F39" i="28" l="1"/>
  <c r="F20" i="28"/>
  <c r="F38" i="28" s="1"/>
  <c r="D3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L3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50% DEL FODES 25% SEGÚN REQUERIDO POR EL SAFIM Y LA LEY DEL FODES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dato tomado del Presupuesto de Ingresos con Fondos Propios año 2016 (UATM)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dato tomado del Presupuesto de Ingresos con Fondos Propios año 2016 (UATM)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PRESUPUESTO</author>
  </authors>
  <commentList>
    <comment ref="C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Incluye descuento por préstamo</t>
        </r>
      </text>
    </comment>
    <comment ref="D11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TOTAL $314,091.94</t>
        </r>
      </text>
    </comment>
    <comment ref="D12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TOTAL $185,000.00</t>
        </r>
      </text>
    </comment>
    <comment ref="D1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TOTAL $115,672.33</t>
        </r>
      </text>
    </comment>
    <comment ref="D14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TOTAL $76,865.00</t>
        </r>
      </text>
    </comment>
    <comment ref="D15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TOTAL $61,400.00</t>
        </r>
      </text>
    </comment>
    <comment ref="D16" authorId="1" shapeId="0" xr:uid="{00000000-0006-0000-0900-000007000000}">
      <text>
        <r>
          <rPr>
            <b/>
            <sz val="9"/>
            <color indexed="81"/>
            <rFont val="Tahoma"/>
            <family val="2"/>
          </rPr>
          <t>PRESUPUESTO:</t>
        </r>
        <r>
          <rPr>
            <sz val="9"/>
            <color indexed="81"/>
            <rFont val="Tahoma"/>
            <family val="2"/>
          </rPr>
          <t xml:space="preserve">
MONTO TOTAL $30,000.00</t>
        </r>
      </text>
    </comment>
    <comment ref="D17" authorId="1" shapeId="0" xr:uid="{00000000-0006-0000-0900-000008000000}">
      <text>
        <r>
          <rPr>
            <b/>
            <sz val="9"/>
            <color indexed="81"/>
            <rFont val="Tahoma"/>
            <family val="2"/>
          </rPr>
          <t>PRESUPUESTO:</t>
        </r>
        <r>
          <rPr>
            <sz val="9"/>
            <color indexed="81"/>
            <rFont val="Tahoma"/>
            <family val="2"/>
          </rPr>
          <t xml:space="preserve">
MONTO TOTAL $85,680.00</t>
        </r>
      </text>
    </comment>
    <comment ref="D18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TOTAL $56,400.00</t>
        </r>
      </text>
    </comment>
    <comment ref="D19" authorId="1" shapeId="0" xr:uid="{00000000-0006-0000-0900-00000A000000}">
      <text>
        <r>
          <rPr>
            <b/>
            <sz val="9"/>
            <color indexed="81"/>
            <rFont val="Tahoma"/>
            <charset val="1"/>
          </rPr>
          <t>PRESUPUESTO:</t>
        </r>
        <r>
          <rPr>
            <sz val="9"/>
            <color indexed="81"/>
            <rFont val="Tahoma"/>
            <charset val="1"/>
          </rPr>
          <t xml:space="preserve">
MONTO TOTAL $24,111.00</t>
        </r>
      </text>
    </comment>
    <comment ref="D20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TOTAL $96,810.00</t>
        </r>
      </text>
    </comment>
    <comment ref="D21" authorId="1" shapeId="0" xr:uid="{00000000-0006-0000-0900-00000C000000}">
      <text>
        <r>
          <rPr>
            <b/>
            <sz val="9"/>
            <color indexed="81"/>
            <rFont val="Tahoma"/>
            <charset val="1"/>
          </rPr>
          <t>PRESUPUESTO:</t>
        </r>
        <r>
          <rPr>
            <sz val="9"/>
            <color indexed="81"/>
            <rFont val="Tahoma"/>
            <charset val="1"/>
          </rPr>
          <t xml:space="preserve">
MONTO TOTAL $60,000.00</t>
        </r>
      </text>
    </comment>
    <comment ref="D22" authorId="1" shapeId="0" xr:uid="{00000000-0006-0000-0900-00000D000000}">
      <text>
        <r>
          <rPr>
            <b/>
            <sz val="9"/>
            <color indexed="81"/>
            <rFont val="Tahoma"/>
            <charset val="1"/>
          </rPr>
          <t>PRESUPUESTO:</t>
        </r>
        <r>
          <rPr>
            <sz val="9"/>
            <color indexed="81"/>
            <rFont val="Tahoma"/>
            <charset val="1"/>
          </rPr>
          <t xml:space="preserve">
MONTO TOTAL $10,000.00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6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Incluye descuento por préstamo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F13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presupuestado por $200.00 poe cada sesion</t>
        </r>
      </text>
    </comment>
  </commentList>
</comments>
</file>

<file path=xl/sharedStrings.xml><?xml version="1.0" encoding="utf-8"?>
<sst xmlns="http://schemas.openxmlformats.org/spreadsheetml/2006/main" count="2051" uniqueCount="448">
  <si>
    <t>Total</t>
  </si>
  <si>
    <t>Cuentas por cobrar de años anteriores</t>
  </si>
  <si>
    <t>CUENTAS POR COBRAR DE AÑOS ANTERIORES</t>
  </si>
  <si>
    <t>SALDO DE AÑOS ANTERIORES</t>
  </si>
  <si>
    <t>Ingresos Diversos</t>
  </si>
  <si>
    <t>Otros Ingresos no Clasificados</t>
  </si>
  <si>
    <t>Arrendamiento de Bienes Inmuebles</t>
  </si>
  <si>
    <t>Arrendamiento de Bienes</t>
  </si>
  <si>
    <t>Otras Multas Municipales</t>
  </si>
  <si>
    <t>Multas al comercio</t>
  </si>
  <si>
    <t>Multa por Registro Civil</t>
  </si>
  <si>
    <t>Multa por Declaracion Extemporanea</t>
  </si>
  <si>
    <t>Intereses por Mora Impuestos</t>
  </si>
  <si>
    <t>Multa por Mora de Impuestos</t>
  </si>
  <si>
    <t>Multas e Intereses por Mora</t>
  </si>
  <si>
    <t>Ingresos Financieros y Otros</t>
  </si>
  <si>
    <t>Permisos y Licencias Municipales</t>
  </si>
  <si>
    <t>Derechos</t>
  </si>
  <si>
    <t>Rastro y Tiangue</t>
  </si>
  <si>
    <t>Postes Torres y Antenas</t>
  </si>
  <si>
    <t>Pavimentación</t>
  </si>
  <si>
    <t>Fiestas</t>
  </si>
  <si>
    <t>Desechos</t>
  </si>
  <si>
    <t>Cementerios Municipales</t>
  </si>
  <si>
    <t>Casetas Telefonicas</t>
  </si>
  <si>
    <t>Aseo Público</t>
  </si>
  <si>
    <t>Alumbrado Público</t>
  </si>
  <si>
    <t>Por Acceso a Lugares Publicos</t>
  </si>
  <si>
    <t>Expedición Docum. de Identificación</t>
  </si>
  <si>
    <t>Servicios de Certificación</t>
  </si>
  <si>
    <t>Tasas</t>
  </si>
  <si>
    <t>Tasas y Derechos</t>
  </si>
  <si>
    <t>Vialidad</t>
  </si>
  <si>
    <t>Hoteles, Moteles y Similares</t>
  </si>
  <si>
    <t>Servicios</t>
  </si>
  <si>
    <t>Industria</t>
  </si>
  <si>
    <t>Comercio</t>
  </si>
  <si>
    <t xml:space="preserve">Impuestos Municipales </t>
  </si>
  <si>
    <t>Impuestos</t>
  </si>
  <si>
    <t>Dic.</t>
  </si>
  <si>
    <t>Nov.</t>
  </si>
  <si>
    <t>Octubre</t>
  </si>
  <si>
    <t>Sept.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</si>
  <si>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</si>
  <si>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</si>
  <si>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</si>
  <si>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</si>
  <si>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</si>
  <si>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</si>
  <si>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</si>
  <si>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</si>
  <si>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CUENTA PRESUPUESTARIA</t>
  </si>
  <si>
    <t xml:space="preserve">CODIGO </t>
  </si>
  <si>
    <t>En Dolares de los Estados Unidos de América</t>
  </si>
  <si>
    <t>Fuente de Financiamiento: FF2 - Fondos Propios</t>
  </si>
  <si>
    <t>ALCALDIA MUNCIPAL DE PANCHIMALCO, DEPARTAMENTO DE SAN SALVADOR</t>
  </si>
  <si>
    <t>BARRIDO DE CALLES</t>
  </si>
  <si>
    <t>CHAPODA</t>
  </si>
  <si>
    <t>Ingresos por Prestación de Servicios Públicos</t>
  </si>
  <si>
    <t>Servicios Básicos</t>
  </si>
  <si>
    <t>VENTA DE BIENES Y SERVICIOS</t>
  </si>
  <si>
    <t>TOTAL RUBROS</t>
  </si>
  <si>
    <t>TOTAL CUENTAS</t>
  </si>
  <si>
    <t>TOTAL OBJETOS ESPECIFICOS</t>
  </si>
  <si>
    <t>ALCALDIA MUNICIPAL DE PANCHIMALCO</t>
  </si>
  <si>
    <t>PRESUPUESTO INSTITUCIONAL DE INGRESOS</t>
  </si>
  <si>
    <t>EN DOLARES DE LOS ESTADOS UNIDOS DE AMERICA</t>
  </si>
  <si>
    <t>RUBRO CUENTA OBJ. ESP</t>
  </si>
  <si>
    <t>ESPECIFICO</t>
  </si>
  <si>
    <t>FONDO COMUN FF 2</t>
  </si>
  <si>
    <t>TOTAL</t>
  </si>
  <si>
    <t>IMPUESTOS</t>
  </si>
  <si>
    <t>IMPUESTOS MUNICIPALES</t>
  </si>
  <si>
    <t>COMERCIO</t>
  </si>
  <si>
    <t>INDUSTRIA</t>
  </si>
  <si>
    <t>SERVICIOS</t>
  </si>
  <si>
    <t>HOTELES, MOTELES Y SIMILARES</t>
  </si>
  <si>
    <t>VIALIDAD</t>
  </si>
  <si>
    <t>TASAS Y DERECHOS</t>
  </si>
  <si>
    <t>TASAS DE SERVICIOS PUBLICOS</t>
  </si>
  <si>
    <t>SERVICIOS DE CERTIFICACION</t>
  </si>
  <si>
    <t>EXPEDICION DE DOCUMENTOS DE IDENTIFICACION</t>
  </si>
  <si>
    <t>POR ACCESO A LUGARES PUBLICOS</t>
  </si>
  <si>
    <t>ALUMBRADO PUBLICO</t>
  </si>
  <si>
    <t>ASEO PUBLICO</t>
  </si>
  <si>
    <t>CASETAS TELEFONICAS</t>
  </si>
  <si>
    <t>CEMENTERIOS MUNICIPALES</t>
  </si>
  <si>
    <t>DESECHOS</t>
  </si>
  <si>
    <t>FIESTAS</t>
  </si>
  <si>
    <t>PAVIMENTACION</t>
  </si>
  <si>
    <t>POSTES, TORRES Y ANTENAS</t>
  </si>
  <si>
    <t>DERECHOS</t>
  </si>
  <si>
    <t>PERMISOS Y LICENCIAS MUNICIPALES</t>
  </si>
  <si>
    <t>INGRESOS FINANCIEROS Y OTROS</t>
  </si>
  <si>
    <t>MULTAS E INTERESES POR MORA</t>
  </si>
  <si>
    <t>MULTA POR MORA DE IMPUESTO</t>
  </si>
  <si>
    <t>INTERESES POR MORA DE IMPUESTOS</t>
  </si>
  <si>
    <t>MULTA POR DECLARACION EXTEMPORANEA</t>
  </si>
  <si>
    <t>MULTA POR REGISTRO CIVIL</t>
  </si>
  <si>
    <t>MULTAS AL COMERCIO</t>
  </si>
  <si>
    <t>OTRAS MULTAS MUNICIPALES</t>
  </si>
  <si>
    <t>ARRENDAMIENTO DE BIENES</t>
  </si>
  <si>
    <t>ARRENDAMIENTOS DE BIENES INMUEBLES</t>
  </si>
  <si>
    <t>OTROS INGRESOS NO CLASIFICADOS</t>
  </si>
  <si>
    <t>INGRESOS DIVERSOS</t>
  </si>
  <si>
    <t>SUB TOTAL DE INGRESOS</t>
  </si>
  <si>
    <t>TRANSFERENCIAS CORRIENTES</t>
  </si>
  <si>
    <t xml:space="preserve">TRANSFERENCIAS CORRIENTES DEL SECTOR PUBLICO </t>
  </si>
  <si>
    <t>TRANSFERENCIAS CORRIENTES DEL SECTOR PUBLICO 25%</t>
  </si>
  <si>
    <t>TRANSFERENCIAS DE CAPITAL</t>
  </si>
  <si>
    <t>TRANSFERENCIAS DE CAPITAL DEL SECTOR PUBLICO</t>
  </si>
  <si>
    <t>SALDO INICIALES CAJA Y BANCOS</t>
  </si>
  <si>
    <t>SALDOS INICIALES EN CAJA</t>
  </si>
  <si>
    <t>SALDO INICIAL EN BANCOS Y CUENTAS DE AHORRO CORRIENTES FONDOS PROPIOS</t>
  </si>
  <si>
    <t>SALDO INICIAL EN BANCOS 5%</t>
  </si>
  <si>
    <t>SALDO INICIAL EN BANCOS 25%</t>
  </si>
  <si>
    <t>SALDO INICIAL EN BANCOS 75%</t>
  </si>
  <si>
    <t>SALDOS INICIALES FONDOS FISDL-PFGL</t>
  </si>
  <si>
    <t>SUB TOTAL TRANSF + SALDOS INICIALES EN CAJA Y BANCOS</t>
  </si>
  <si>
    <t>TOTAL GENERAL DE INGRESOS</t>
  </si>
  <si>
    <t>DIFERENCIA</t>
  </si>
  <si>
    <t>FONDOS PROPIOS</t>
  </si>
  <si>
    <t xml:space="preserve">           FONDOS PROPIOS</t>
  </si>
  <si>
    <t xml:space="preserve">FONDOS FODES 25% </t>
  </si>
  <si>
    <t>PROYECTADOS FODES 25%</t>
  </si>
  <si>
    <t>FONDO FODES 75%</t>
  </si>
  <si>
    <t>PROYECTADOS FODES 75%</t>
  </si>
  <si>
    <t>EXPRESADO EN DOLARES DE LOS ESTADOS UNIDOS DE AMERICA</t>
  </si>
  <si>
    <t>INGRESOS</t>
  </si>
  <si>
    <t>EGRESOS</t>
  </si>
  <si>
    <t>REMUNERACIONES</t>
  </si>
  <si>
    <t>ADQUISICION DE BIENES Y SERVICIOS</t>
  </si>
  <si>
    <t>GASTOS FINANCIEROS Y OTROS</t>
  </si>
  <si>
    <t>INVERSIONES EN ACTIVO FIJO</t>
  </si>
  <si>
    <t>TOTAL INGRESOS</t>
  </si>
  <si>
    <t>TOTAL EGRESOS</t>
  </si>
  <si>
    <t>COD.</t>
  </si>
  <si>
    <t>UNIDADES</t>
  </si>
  <si>
    <t>FODES 25%</t>
  </si>
  <si>
    <t>CONCEJO</t>
  </si>
  <si>
    <t>DESPACHO</t>
  </si>
  <si>
    <t>SINDICATURA</t>
  </si>
  <si>
    <t>SECRETARÍA</t>
  </si>
  <si>
    <t>JURIDICO</t>
  </si>
  <si>
    <t>GERENCIA</t>
  </si>
  <si>
    <t>AUDITORIA</t>
  </si>
  <si>
    <t>RECURSOS HUMANOS</t>
  </si>
  <si>
    <t>CONTABILIDAD</t>
  </si>
  <si>
    <t>PRESUPUESTO</t>
  </si>
  <si>
    <t>TESORERIA</t>
  </si>
  <si>
    <t>UATM</t>
  </si>
  <si>
    <t>UACI</t>
  </si>
  <si>
    <t>MERCADO Y PARQUE</t>
  </si>
  <si>
    <t>REGISTRO</t>
  </si>
  <si>
    <t>CEMENTERIO</t>
  </si>
  <si>
    <t>DISTRITO 1</t>
  </si>
  <si>
    <t>PROYECTOS</t>
  </si>
  <si>
    <t>ACCESO A LA INFORM.</t>
  </si>
  <si>
    <t>DESARROLLO TECNOL.</t>
  </si>
  <si>
    <t>COMUNICACIONES</t>
  </si>
  <si>
    <t>CAM</t>
  </si>
  <si>
    <t>DHI</t>
  </si>
  <si>
    <t>SERVICIOS GENERALES</t>
  </si>
  <si>
    <t>MEDIO AMBIENTE</t>
  </si>
  <si>
    <t>GESTION DE RIESGOS</t>
  </si>
  <si>
    <t>UDEL</t>
  </si>
  <si>
    <t>PROMOCIÓN SOCIAL</t>
  </si>
  <si>
    <t>GESTIÓN COOPERACCIÓN</t>
  </si>
  <si>
    <t>TOTALES</t>
  </si>
  <si>
    <t>MENOS: INGRESOS</t>
  </si>
  <si>
    <t>SALARIOS FONDO FODES 25%</t>
  </si>
  <si>
    <t>NOMBRE</t>
  </si>
  <si>
    <t>MONTO</t>
  </si>
  <si>
    <t>SINDICO</t>
  </si>
  <si>
    <t>SECRETARIA</t>
  </si>
  <si>
    <t>GERENTE</t>
  </si>
  <si>
    <t>R.R.H.H.</t>
  </si>
  <si>
    <t>MERCADO</t>
  </si>
  <si>
    <t>REF</t>
  </si>
  <si>
    <t>DISTRITO</t>
  </si>
  <si>
    <t>UAIP</t>
  </si>
  <si>
    <t>INFORMATICA</t>
  </si>
  <si>
    <t>SERVICIOS GRALES</t>
  </si>
  <si>
    <t>G. RIESGOS</t>
  </si>
  <si>
    <t>PROMO</t>
  </si>
  <si>
    <t>GESTION Y COOPERACION</t>
  </si>
  <si>
    <t>54 ADQUISICION DE BIENES Y SERVICIOS FONDOS PROPIOS</t>
  </si>
  <si>
    <t>54 ADQUISICION DE BIENES Y SERVICIOS FODES 25%</t>
  </si>
  <si>
    <t>UNIDAD</t>
  </si>
  <si>
    <t>MERCADO Y POLIDEPORTIVO</t>
  </si>
  <si>
    <t>REGISTRO FAMILIAR</t>
  </si>
  <si>
    <t>RASTRO Y CEMENTERIO</t>
  </si>
  <si>
    <t>ACCESO A LA INFORMACION</t>
  </si>
  <si>
    <t>DESARROLLO TECNOLOGICO</t>
  </si>
  <si>
    <t>PROMOCION SOCIAL</t>
  </si>
  <si>
    <t>55  GASTOS FINANCIEROS Y OTROS</t>
  </si>
  <si>
    <t>55 GASTOS FINANCIEROS Y OTROS</t>
  </si>
  <si>
    <t>56 TRANSFERENCIAS CORRIENTES</t>
  </si>
  <si>
    <t>61 INVERSIONES EN ACTIVO FIJO FONDOS PROPIOS</t>
  </si>
  <si>
    <t>61 INVERSIONES EN ACTIVO FIJO FODES 25%</t>
  </si>
  <si>
    <t>FONDOS PROPIOS 2019</t>
  </si>
  <si>
    <t>FODES 25% 2019</t>
  </si>
  <si>
    <t>Saldos Iniciales Fondos Propios</t>
  </si>
  <si>
    <t>Disponible</t>
  </si>
  <si>
    <t>N°</t>
  </si>
  <si>
    <t>DESCRIPCION</t>
  </si>
  <si>
    <t>VALOR</t>
  </si>
  <si>
    <t>GASTOS POR REMUNERACIONES (51)</t>
  </si>
  <si>
    <t>GASTOS DE FUNCIONAMIENTO (54)</t>
  </si>
  <si>
    <t>GASTOS FINANCIEROS Y OTROS (55)</t>
  </si>
  <si>
    <t>TRANSFERENCIAS CORRIENTES (56 )</t>
  </si>
  <si>
    <t>INVERSIONES EN ACTIVO FIJO (61)</t>
  </si>
  <si>
    <t>TOTAL DE GASTOS A FINANCIAR CON FONDOS PROPIOS</t>
  </si>
  <si>
    <t>Ingresos Proyectados Fondos Fodes 25%</t>
  </si>
  <si>
    <t>Saldos Iniciales Fodes 25%</t>
  </si>
  <si>
    <t>ADQUISICION DE BIENES Y SERVICIOS (54)</t>
  </si>
  <si>
    <t>TRANSFERENCIAS CORRIENTES (56)</t>
  </si>
  <si>
    <t>TOTAL GASTOS A FINANCIAR CON FODES 25%</t>
  </si>
  <si>
    <t>Ingresos Proyectados FODES 75%</t>
  </si>
  <si>
    <t>Saldos iniciales Fodes 75%</t>
  </si>
  <si>
    <t>PROYECTO</t>
  </si>
  <si>
    <t>SALDO</t>
  </si>
  <si>
    <t>FODES 75%</t>
  </si>
  <si>
    <t>Presupuesto de Egresos Por Expresión Presupuestaria Y Fuente de Financiamiento.</t>
  </si>
  <si>
    <t>Area de Gestión                       1 CONDUCCION ADMINISTRATIVA</t>
  </si>
  <si>
    <t>Unidad Presupuestaria           01 DIRECCION Y ADMINISTRACION SUPERIOR</t>
  </si>
  <si>
    <t xml:space="preserve">Linea de Trabajo (Exp. Pres.) </t>
  </si>
  <si>
    <t>CONCEJO MUNICIPAL</t>
  </si>
  <si>
    <t>RUBRO</t>
  </si>
  <si>
    <t>CONCEPTOS</t>
  </si>
  <si>
    <t xml:space="preserve">F. F. 2           </t>
  </si>
  <si>
    <t>F. F. 1</t>
  </si>
  <si>
    <t>Fondos Prop.</t>
  </si>
  <si>
    <t>Fondos Gral. 25%</t>
  </si>
  <si>
    <t>REMUNERACIONES PERMANENTES</t>
  </si>
  <si>
    <t>Sueldos</t>
  </si>
  <si>
    <t>Aguinaldos</t>
  </si>
  <si>
    <t>Dietas</t>
  </si>
  <si>
    <t>Beneficios Adicionales</t>
  </si>
  <si>
    <t>Contrib. Patron. Inst. Segurid. Soc. Públicas</t>
  </si>
  <si>
    <t>Por Remuneraciones Permanentes</t>
  </si>
  <si>
    <t>Contrib. Patron. Inst. Segurid. Soc. Privadas</t>
  </si>
  <si>
    <t>INDEMNIZACIONES</t>
  </si>
  <si>
    <t>Al Personal de Servicios Permanentes</t>
  </si>
  <si>
    <t xml:space="preserve">ADQUISICIONES DE BIENES Y SERVICIOS   </t>
  </si>
  <si>
    <t xml:space="preserve">BIENES DE USO Y CONSUMO  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</si>
  <si>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</si>
  <si>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</si>
  <si>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</si>
  <si>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</si>
  <si>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</si>
  <si>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Minerales no Metalicos y Productos Derivados</t>
  </si>
  <si>
    <t>Minerales, Metalicos y Productos Derivados</t>
  </si>
  <si>
    <t>Materiales de Oficina</t>
  </si>
  <si>
    <t>Materiales Informaticos</t>
  </si>
  <si>
    <t>Materiales Electricos</t>
  </si>
  <si>
    <t>Bienes de Uso y Consumo Diversos</t>
  </si>
  <si>
    <t>SERVICIOS GENERALES Y ARRENDAMIENTOS</t>
  </si>
  <si>
    <t>Mtto. Y Rep. De Bienes Muebles</t>
  </si>
  <si>
    <t>Mtto. Y Rep. De Bienes Inmuebles</t>
  </si>
  <si>
    <t>Transp. Fletes y Almacenamientos</t>
  </si>
  <si>
    <t>Impresiones, Publicaciones y Reproducciones</t>
  </si>
  <si>
    <t>Atenciones Oficiales</t>
  </si>
  <si>
    <t>Servicios Generales y Arrendamientos Diversos</t>
  </si>
  <si>
    <t>PASAJES Y VIATICOS</t>
  </si>
  <si>
    <t>Pasajes al Interior</t>
  </si>
  <si>
    <t>Pasajes al Exterior</t>
  </si>
  <si>
    <t>Viaticos por Comision Externa</t>
  </si>
  <si>
    <t>CONSULTORIA, ESTUDIOS E INVESTIGACIONES</t>
  </si>
  <si>
    <t>Servicios Jurídicos</t>
  </si>
  <si>
    <t>Consultorias, Estudios e Investigaciones Diversas</t>
  </si>
  <si>
    <t>SEGUROS, COMISIONES Y GASTOS BANCARIOS</t>
  </si>
  <si>
    <t>Primas y Gastos de Seguros de Personas</t>
  </si>
  <si>
    <t>Primas y Gastos de Seguros de Bienes</t>
  </si>
  <si>
    <t>TRANSFERENCIAS CORRIENTES AL SECTOR PUBLICO</t>
  </si>
  <si>
    <t>COMURES</t>
  </si>
  <si>
    <t>AMUSDELI</t>
  </si>
  <si>
    <t>ENEPASA</t>
  </si>
  <si>
    <t>TRANSFERENCIAS CORRIENTES AL SECTOR PRIVADO</t>
  </si>
  <si>
    <t>A Personas Naturales</t>
  </si>
  <si>
    <t>INVERSIONES EN ACTIVOS FIJOS</t>
  </si>
  <si>
    <t>BIENES MUEBLES</t>
  </si>
  <si>
    <t>Mobiliario</t>
  </si>
  <si>
    <t>ALCALDIA MUNICIPAL  DE  PANCHIMALCO AÑO 2019</t>
  </si>
  <si>
    <t>Unidad Presupuestaria           02 SERVICIOS MUNICIPALES</t>
  </si>
  <si>
    <t>SERVICIOS EXTERNOS</t>
  </si>
  <si>
    <t xml:space="preserve">ADQUISIONES DE BIENES Y SERVICIOS   </t>
  </si>
  <si>
    <t>BIENES DE USO Y CONSUMO</t>
  </si>
  <si>
    <t>DESPACHO MUNICIPAL</t>
  </si>
  <si>
    <t xml:space="preserve">                      </t>
  </si>
  <si>
    <t>GASTOS DE REPRESENTACION</t>
  </si>
  <si>
    <t>Por Prestacion de Servicios en el Pais</t>
  </si>
  <si>
    <t>Productos Alimenticios Para Personas</t>
  </si>
  <si>
    <t>Productos quimicos</t>
  </si>
  <si>
    <t>Llantas y Neumaticos</t>
  </si>
  <si>
    <t>Herramientas, Repuestos y Accesorios</t>
  </si>
  <si>
    <t>mantenimiento y reparacion de vehiculos</t>
  </si>
  <si>
    <t>Transportes, Fletes y Almacenamientos</t>
  </si>
  <si>
    <t>Arrendamiento de bienes muebles</t>
  </si>
  <si>
    <t>Viaticos Por Comision Externa</t>
  </si>
  <si>
    <t>Servicios Juridicos</t>
  </si>
  <si>
    <t>Obras de Arte y Culturales</t>
  </si>
  <si>
    <t>SINDICATURA MUNICIPAL</t>
  </si>
  <si>
    <t>SECRETARIA MUNICIPAL</t>
  </si>
  <si>
    <t>Mobiliarios</t>
  </si>
  <si>
    <t>DEPARTAMENTO JURIDICO</t>
  </si>
  <si>
    <t>CONSULTORIAS, ESTUDIOS E INVESTIGACIONES</t>
  </si>
  <si>
    <t>GERENCIA GENERAL</t>
  </si>
  <si>
    <t>Libros, Textos y Utiles de Enseñanza</t>
  </si>
  <si>
    <t>Materiales Eléctricos</t>
  </si>
  <si>
    <t>Bienes Muebles</t>
  </si>
  <si>
    <t>Area de Gestión                       1 Conducción Administrativa</t>
  </si>
  <si>
    <t xml:space="preserve">Unidad Presupuestaria           01 AdministraciónSuperior </t>
  </si>
  <si>
    <t>Linea de Trabajo (Exp. Pres.) 0_</t>
  </si>
  <si>
    <t>UNIDAD DE AUDITORIA INTERNA</t>
  </si>
  <si>
    <t>Impresiones, Public. Y Reproducciones</t>
  </si>
  <si>
    <t>Serviciones Grales y Arrendamiento Diversos</t>
  </si>
  <si>
    <t>Remuneraciones Eventuales</t>
  </si>
  <si>
    <t>Productos Quimicos</t>
  </si>
  <si>
    <t>Materiales Informáticos</t>
  </si>
  <si>
    <t>Equipos Informáticos</t>
  </si>
  <si>
    <t>Unidad Presupuestaria           02 ADMINISTRACION FINANCIERA TRIBUTARIA</t>
  </si>
  <si>
    <t>DEPARTAMENTO DE TESORERIA</t>
  </si>
  <si>
    <t>Herramientas, repuestos y accesorios</t>
  </si>
  <si>
    <t>Especies Municipales Diversas</t>
  </si>
  <si>
    <t>Comisiones y Gastos Bancarios</t>
  </si>
  <si>
    <t xml:space="preserve"> PRESUPUESTO</t>
  </si>
  <si>
    <t xml:space="preserve"> CONTABILIDAD</t>
  </si>
  <si>
    <t xml:space="preserve">BIENES DE USO Y CONSUMO   </t>
  </si>
  <si>
    <t>Mantenimiento Y Reparacion de  Bienes Muebles</t>
  </si>
  <si>
    <t xml:space="preserve">BIENES MUEBLES    </t>
  </si>
  <si>
    <t>Equipo Informático</t>
  </si>
  <si>
    <t>ADMINISTRACION MERCADO Y POLIDEPORTIVO</t>
  </si>
  <si>
    <t>Combustibles y Lubricantes</t>
  </si>
  <si>
    <t>Minerales No Metalicos y Productos Derivados</t>
  </si>
  <si>
    <t>SERVICIOS INTERNOS</t>
  </si>
  <si>
    <t>Productos Químicos</t>
  </si>
  <si>
    <t>SERVICIOS BASICOS</t>
  </si>
  <si>
    <t>Equipos Informaticos</t>
  </si>
  <si>
    <t>ADMINISTRACION CEMENTERIO Y RASTRO</t>
  </si>
  <si>
    <t>Minerales Metalicos y Productos Derivados</t>
  </si>
  <si>
    <t>DISTRITO 1 LOS PLANES</t>
  </si>
  <si>
    <t>Minerales  Metalicos y Productos Derivados</t>
  </si>
  <si>
    <t>Servicios de Energia Electrica</t>
  </si>
  <si>
    <t>Servicios de Agua</t>
  </si>
  <si>
    <t>Servicios de Telecomunicaciones</t>
  </si>
  <si>
    <t>Mantenimiento y Reparacion de Bienes Inmuebles</t>
  </si>
  <si>
    <t>Arrendamiento de Bienes Muebles</t>
  </si>
  <si>
    <t>PLANIFICACION Y PROYECTOS</t>
  </si>
  <si>
    <t>Mantenimiento y Reparaciones de Vehiculos</t>
  </si>
  <si>
    <t xml:space="preserve"> INVERSIONES EN ACTIVOS FIJOS</t>
  </si>
  <si>
    <t>Equipos informaticos</t>
  </si>
  <si>
    <t xml:space="preserve">BIENES MUEBLES   </t>
  </si>
  <si>
    <t>Derechos de Propiedad Intelectual</t>
  </si>
  <si>
    <t>Combustibles Y Lubricantes</t>
  </si>
  <si>
    <t>DESARROLLO HUMANO INTEGRAL</t>
  </si>
  <si>
    <t>Herramientas repuestos y accesorios</t>
  </si>
  <si>
    <t>Mantenimiento y Reparacion de Bienes Muebles</t>
  </si>
  <si>
    <t>Transportes Fletes y Almacenamiento</t>
  </si>
  <si>
    <t>Alumbrado Publico</t>
  </si>
  <si>
    <t>Mantenimiento y Reparaciones de Bienes Inmuebles</t>
  </si>
  <si>
    <t>Transportes, fletes y almacenamientos</t>
  </si>
  <si>
    <t>MEDIO AMBIENTE Y GESTION DE RIESGOS</t>
  </si>
  <si>
    <t>Productos Alimenticios para animales</t>
  </si>
  <si>
    <t>Bienes de Uso Y Consumo Diversos</t>
  </si>
  <si>
    <t>Mtto y Reparaciones de Vehiculos</t>
  </si>
  <si>
    <t>Servicios de Capacitacion</t>
  </si>
  <si>
    <t xml:space="preserve">REMUNERACIONES PERMANENTES </t>
  </si>
  <si>
    <t>Fondos Gral. 75%</t>
  </si>
  <si>
    <t>Salario por jornal</t>
  </si>
  <si>
    <t>Minerales no Metálicos y Productos Derivados</t>
  </si>
  <si>
    <t>Minerales Metálicos y Productos Derivados</t>
  </si>
  <si>
    <t>Consultorías, Estudios e Investigaciones Diversas</t>
  </si>
  <si>
    <t>Seguros, Comisiones y Gastos Bancarios</t>
  </si>
  <si>
    <t>Infraestructuras</t>
  </si>
  <si>
    <t>Supervisión de Infraestructuras</t>
  </si>
  <si>
    <t>Obras de Infraestructura Diversas</t>
  </si>
  <si>
    <t xml:space="preserve">Productos Textiles </t>
  </si>
  <si>
    <t xml:space="preserve">Mantenimiento y Reparacion de Bienes Muebles </t>
  </si>
  <si>
    <t>Herramientas, Rep. Y Accesorios</t>
  </si>
  <si>
    <t>101-103</t>
  </si>
  <si>
    <t>401-501-601-701</t>
  </si>
  <si>
    <t xml:space="preserve">PRESUPUESTO </t>
  </si>
  <si>
    <t>Ingresos Proyectados Fondos Propios</t>
  </si>
  <si>
    <t>FISDL</t>
  </si>
  <si>
    <t>Ingresos Proyectados FISDL</t>
  </si>
  <si>
    <t>Saldos iniciales FISDL</t>
  </si>
  <si>
    <t>SALDO INICIAL EN BANCO DE DONACIONES</t>
  </si>
  <si>
    <t>Ingresos Proyectados Donaciones</t>
  </si>
  <si>
    <t>Saldos iniciales en Banco Donaciones</t>
  </si>
  <si>
    <t xml:space="preserve"> </t>
  </si>
  <si>
    <t>CONCEJO MUNICIPAL (FISDL)</t>
  </si>
  <si>
    <t>Donaciones</t>
  </si>
  <si>
    <t xml:space="preserve">Gasto </t>
  </si>
  <si>
    <t>Gasto</t>
  </si>
  <si>
    <t>Fondo Gral. 25%</t>
  </si>
  <si>
    <t>Maquinarias y Equipos</t>
  </si>
  <si>
    <t>Barrido de calles</t>
  </si>
  <si>
    <t>Chapoda</t>
  </si>
  <si>
    <t>Comisiones y Descuentos sobre Ventas</t>
  </si>
  <si>
    <t>Otros Gastos no Clasificados</t>
  </si>
  <si>
    <t xml:space="preserve"> PROPIOS</t>
  </si>
  <si>
    <t>CONCEJO MUNICIPAL DONACION</t>
  </si>
  <si>
    <t>DONACIONES</t>
  </si>
  <si>
    <t>FONDO DE DONACIONES</t>
  </si>
  <si>
    <t>FONDO FISDL</t>
  </si>
  <si>
    <t>SALARIOS FONDO PROPIOS</t>
  </si>
  <si>
    <t>ALCALDIA MUNICIPAL  DE  PANCHIMALCO AÑO 2020</t>
  </si>
  <si>
    <t>Presupuesto de Ingresos por Areas de Gestión - Ejercicio 2020</t>
  </si>
  <si>
    <t>EJERCICIO FINANCIERO FISCAL 2020</t>
  </si>
  <si>
    <t>GASTOS PROGRAMADOS 2020</t>
  </si>
  <si>
    <t>EJERCICIO FISCAL AÑO 2020</t>
  </si>
  <si>
    <t>FODES 75 %  EJERCICIO FISCAL 2020</t>
  </si>
  <si>
    <t>FISDL  EJERCICIO FISCAL 2020</t>
  </si>
  <si>
    <t>DONACIONES  EJERCICIO FISCAL 2020</t>
  </si>
  <si>
    <t>ALCALDIA MUNICIPAL  DE  PANCHIMALCO 2020</t>
  </si>
  <si>
    <t>mobiliarios</t>
  </si>
  <si>
    <t>equipos informaticos</t>
  </si>
  <si>
    <t>Servicios de Publicidad</t>
  </si>
  <si>
    <t>Cuotas pendientes de mes diciembre 2019</t>
  </si>
  <si>
    <t>Cuotas pendientes de cobro Diciembre 2019</t>
  </si>
  <si>
    <t>APOYO A LA CALIDAD EDUCATIVA DEL MUNICIPIO DE PANCHIMALCO, DE FEBRERO A NOVIEMBRE DEL  2020.</t>
  </si>
  <si>
    <t>FORTALECIMIENTO DE LAS OFICINA MUNICIPAL DE APOYO A PERSONAS CON DISCAPACIDAD OMADIS PANCHIMALCO</t>
  </si>
  <si>
    <t>RECOLECCION Y DISPOSICION DE DESECHOS SOLIDOS, COMBUSTIBLES Y MANTENIMIENTO DE CAMIONES RECOLECTORES DE DESECHOS SOLIDOS DEL MUNICIPIO DE PANCHIMALCO AÑO 2020</t>
  </si>
  <si>
    <t>LAS ARTES UN CAMINO PARA CONSTRUIR LA PAZ, AÑO 2020</t>
  </si>
  <si>
    <t>LIMPIEZA Y CHAPODA GENERAL DE LAS DIFERENTES CALLES Y CUNETAS DEL MUNICIPIO DE PANCHIMALCO, AÑO 2020</t>
  </si>
  <si>
    <t>MANTENIMIENTO PREVENTIVO Y CORRECTIVO DEL SERVICIO DE ALUMBRADO PUBLICO DE LA CIUDAD DE PANCHIMALCO, AÑO 2020</t>
  </si>
  <si>
    <t>FUNCIONAMIENTO OPTIMO DEL SISTEMA DE VIDEO VIGILANCIA Y COBERTURA DE SEGURIDAD EN ZONA PLANES DE RENDEROS Y CASCO URBANO DE PANCHIMALCO, AÑO 2020.</t>
  </si>
  <si>
    <t>APORTE ECONOMICO MUNICIPAL PARA OTORGAR BECAS A JOVENES ESTUDIANTES DE EDUCACION MEDIA Y SUPERIOR RESIDENTES EN EL MUNICIPIO DE PANCHIMALCO, AÑO 2020</t>
  </si>
  <si>
    <t>APORTE MUNICIPAL IMPULSANDO LA NIÑEZ, JUVENTUD, DEPORTE Y CULTURA, AÑO 2020.</t>
  </si>
  <si>
    <t>MANTENIMIENTO Y EQUIPAMIENTO DEL AREA DE MERCADO, POLIDEPORTIVO Y PARQUE ACUATICO, AÑO 2020.</t>
  </si>
  <si>
    <t>FONDO GENERAL FF1 25% , 75% y 2% FODES</t>
  </si>
  <si>
    <t>TRANSFERENCIAS DE CAPITAL DEL SECTOR PUBLICO 75%</t>
  </si>
  <si>
    <t>TRANSFERENCIAS DE CAPITAL DEL SECTOR PUBLICO 2%</t>
  </si>
  <si>
    <t>FONDO FODES 2%</t>
  </si>
  <si>
    <t>PROYECTADOS FODES 2%</t>
  </si>
  <si>
    <t>FODES 2 %  EJERCICIO FISCAL 2020</t>
  </si>
  <si>
    <t>Ingresos Proyectados FODES 2%</t>
  </si>
  <si>
    <t>Saldos iniciales Fodes 2%</t>
  </si>
  <si>
    <t>FODES 2%</t>
  </si>
  <si>
    <t>INGRESOS PROYECTADOS 2020</t>
  </si>
  <si>
    <t>GASTOS PROYECTADOS 2020</t>
  </si>
  <si>
    <t>PROYECTOS FINANCIADOS FODES 75% y 2% 2020 Y PROYECTOS DE AÑOS ANTERIORES</t>
  </si>
  <si>
    <t>PLAN MUNICIPAL DE  IGUALDAD DE GENERO AÑO 2020.</t>
  </si>
  <si>
    <t>APOYO A LA NIÑEZ JUVENTUD Y ADOLECENCIA ATRAVES DE LOS CENTROS DE DESARROLLOS Y APRENDISAJE (CDA) ALCALDIA DE PANCHIMALCO, AÑO 2020.</t>
  </si>
  <si>
    <t xml:space="preserve">Fondos Donaciones. </t>
  </si>
  <si>
    <t>Fondos Gral. 2%</t>
  </si>
  <si>
    <t>Fondos Gral. 75% MAS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</si>
</sst>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[$$-440A]* #,##0.00_);_([$$-440A]* \(#,##0.00\);_([$$-440A]* &quot;-&quot;??_);_(@_)"/>
    <numFmt numFmtId="166" formatCode="_([$$-409]* #,##0.00_);_([$$-409]* \(#,##0.00\);_([$$-409]* &quot;-&quot;??_);_(@_)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u val="singleAccounting"/>
      <sz val="14"/>
      <color theme="1"/>
      <name val="Arial"/>
      <family val="2"/>
    </font>
    <font>
      <b/>
      <u val="singleAccounting"/>
      <sz val="14"/>
      <name val="Arial"/>
      <family val="2"/>
    </font>
    <font>
      <sz val="11"/>
      <name val="Arial"/>
      <family val="2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12"/>
      <color indexed="8"/>
      <name val="Calibri Light"/>
      <family val="1"/>
      <scheme val="major"/>
    </font>
    <font>
      <sz val="12"/>
      <color indexed="8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color indexed="8"/>
      <name val="Calibri Light"/>
      <family val="1"/>
      <scheme val="major"/>
    </font>
    <font>
      <sz val="8"/>
      <color theme="1"/>
      <name val="Calibri Light"/>
      <family val="1"/>
      <scheme val="major"/>
    </font>
    <font>
      <sz val="11"/>
      <color indexed="8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b/>
      <i/>
      <sz val="10"/>
      <color theme="1"/>
      <name val="Calibri Light"/>
      <family val="1"/>
      <scheme val="major"/>
    </font>
    <font>
      <b/>
      <sz val="9"/>
      <name val="Arial"/>
      <family val="2"/>
    </font>
    <font>
      <b/>
      <sz val="8"/>
      <name val="Arial"/>
      <family val="2"/>
    </font>
    <font>
      <b/>
      <u val="singleAccounting"/>
      <sz val="12"/>
      <color theme="1"/>
      <name val="Calibri Light"/>
      <family val="1"/>
      <scheme val="major"/>
    </font>
    <font>
      <b/>
      <i/>
      <sz val="12"/>
      <color theme="1"/>
      <name val="Calibri Light"/>
      <family val="1"/>
      <scheme val="maj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indexed="8"/>
      <name val="Calibri Light"/>
      <family val="2"/>
      <scheme val="major"/>
    </font>
    <font>
      <b/>
      <sz val="12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sz val="10"/>
      <name val="Century Gothic"/>
      <family val="2"/>
    </font>
    <font>
      <b/>
      <i/>
      <sz val="12"/>
      <name val="Calibri Light"/>
      <family val="1"/>
      <scheme val="maj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/>
      <bottom style="thin">
        <color indexed="64"/>
      </bottom>
      <diagonal/>
    </border>
    <border>
      <left style="double">
        <color theme="0"/>
      </left>
      <right style="double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theme="0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theme="0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</cellStyleXfs>
  <cellXfs count="461">
    <xf numFmtId="0" fontId="0" fillId="0" borderId="0" xfId="0"/>
    <xf numFmtId="0" fontId="0" fillId="0" borderId="0" xfId="0" applyAlignment="1">
      <alignment wrapText="1"/>
    </xf>
    <xf numFmtId="164" fontId="0" fillId="4" borderId="20" xfId="1" applyFont="1" applyFill="1" applyBorder="1" applyAlignment="1">
      <alignment wrapText="1"/>
    </xf>
    <xf numFmtId="164" fontId="0" fillId="4" borderId="0" xfId="1" applyFont="1" applyFill="1" applyBorder="1" applyAlignment="1">
      <alignment wrapText="1"/>
    </xf>
    <xf numFmtId="164" fontId="0" fillId="4" borderId="21" xfId="1" applyFont="1" applyFill="1" applyBorder="1" applyAlignment="1">
      <alignment wrapText="1"/>
    </xf>
    <xf numFmtId="0" fontId="16" fillId="4" borderId="1" xfId="3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left" vertical="center" wrapText="1"/>
    </xf>
    <xf numFmtId="0" fontId="17" fillId="4" borderId="16" xfId="3" applyFont="1" applyFill="1" applyBorder="1" applyAlignment="1">
      <alignment vertical="center" wrapText="1"/>
    </xf>
    <xf numFmtId="0" fontId="16" fillId="4" borderId="0" xfId="3" applyFont="1" applyFill="1" applyBorder="1" applyAlignment="1">
      <alignment vertical="center" wrapText="1"/>
    </xf>
    <xf numFmtId="44" fontId="16" fillId="4" borderId="16" xfId="3" applyNumberFormat="1" applyFont="1" applyFill="1" applyBorder="1" applyAlignment="1">
      <alignment vertical="center" wrapText="1"/>
    </xf>
    <xf numFmtId="0" fontId="17" fillId="4" borderId="1" xfId="3" applyFont="1" applyFill="1" applyBorder="1" applyAlignment="1">
      <alignment vertical="center" wrapText="1"/>
    </xf>
    <xf numFmtId="0" fontId="16" fillId="4" borderId="1" xfId="3" applyFont="1" applyFill="1" applyBorder="1" applyAlignment="1">
      <alignment vertical="center" wrapText="1"/>
    </xf>
    <xf numFmtId="44" fontId="16" fillId="4" borderId="1" xfId="3" applyNumberFormat="1" applyFont="1" applyFill="1" applyBorder="1" applyAlignment="1">
      <alignment vertical="center" wrapText="1"/>
    </xf>
    <xf numFmtId="0" fontId="17" fillId="4" borderId="0" xfId="3" applyFont="1" applyFill="1" applyAlignment="1">
      <alignment vertical="center" wrapText="1"/>
    </xf>
    <xf numFmtId="0" fontId="18" fillId="4" borderId="0" xfId="3" applyFont="1" applyFill="1" applyAlignment="1">
      <alignment vertical="center" wrapText="1"/>
    </xf>
    <xf numFmtId="0" fontId="19" fillId="4" borderId="1" xfId="3" applyFont="1" applyFill="1" applyBorder="1" applyAlignment="1">
      <alignment horizontal="center" vertical="center" wrapText="1"/>
    </xf>
    <xf numFmtId="44" fontId="18" fillId="4" borderId="1" xfId="3" applyNumberFormat="1" applyFont="1" applyFill="1" applyBorder="1" applyAlignment="1">
      <alignment vertical="center" wrapText="1"/>
    </xf>
    <xf numFmtId="0" fontId="19" fillId="4" borderId="0" xfId="3" applyFont="1" applyFill="1" applyBorder="1" applyAlignment="1">
      <alignment horizontal="center" vertical="center" wrapText="1"/>
    </xf>
    <xf numFmtId="0" fontId="18" fillId="4" borderId="0" xfId="3" applyFont="1" applyFill="1" applyBorder="1" applyAlignment="1">
      <alignment vertical="center" wrapText="1"/>
    </xf>
    <xf numFmtId="0" fontId="0" fillId="4" borderId="0" xfId="0" applyFill="1" applyAlignment="1">
      <alignment wrapText="1"/>
    </xf>
    <xf numFmtId="0" fontId="24" fillId="4" borderId="1" xfId="3" applyFont="1" applyFill="1" applyBorder="1" applyAlignment="1">
      <alignment vertical="center" wrapText="1"/>
    </xf>
    <xf numFmtId="0" fontId="16" fillId="4" borderId="3" xfId="3" applyFont="1" applyFill="1" applyBorder="1" applyAlignment="1">
      <alignment vertical="center" wrapText="1"/>
    </xf>
    <xf numFmtId="0" fontId="24" fillId="4" borderId="0" xfId="3" applyFont="1" applyFill="1" applyAlignment="1">
      <alignment vertical="center" wrapText="1"/>
    </xf>
    <xf numFmtId="0" fontId="25" fillId="4" borderId="0" xfId="3" applyFont="1" applyFill="1" applyAlignment="1">
      <alignment vertical="center" wrapText="1"/>
    </xf>
    <xf numFmtId="0" fontId="26" fillId="4" borderId="0" xfId="3" applyFont="1" applyFill="1" applyAlignment="1">
      <alignment vertical="center" wrapText="1"/>
    </xf>
    <xf numFmtId="0" fontId="27" fillId="4" borderId="0" xfId="3" applyFont="1" applyFill="1" applyBorder="1" applyAlignment="1">
      <alignment horizontal="center" vertical="center" wrapText="1"/>
    </xf>
    <xf numFmtId="0" fontId="25" fillId="4" borderId="0" xfId="3" applyFont="1" applyFill="1" applyBorder="1" applyAlignment="1">
      <alignment vertical="center" wrapText="1"/>
    </xf>
    <xf numFmtId="44" fontId="28" fillId="4" borderId="0" xfId="3" applyNumberFormat="1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center" wrapText="1"/>
    </xf>
    <xf numFmtId="0" fontId="0" fillId="4" borderId="0" xfId="0" applyFill="1"/>
    <xf numFmtId="0" fontId="31" fillId="4" borderId="0" xfId="0" applyFont="1" applyFill="1" applyAlignment="1">
      <alignment horizontal="center"/>
    </xf>
    <xf numFmtId="49" fontId="31" fillId="4" borderId="0" xfId="0" applyNumberFormat="1" applyFont="1" applyFill="1" applyAlignment="1">
      <alignment horizontal="center"/>
    </xf>
    <xf numFmtId="0" fontId="31" fillId="4" borderId="0" xfId="0" applyFont="1" applyFill="1" applyAlignment="1">
      <alignment horizontal="center" wrapText="1"/>
    </xf>
    <xf numFmtId="49" fontId="31" fillId="4" borderId="0" xfId="0" applyNumberFormat="1" applyFont="1" applyFill="1" applyAlignment="1">
      <alignment horizontal="center" wrapText="1"/>
    </xf>
    <xf numFmtId="0" fontId="31" fillId="0" borderId="0" xfId="0" applyFont="1" applyFill="1" applyAlignment="1">
      <alignment horizontal="center" vertical="top"/>
    </xf>
    <xf numFmtId="49" fontId="31" fillId="0" borderId="0" xfId="0" applyNumberFormat="1" applyFont="1" applyFill="1" applyAlignment="1">
      <alignment horizontal="center" vertical="top"/>
    </xf>
    <xf numFmtId="0" fontId="31" fillId="4" borderId="0" xfId="0" applyFont="1" applyFill="1" applyAlignment="1">
      <alignment horizontal="center" vertical="top"/>
    </xf>
    <xf numFmtId="49" fontId="31" fillId="4" borderId="0" xfId="0" applyNumberFormat="1" applyFont="1" applyFill="1" applyAlignment="1">
      <alignment horizontal="center" vertical="top"/>
    </xf>
    <xf numFmtId="0" fontId="4" fillId="4" borderId="0" xfId="0" applyFont="1" applyFill="1" applyAlignment="1">
      <alignment horizontal="center" vertical="top"/>
    </xf>
    <xf numFmtId="49" fontId="4" fillId="4" borderId="0" xfId="0" applyNumberFormat="1" applyFont="1" applyFill="1" applyAlignment="1">
      <alignment horizontal="center" vertical="top"/>
    </xf>
    <xf numFmtId="49" fontId="31" fillId="4" borderId="0" xfId="1" applyNumberFormat="1" applyFont="1" applyFill="1" applyAlignment="1">
      <alignment horizontal="center"/>
    </xf>
    <xf numFmtId="0" fontId="0" fillId="0" borderId="0" xfId="0" applyFill="1"/>
    <xf numFmtId="0" fontId="32" fillId="4" borderId="0" xfId="0" applyFont="1" applyFill="1" applyAlignment="1">
      <alignment horizontal="center" vertical="top"/>
    </xf>
    <xf numFmtId="0" fontId="0" fillId="4" borderId="0" xfId="0" applyFill="1" applyAlignment="1">
      <alignment horizontal="left"/>
    </xf>
    <xf numFmtId="44" fontId="33" fillId="4" borderId="1" xfId="3" applyNumberFormat="1" applyFont="1" applyFill="1" applyBorder="1" applyAlignment="1">
      <alignment vertical="center" wrapText="1"/>
    </xf>
    <xf numFmtId="0" fontId="38" fillId="4" borderId="1" xfId="3" applyFont="1" applyFill="1" applyBorder="1" applyAlignment="1">
      <alignment vertical="center" wrapText="1"/>
    </xf>
    <xf numFmtId="0" fontId="37" fillId="4" borderId="1" xfId="3" applyFont="1" applyFill="1" applyBorder="1" applyAlignment="1">
      <alignment vertical="center" wrapText="1"/>
    </xf>
    <xf numFmtId="44" fontId="37" fillId="4" borderId="1" xfId="3" applyNumberFormat="1" applyFont="1" applyFill="1" applyBorder="1" applyAlignment="1">
      <alignment vertical="center" wrapText="1"/>
    </xf>
    <xf numFmtId="0" fontId="38" fillId="4" borderId="0" xfId="3" applyFont="1" applyFill="1" applyAlignment="1">
      <alignment vertical="center" wrapText="1"/>
    </xf>
    <xf numFmtId="0" fontId="39" fillId="4" borderId="0" xfId="3" applyFont="1" applyFill="1" applyAlignment="1">
      <alignment vertical="center" wrapText="1"/>
    </xf>
    <xf numFmtId="0" fontId="37" fillId="4" borderId="1" xfId="3" applyFont="1" applyFill="1" applyBorder="1" applyAlignment="1">
      <alignment horizontal="center" vertical="center" wrapText="1"/>
    </xf>
    <xf numFmtId="0" fontId="36" fillId="4" borderId="0" xfId="0" applyFont="1" applyFill="1" applyAlignment="1">
      <alignment wrapText="1"/>
    </xf>
    <xf numFmtId="0" fontId="37" fillId="4" borderId="3" xfId="3" applyFont="1" applyFill="1" applyBorder="1" applyAlignment="1">
      <alignment vertical="center" wrapText="1"/>
    </xf>
    <xf numFmtId="0" fontId="38" fillId="4" borderId="0" xfId="0" applyFont="1" applyFill="1"/>
    <xf numFmtId="0" fontId="40" fillId="2" borderId="1" xfId="0" applyFont="1" applyFill="1" applyBorder="1" applyAlignment="1">
      <alignment horizontal="center" wrapText="1"/>
    </xf>
    <xf numFmtId="0" fontId="41" fillId="2" borderId="1" xfId="0" applyFont="1" applyFill="1" applyBorder="1" applyAlignment="1">
      <alignment horizontal="left" vertical="top" wrapText="1"/>
    </xf>
    <xf numFmtId="164" fontId="40" fillId="0" borderId="1" xfId="1" applyFont="1" applyBorder="1" applyAlignment="1">
      <alignment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wrapText="1"/>
    </xf>
    <xf numFmtId="164" fontId="4" fillId="4" borderId="16" xfId="1" applyFont="1" applyFill="1" applyBorder="1" applyAlignment="1">
      <alignment wrapText="1"/>
    </xf>
    <xf numFmtId="164" fontId="4" fillId="4" borderId="1" xfId="1" applyFont="1" applyFill="1" applyBorder="1" applyAlignment="1">
      <alignment wrapText="1"/>
    </xf>
    <xf numFmtId="0" fontId="4" fillId="4" borderId="1" xfId="0" applyFont="1" applyFill="1" applyBorder="1" applyAlignment="1">
      <alignment horizontal="left" wrapText="1"/>
    </xf>
    <xf numFmtId="0" fontId="4" fillId="4" borderId="28" xfId="0" applyFont="1" applyFill="1" applyBorder="1" applyAlignment="1">
      <alignment wrapText="1"/>
    </xf>
    <xf numFmtId="0" fontId="5" fillId="4" borderId="3" xfId="0" applyFont="1" applyFill="1" applyBorder="1" applyAlignment="1">
      <alignment horizontal="left" wrapText="1"/>
    </xf>
    <xf numFmtId="0" fontId="5" fillId="4" borderId="29" xfId="0" applyFont="1" applyFill="1" applyBorder="1" applyAlignment="1">
      <alignment wrapText="1"/>
    </xf>
    <xf numFmtId="164" fontId="5" fillId="4" borderId="1" xfId="1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wrapText="1"/>
    </xf>
    <xf numFmtId="0" fontId="0" fillId="4" borderId="0" xfId="0" applyFill="1" applyAlignment="1"/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/>
    </xf>
    <xf numFmtId="0" fontId="4" fillId="4" borderId="16" xfId="0" applyFont="1" applyFill="1" applyBorder="1" applyAlignment="1"/>
    <xf numFmtId="164" fontId="4" fillId="4" borderId="16" xfId="1" applyFont="1" applyFill="1" applyBorder="1" applyAlignment="1"/>
    <xf numFmtId="164" fontId="4" fillId="4" borderId="27" xfId="1" applyFont="1" applyFill="1" applyBorder="1" applyAlignment="1"/>
    <xf numFmtId="164" fontId="4" fillId="4" borderId="1" xfId="1" applyFont="1" applyFill="1" applyBorder="1" applyAlignment="1"/>
    <xf numFmtId="0" fontId="4" fillId="4" borderId="1" xfId="0" applyFont="1" applyFill="1" applyBorder="1" applyAlignment="1">
      <alignment horizontal="left"/>
    </xf>
    <xf numFmtId="0" fontId="4" fillId="4" borderId="28" xfId="0" applyFont="1" applyFill="1" applyBorder="1" applyAlignment="1"/>
    <xf numFmtId="164" fontId="4" fillId="4" borderId="3" xfId="1" applyFont="1" applyFill="1" applyBorder="1" applyAlignment="1"/>
    <xf numFmtId="0" fontId="5" fillId="4" borderId="3" xfId="0" applyFont="1" applyFill="1" applyBorder="1" applyAlignment="1">
      <alignment horizontal="left"/>
    </xf>
    <xf numFmtId="0" fontId="5" fillId="4" borderId="29" xfId="0" applyFont="1" applyFill="1" applyBorder="1" applyAlignment="1"/>
    <xf numFmtId="164" fontId="5" fillId="4" borderId="1" xfId="1" applyFont="1" applyFill="1" applyBorder="1" applyAlignment="1"/>
    <xf numFmtId="0" fontId="5" fillId="4" borderId="1" xfId="0" applyFont="1" applyFill="1" applyBorder="1" applyAlignment="1"/>
    <xf numFmtId="0" fontId="5" fillId="4" borderId="3" xfId="0" applyFont="1" applyFill="1" applyBorder="1" applyAlignment="1"/>
    <xf numFmtId="164" fontId="5" fillId="4" borderId="3" xfId="1" applyFont="1" applyFill="1" applyBorder="1" applyAlignment="1"/>
    <xf numFmtId="0" fontId="5" fillId="4" borderId="1" xfId="0" applyFont="1" applyFill="1" applyBorder="1" applyAlignment="1">
      <alignment horizontal="left"/>
    </xf>
    <xf numFmtId="0" fontId="4" fillId="4" borderId="1" xfId="0" applyFont="1" applyFill="1" applyBorder="1" applyAlignment="1"/>
    <xf numFmtId="0" fontId="5" fillId="4" borderId="16" xfId="0" applyFont="1" applyFill="1" applyBorder="1" applyAlignment="1">
      <alignment horizontal="left"/>
    </xf>
    <xf numFmtId="0" fontId="5" fillId="4" borderId="16" xfId="0" applyFont="1" applyFill="1" applyBorder="1" applyAlignment="1"/>
    <xf numFmtId="164" fontId="5" fillId="4" borderId="16" xfId="1" applyFont="1" applyFill="1" applyBorder="1" applyAlignment="1"/>
    <xf numFmtId="164" fontId="5" fillId="4" borderId="27" xfId="1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0" borderId="16" xfId="0" applyFont="1" applyFill="1" applyBorder="1"/>
    <xf numFmtId="164" fontId="4" fillId="4" borderId="16" xfId="1" applyFont="1" applyFill="1" applyBorder="1"/>
    <xf numFmtId="0" fontId="4" fillId="0" borderId="28" xfId="0" applyFont="1" applyFill="1" applyBorder="1"/>
    <xf numFmtId="164" fontId="4" fillId="4" borderId="1" xfId="1" applyFont="1" applyFill="1" applyBorder="1"/>
    <xf numFmtId="0" fontId="5" fillId="4" borderId="29" xfId="0" applyFont="1" applyFill="1" applyBorder="1"/>
    <xf numFmtId="164" fontId="5" fillId="4" borderId="1" xfId="1" applyFont="1" applyFill="1" applyBorder="1"/>
    <xf numFmtId="0" fontId="5" fillId="4" borderId="1" xfId="0" applyFont="1" applyFill="1" applyBorder="1"/>
    <xf numFmtId="0" fontId="4" fillId="4" borderId="16" xfId="0" applyFont="1" applyFill="1" applyBorder="1"/>
    <xf numFmtId="0" fontId="4" fillId="4" borderId="1" xfId="0" applyFont="1" applyFill="1" applyBorder="1"/>
    <xf numFmtId="0" fontId="11" fillId="4" borderId="1" xfId="0" applyFont="1" applyFill="1" applyBorder="1" applyAlignment="1">
      <alignment horizontal="left"/>
    </xf>
    <xf numFmtId="0" fontId="4" fillId="0" borderId="1" xfId="0" applyFont="1" applyFill="1" applyBorder="1"/>
    <xf numFmtId="164" fontId="4" fillId="0" borderId="1" xfId="1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/>
    <xf numFmtId="164" fontId="5" fillId="0" borderId="1" xfId="1" applyFont="1" applyFill="1" applyBorder="1"/>
    <xf numFmtId="0" fontId="4" fillId="4" borderId="28" xfId="0" applyFont="1" applyFill="1" applyBorder="1"/>
    <xf numFmtId="0" fontId="4" fillId="4" borderId="3" xfId="0" applyFont="1" applyFill="1" applyBorder="1" applyAlignment="1">
      <alignment horizontal="left"/>
    </xf>
    <xf numFmtId="0" fontId="11" fillId="4" borderId="1" xfId="0" applyFont="1" applyFill="1" applyBorder="1" applyAlignment="1"/>
    <xf numFmtId="0" fontId="4" fillId="4" borderId="1" xfId="0" applyFont="1" applyFill="1" applyBorder="1" applyAlignment="1">
      <alignment horizontal="center" vertical="top"/>
    </xf>
    <xf numFmtId="0" fontId="4" fillId="4" borderId="16" xfId="0" applyFont="1" applyFill="1" applyBorder="1" applyAlignment="1">
      <alignment horizontal="left" vertical="top"/>
    </xf>
    <xf numFmtId="0" fontId="4" fillId="4" borderId="16" xfId="0" applyFont="1" applyFill="1" applyBorder="1" applyAlignment="1">
      <alignment vertical="top"/>
    </xf>
    <xf numFmtId="164" fontId="4" fillId="4" borderId="16" xfId="1" applyFont="1" applyFill="1" applyBorder="1" applyAlignment="1">
      <alignment vertical="top"/>
    </xf>
    <xf numFmtId="0" fontId="4" fillId="4" borderId="1" xfId="0" applyFont="1" applyFill="1" applyBorder="1" applyAlignment="1">
      <alignment horizontal="left" vertical="top"/>
    </xf>
    <xf numFmtId="0" fontId="4" fillId="4" borderId="28" xfId="0" applyFont="1" applyFill="1" applyBorder="1" applyAlignment="1">
      <alignment vertical="top"/>
    </xf>
    <xf numFmtId="164" fontId="4" fillId="4" borderId="1" xfId="1" applyFont="1" applyFill="1" applyBorder="1" applyAlignment="1">
      <alignment vertical="top"/>
    </xf>
    <xf numFmtId="0" fontId="5" fillId="4" borderId="3" xfId="0" applyFont="1" applyFill="1" applyBorder="1" applyAlignment="1">
      <alignment horizontal="left" vertical="top"/>
    </xf>
    <xf numFmtId="0" fontId="5" fillId="4" borderId="29" xfId="0" applyFont="1" applyFill="1" applyBorder="1" applyAlignment="1">
      <alignment vertical="top"/>
    </xf>
    <xf numFmtId="164" fontId="5" fillId="4" borderId="1" xfId="1" applyFont="1" applyFill="1" applyBorder="1" applyAlignment="1">
      <alignment vertical="top"/>
    </xf>
    <xf numFmtId="0" fontId="5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left" vertical="top"/>
    </xf>
    <xf numFmtId="0" fontId="4" fillId="0" borderId="16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4" fillId="0" borderId="28" xfId="0" applyFont="1" applyFill="1" applyBorder="1" applyAlignment="1">
      <alignment vertical="top"/>
    </xf>
    <xf numFmtId="0" fontId="5" fillId="0" borderId="3" xfId="0" applyFont="1" applyFill="1" applyBorder="1" applyAlignment="1">
      <alignment horizontal="left" vertical="top"/>
    </xf>
    <xf numFmtId="0" fontId="5" fillId="0" borderId="29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/>
    </xf>
    <xf numFmtId="164" fontId="4" fillId="0" borderId="1" xfId="1" applyFont="1" applyFill="1" applyBorder="1" applyAlignment="1">
      <alignment vertical="top"/>
    </xf>
    <xf numFmtId="164" fontId="5" fillId="0" borderId="1" xfId="1" applyFont="1" applyFill="1" applyBorder="1" applyAlignment="1">
      <alignment vertical="top"/>
    </xf>
    <xf numFmtId="166" fontId="42" fillId="4" borderId="1" xfId="1" applyNumberFormat="1" applyFont="1" applyFill="1" applyBorder="1"/>
    <xf numFmtId="166" fontId="5" fillId="4" borderId="1" xfId="1" applyNumberFormat="1" applyFont="1" applyFill="1" applyBorder="1"/>
    <xf numFmtId="0" fontId="5" fillId="4" borderId="16" xfId="0" applyFont="1" applyFill="1" applyBorder="1"/>
    <xf numFmtId="0" fontId="7" fillId="4" borderId="0" xfId="0" applyFont="1" applyFill="1" applyBorder="1" applyAlignment="1"/>
    <xf numFmtId="0" fontId="7" fillId="4" borderId="0" xfId="0" applyFont="1" applyFill="1" applyBorder="1" applyAlignment="1">
      <alignment horizontal="left"/>
    </xf>
    <xf numFmtId="166" fontId="5" fillId="4" borderId="1" xfId="5" applyNumberFormat="1" applyFont="1" applyFill="1" applyBorder="1"/>
    <xf numFmtId="0" fontId="5" fillId="4" borderId="1" xfId="6" applyFont="1" applyFill="1" applyBorder="1" applyAlignment="1">
      <alignment horizontal="left"/>
    </xf>
    <xf numFmtId="0" fontId="5" fillId="4" borderId="1" xfId="6" applyFont="1" applyFill="1" applyBorder="1"/>
    <xf numFmtId="0" fontId="31" fillId="4" borderId="0" xfId="4" applyFont="1" applyFill="1" applyAlignment="1">
      <alignment horizontal="center"/>
    </xf>
    <xf numFmtId="0" fontId="4" fillId="4" borderId="1" xfId="4" applyFont="1" applyFill="1" applyBorder="1" applyAlignment="1">
      <alignment horizontal="center" vertical="center"/>
    </xf>
    <xf numFmtId="0" fontId="4" fillId="4" borderId="16" xfId="4" applyFont="1" applyFill="1" applyBorder="1" applyAlignment="1">
      <alignment horizontal="left" vertical="center"/>
    </xf>
    <xf numFmtId="0" fontId="4" fillId="4" borderId="16" xfId="4" applyFont="1" applyFill="1" applyBorder="1" applyAlignment="1">
      <alignment vertical="center"/>
    </xf>
    <xf numFmtId="165" fontId="4" fillId="4" borderId="16" xfId="5" applyNumberFormat="1" applyFont="1" applyFill="1" applyBorder="1" applyAlignment="1">
      <alignment vertical="center"/>
    </xf>
    <xf numFmtId="0" fontId="4" fillId="4" borderId="1" xfId="4" applyFont="1" applyFill="1" applyBorder="1" applyAlignment="1">
      <alignment horizontal="left" vertical="center"/>
    </xf>
    <xf numFmtId="0" fontId="4" fillId="4" borderId="28" xfId="4" applyFont="1" applyFill="1" applyBorder="1" applyAlignment="1">
      <alignment vertical="center"/>
    </xf>
    <xf numFmtId="165" fontId="4" fillId="4" borderId="1" xfId="5" applyNumberFormat="1" applyFont="1" applyFill="1" applyBorder="1" applyAlignment="1">
      <alignment vertical="center"/>
    </xf>
    <xf numFmtId="0" fontId="5" fillId="4" borderId="3" xfId="4" applyFont="1" applyFill="1" applyBorder="1" applyAlignment="1">
      <alignment horizontal="left" vertical="center"/>
    </xf>
    <xf numFmtId="0" fontId="5" fillId="4" borderId="29" xfId="4" applyFont="1" applyFill="1" applyBorder="1" applyAlignment="1">
      <alignment vertical="center"/>
    </xf>
    <xf numFmtId="165" fontId="5" fillId="4" borderId="1" xfId="5" applyNumberFormat="1" applyFont="1" applyFill="1" applyBorder="1" applyAlignment="1">
      <alignment vertical="center"/>
    </xf>
    <xf numFmtId="0" fontId="5" fillId="4" borderId="1" xfId="4" applyFont="1" applyFill="1" applyBorder="1" applyAlignment="1">
      <alignment vertical="center"/>
    </xf>
    <xf numFmtId="165" fontId="5" fillId="4" borderId="34" xfId="5" applyNumberFormat="1" applyFont="1" applyFill="1" applyBorder="1" applyAlignment="1">
      <alignment vertical="center"/>
    </xf>
    <xf numFmtId="165" fontId="5" fillId="4" borderId="28" xfId="5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vertical="center"/>
    </xf>
    <xf numFmtId="164" fontId="4" fillId="4" borderId="1" xfId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164" fontId="5" fillId="4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4" applyFont="1" applyFill="1" applyBorder="1" applyAlignment="1">
      <alignment vertical="center"/>
    </xf>
    <xf numFmtId="0" fontId="5" fillId="4" borderId="1" xfId="4" applyFont="1" applyFill="1" applyBorder="1" applyAlignment="1">
      <alignment horizontal="left" vertical="center"/>
    </xf>
    <xf numFmtId="165" fontId="5" fillId="4" borderId="16" xfId="5" applyNumberFormat="1" applyFont="1" applyFill="1" applyBorder="1" applyAlignment="1">
      <alignment vertical="center"/>
    </xf>
    <xf numFmtId="165" fontId="5" fillId="4" borderId="2" xfId="5" applyNumberFormat="1" applyFont="1" applyFill="1" applyBorder="1" applyAlignment="1">
      <alignment vertical="center"/>
    </xf>
    <xf numFmtId="165" fontId="4" fillId="4" borderId="2" xfId="5" applyNumberFormat="1" applyFont="1" applyFill="1" applyBorder="1" applyAlignment="1">
      <alignment vertical="center"/>
    </xf>
    <xf numFmtId="164" fontId="4" fillId="4" borderId="1" xfId="5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wrapText="1"/>
    </xf>
    <xf numFmtId="0" fontId="43" fillId="4" borderId="1" xfId="0" applyFont="1" applyFill="1" applyBorder="1" applyAlignment="1">
      <alignment horizontal="left" vertical="top" wrapText="1"/>
    </xf>
    <xf numFmtId="0" fontId="44" fillId="4" borderId="1" xfId="0" applyFont="1" applyFill="1" applyBorder="1" applyAlignment="1">
      <alignment horizontal="center" wrapText="1"/>
    </xf>
    <xf numFmtId="0" fontId="45" fillId="4" borderId="1" xfId="0" applyFont="1" applyFill="1" applyBorder="1" applyAlignment="1">
      <alignment horizontal="left" vertical="top" wrapText="1"/>
    </xf>
    <xf numFmtId="164" fontId="46" fillId="4" borderId="1" xfId="1" applyFont="1" applyFill="1" applyBorder="1" applyAlignment="1">
      <alignment wrapText="1"/>
    </xf>
    <xf numFmtId="0" fontId="6" fillId="4" borderId="0" xfId="0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9" xfId="2" applyFont="1" applyFill="1" applyBorder="1" applyAlignment="1">
      <alignment wrapText="1"/>
    </xf>
    <xf numFmtId="0" fontId="8" fillId="4" borderId="10" xfId="2" applyFont="1" applyFill="1" applyBorder="1" applyAlignment="1">
      <alignment wrapText="1"/>
    </xf>
    <xf numFmtId="0" fontId="8" fillId="4" borderId="9" xfId="2" applyFont="1" applyFill="1" applyBorder="1" applyAlignment="1">
      <alignment horizontal="center" wrapText="1"/>
    </xf>
    <xf numFmtId="0" fontId="9" fillId="4" borderId="9" xfId="2" applyFont="1" applyFill="1" applyBorder="1" applyAlignment="1">
      <alignment horizontal="center" wrapText="1"/>
    </xf>
    <xf numFmtId="0" fontId="12" fillId="4" borderId="1" xfId="0" applyFont="1" applyFill="1" applyBorder="1"/>
    <xf numFmtId="164" fontId="13" fillId="4" borderId="1" xfId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164" fontId="14" fillId="4" borderId="1" xfId="0" applyNumberFormat="1" applyFont="1" applyFill="1" applyBorder="1"/>
    <xf numFmtId="0" fontId="0" fillId="4" borderId="1" xfId="0" applyFill="1" applyBorder="1"/>
    <xf numFmtId="164" fontId="12" fillId="4" borderId="1" xfId="0" applyNumberFormat="1" applyFont="1" applyFill="1" applyBorder="1"/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164" fontId="12" fillId="4" borderId="1" xfId="1" applyFont="1" applyFill="1" applyBorder="1" applyAlignment="1">
      <alignment vertical="center"/>
    </xf>
    <xf numFmtId="164" fontId="0" fillId="4" borderId="1" xfId="1" applyFont="1" applyFill="1" applyBorder="1" applyAlignment="1">
      <alignment wrapText="1"/>
    </xf>
    <xf numFmtId="44" fontId="20" fillId="4" borderId="1" xfId="3" applyNumberFormat="1" applyFont="1" applyFill="1" applyBorder="1" applyAlignment="1">
      <alignment vertical="center" wrapText="1"/>
    </xf>
    <xf numFmtId="0" fontId="0" fillId="4" borderId="0" xfId="0" applyFont="1" applyFill="1"/>
    <xf numFmtId="0" fontId="36" fillId="4" borderId="0" xfId="0" applyFont="1" applyFill="1"/>
    <xf numFmtId="0" fontId="47" fillId="4" borderId="0" xfId="0" applyFont="1" applyFill="1"/>
    <xf numFmtId="0" fontId="35" fillId="4" borderId="1" xfId="0" applyFont="1" applyFill="1" applyBorder="1" applyAlignment="1">
      <alignment vertical="center"/>
    </xf>
    <xf numFmtId="0" fontId="47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7" fillId="4" borderId="1" xfId="0" applyFont="1" applyFill="1" applyBorder="1" applyAlignment="1">
      <alignment horizontal="center" vertical="center"/>
    </xf>
    <xf numFmtId="0" fontId="2" fillId="4" borderId="0" xfId="0" applyFont="1" applyFill="1"/>
    <xf numFmtId="164" fontId="8" fillId="4" borderId="1" xfId="1" applyFont="1" applyFill="1" applyBorder="1" applyAlignment="1">
      <alignment vertical="center"/>
    </xf>
    <xf numFmtId="164" fontId="7" fillId="4" borderId="1" xfId="1" applyFont="1" applyFill="1" applyBorder="1" applyAlignment="1">
      <alignment vertical="center"/>
    </xf>
    <xf numFmtId="164" fontId="8" fillId="4" borderId="1" xfId="1" applyFont="1" applyFill="1" applyBorder="1" applyAlignment="1">
      <alignment vertical="center" wrapText="1"/>
    </xf>
    <xf numFmtId="0" fontId="15" fillId="4" borderId="1" xfId="0" applyFont="1" applyFill="1" applyBorder="1"/>
    <xf numFmtId="0" fontId="15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15" fillId="4" borderId="1" xfId="0" applyNumberFormat="1" applyFont="1" applyFill="1" applyBorder="1"/>
    <xf numFmtId="164" fontId="15" fillId="4" borderId="1" xfId="1" applyFont="1" applyFill="1" applyBorder="1"/>
    <xf numFmtId="164" fontId="15" fillId="4" borderId="0" xfId="0" applyNumberFormat="1" applyFont="1" applyFill="1"/>
    <xf numFmtId="0" fontId="0" fillId="4" borderId="0" xfId="0" applyFont="1" applyFill="1" applyAlignment="1">
      <alignment vertical="center" wrapText="1"/>
    </xf>
    <xf numFmtId="0" fontId="0" fillId="4" borderId="0" xfId="0" applyFont="1" applyFill="1" applyAlignment="1">
      <alignment wrapText="1"/>
    </xf>
    <xf numFmtId="0" fontId="3" fillId="4" borderId="0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vertical="center" wrapText="1"/>
    </xf>
    <xf numFmtId="164" fontId="3" fillId="4" borderId="1" xfId="1" applyFont="1" applyFill="1" applyBorder="1" applyAlignment="1">
      <alignment wrapText="1"/>
    </xf>
    <xf numFmtId="164" fontId="15" fillId="4" borderId="20" xfId="1" applyFont="1" applyFill="1" applyBorder="1" applyAlignment="1">
      <alignment wrapText="1"/>
    </xf>
    <xf numFmtId="164" fontId="15" fillId="4" borderId="0" xfId="1" applyFont="1" applyFill="1" applyBorder="1" applyAlignment="1">
      <alignment wrapText="1"/>
    </xf>
    <xf numFmtId="164" fontId="15" fillId="4" borderId="21" xfId="1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164" fontId="3" fillId="4" borderId="1" xfId="1" applyFont="1" applyFill="1" applyBorder="1" applyAlignment="1">
      <alignment vertical="center" wrapText="1"/>
    </xf>
    <xf numFmtId="164" fontId="3" fillId="4" borderId="20" xfId="1" applyFont="1" applyFill="1" applyBorder="1" applyAlignment="1">
      <alignment wrapText="1"/>
    </xf>
    <xf numFmtId="164" fontId="3" fillId="4" borderId="0" xfId="1" applyFont="1" applyFill="1" applyBorder="1" applyAlignment="1">
      <alignment wrapText="1"/>
    </xf>
    <xf numFmtId="164" fontId="3" fillId="4" borderId="21" xfId="1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164" fontId="15" fillId="4" borderId="1" xfId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20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wrapText="1"/>
    </xf>
    <xf numFmtId="44" fontId="40" fillId="4" borderId="1" xfId="0" applyNumberFormat="1" applyFont="1" applyFill="1" applyBorder="1" applyAlignment="1">
      <alignment wrapText="1"/>
    </xf>
    <xf numFmtId="164" fontId="5" fillId="0" borderId="3" xfId="1" applyFont="1" applyFill="1" applyBorder="1" applyAlignment="1"/>
    <xf numFmtId="0" fontId="4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6" xfId="1" applyFont="1" applyFill="1" applyBorder="1"/>
    <xf numFmtId="0" fontId="5" fillId="0" borderId="29" xfId="0" applyFont="1" applyFill="1" applyBorder="1"/>
    <xf numFmtId="164" fontId="5" fillId="0" borderId="35" xfId="1" applyFont="1" applyFill="1" applyBorder="1"/>
    <xf numFmtId="0" fontId="4" fillId="0" borderId="1" xfId="0" applyFont="1" applyFill="1" applyBorder="1" applyAlignment="1"/>
    <xf numFmtId="164" fontId="4" fillId="0" borderId="1" xfId="1" applyFont="1" applyFill="1" applyBorder="1" applyAlignment="1"/>
    <xf numFmtId="0" fontId="0" fillId="0" borderId="0" xfId="0" applyFill="1" applyAlignment="1"/>
    <xf numFmtId="0" fontId="5" fillId="0" borderId="1" xfId="0" applyFont="1" applyFill="1" applyBorder="1" applyAlignment="1"/>
    <xf numFmtId="164" fontId="5" fillId="0" borderId="1" xfId="1" applyFont="1" applyFill="1" applyBorder="1" applyAlignment="1"/>
    <xf numFmtId="0" fontId="4" fillId="0" borderId="16" xfId="0" applyFont="1" applyFill="1" applyBorder="1" applyAlignment="1"/>
    <xf numFmtId="164" fontId="4" fillId="0" borderId="16" xfId="1" applyFont="1" applyFill="1" applyBorder="1" applyAlignment="1"/>
    <xf numFmtId="0" fontId="4" fillId="0" borderId="28" xfId="0" applyFont="1" applyFill="1" applyBorder="1" applyAlignment="1"/>
    <xf numFmtId="0" fontId="5" fillId="0" borderId="29" xfId="0" applyFont="1" applyFill="1" applyBorder="1" applyAlignment="1"/>
    <xf numFmtId="0" fontId="5" fillId="0" borderId="16" xfId="0" applyFont="1" applyFill="1" applyBorder="1" applyAlignment="1"/>
    <xf numFmtId="164" fontId="5" fillId="0" borderId="16" xfId="1" applyFont="1" applyFill="1" applyBorder="1" applyAlignment="1"/>
    <xf numFmtId="0" fontId="10" fillId="0" borderId="1" xfId="0" applyFont="1" applyFill="1" applyBorder="1"/>
    <xf numFmtId="164" fontId="10" fillId="0" borderId="1" xfId="1" applyFont="1" applyFill="1" applyBorder="1"/>
    <xf numFmtId="0" fontId="4" fillId="0" borderId="1" xfId="0" applyFont="1" applyFill="1" applyBorder="1" applyAlignment="1">
      <alignment wrapText="1"/>
    </xf>
    <xf numFmtId="164" fontId="4" fillId="0" borderId="1" xfId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4" fontId="5" fillId="0" borderId="1" xfId="1" applyFont="1" applyFill="1" applyBorder="1" applyAlignment="1">
      <alignment wrapText="1"/>
    </xf>
    <xf numFmtId="165" fontId="4" fillId="0" borderId="16" xfId="5" applyNumberFormat="1" applyFont="1" applyFill="1" applyBorder="1" applyAlignment="1">
      <alignment vertical="center"/>
    </xf>
    <xf numFmtId="165" fontId="5" fillId="0" borderId="16" xfId="5" applyNumberFormat="1" applyFont="1" applyFill="1" applyBorder="1" applyAlignment="1">
      <alignment vertical="center"/>
    </xf>
    <xf numFmtId="165" fontId="5" fillId="0" borderId="1" xfId="5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164" fontId="11" fillId="0" borderId="1" xfId="1" applyFont="1" applyFill="1" applyBorder="1" applyAlignment="1"/>
    <xf numFmtId="164" fontId="4" fillId="0" borderId="16" xfId="1" applyFont="1" applyFill="1" applyBorder="1" applyAlignment="1">
      <alignment vertical="top"/>
    </xf>
    <xf numFmtId="164" fontId="5" fillId="0" borderId="1" xfId="1" applyNumberFormat="1" applyFont="1" applyFill="1" applyBorder="1"/>
    <xf numFmtId="166" fontId="5" fillId="0" borderId="1" xfId="5" applyNumberFormat="1" applyFont="1" applyFill="1" applyBorder="1"/>
    <xf numFmtId="0" fontId="6" fillId="4" borderId="1" xfId="0" applyFont="1" applyFill="1" applyBorder="1"/>
    <xf numFmtId="164" fontId="6" fillId="4" borderId="1" xfId="0" applyNumberFormat="1" applyFont="1" applyFill="1" applyBorder="1"/>
    <xf numFmtId="164" fontId="6" fillId="4" borderId="1" xfId="1" applyFont="1" applyFill="1" applyBorder="1"/>
    <xf numFmtId="0" fontId="7" fillId="4" borderId="1" xfId="0" applyFont="1" applyFill="1" applyBorder="1"/>
    <xf numFmtId="164" fontId="7" fillId="4" borderId="1" xfId="0" applyNumberFormat="1" applyFont="1" applyFill="1" applyBorder="1"/>
    <xf numFmtId="164" fontId="7" fillId="4" borderId="1" xfId="1" applyFont="1" applyFill="1" applyBorder="1"/>
    <xf numFmtId="0" fontId="9" fillId="4" borderId="0" xfId="0" applyFont="1" applyFill="1"/>
    <xf numFmtId="0" fontId="12" fillId="4" borderId="1" xfId="0" applyFont="1" applyFill="1" applyBorder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44" fontId="6" fillId="4" borderId="1" xfId="0" applyNumberFormat="1" applyFont="1" applyFill="1" applyBorder="1"/>
    <xf numFmtId="44" fontId="7" fillId="4" borderId="1" xfId="0" applyNumberFormat="1" applyFont="1" applyFill="1" applyBorder="1"/>
    <xf numFmtId="164" fontId="8" fillId="4" borderId="1" xfId="1" applyFont="1" applyFill="1" applyBorder="1"/>
    <xf numFmtId="0" fontId="49" fillId="4" borderId="0" xfId="0" applyFont="1" applyFill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164" fontId="7" fillId="5" borderId="1" xfId="1" applyFont="1" applyFill="1" applyBorder="1" applyAlignment="1">
      <alignment horizontal="center" vertical="center" wrapText="1"/>
    </xf>
    <xf numFmtId="164" fontId="7" fillId="5" borderId="1" xfId="1" applyFont="1" applyFill="1" applyBorder="1" applyAlignment="1">
      <alignment vertical="center" wrapText="1"/>
    </xf>
    <xf numFmtId="0" fontId="48" fillId="5" borderId="1" xfId="2" applyFont="1" applyFill="1" applyBorder="1" applyAlignment="1">
      <alignment horizontal="center" vertical="center" wrapText="1"/>
    </xf>
    <xf numFmtId="0" fontId="48" fillId="5" borderId="1" xfId="2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164" fontId="6" fillId="4" borderId="1" xfId="1" applyFont="1" applyFill="1" applyBorder="1" applyAlignment="1">
      <alignment vertical="center" wrapText="1"/>
    </xf>
    <xf numFmtId="164" fontId="7" fillId="4" borderId="1" xfId="1" applyFont="1" applyFill="1" applyBorder="1" applyAlignment="1">
      <alignment vertical="center" wrapText="1"/>
    </xf>
    <xf numFmtId="164" fontId="7" fillId="5" borderId="1" xfId="0" applyNumberFormat="1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0" fontId="50" fillId="5" borderId="1" xfId="0" applyFont="1" applyFill="1" applyBorder="1" applyAlignment="1">
      <alignment horizontal="left" vertical="center" wrapText="1"/>
    </xf>
    <xf numFmtId="0" fontId="9" fillId="4" borderId="4" xfId="2" applyFont="1" applyFill="1" applyBorder="1" applyAlignment="1">
      <alignment wrapText="1"/>
    </xf>
    <xf numFmtId="0" fontId="9" fillId="4" borderId="5" xfId="2" applyFont="1" applyFill="1" applyBorder="1" applyAlignment="1">
      <alignment wrapText="1"/>
    </xf>
    <xf numFmtId="0" fontId="8" fillId="4" borderId="1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wrapText="1"/>
    </xf>
    <xf numFmtId="0" fontId="8" fillId="4" borderId="1" xfId="2" applyFont="1" applyFill="1" applyBorder="1" applyAlignment="1">
      <alignment wrapText="1"/>
    </xf>
    <xf numFmtId="164" fontId="9" fillId="4" borderId="1" xfId="1" applyFont="1" applyFill="1" applyBorder="1" applyAlignment="1">
      <alignment wrapText="1"/>
    </xf>
    <xf numFmtId="164" fontId="8" fillId="4" borderId="1" xfId="1" applyFont="1" applyFill="1" applyBorder="1" applyAlignment="1">
      <alignment wrapText="1"/>
    </xf>
    <xf numFmtId="0" fontId="9" fillId="4" borderId="1" xfId="2" applyFont="1" applyFill="1" applyBorder="1" applyAlignment="1">
      <alignment horizontal="center" wrapText="1"/>
    </xf>
    <xf numFmtId="0" fontId="9" fillId="4" borderId="1" xfId="2" applyFont="1" applyFill="1" applyBorder="1" applyAlignment="1">
      <alignment wrapText="1"/>
    </xf>
    <xf numFmtId="164" fontId="6" fillId="4" borderId="1" xfId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9" fillId="4" borderId="11" xfId="2" applyFont="1" applyFill="1" applyBorder="1" applyAlignment="1">
      <alignment horizontal="center" wrapText="1"/>
    </xf>
    <xf numFmtId="0" fontId="9" fillId="4" borderId="11" xfId="2" applyFont="1" applyFill="1" applyBorder="1" applyAlignment="1">
      <alignment wrapText="1"/>
    </xf>
    <xf numFmtId="164" fontId="9" fillId="4" borderId="11" xfId="1" applyFont="1" applyFill="1" applyBorder="1" applyAlignment="1">
      <alignment wrapText="1"/>
    </xf>
    <xf numFmtId="0" fontId="51" fillId="4" borderId="12" xfId="2" applyFont="1" applyFill="1" applyBorder="1" applyAlignment="1">
      <alignment horizontal="center" wrapText="1"/>
    </xf>
    <xf numFmtId="0" fontId="8" fillId="4" borderId="13" xfId="2" applyFont="1" applyFill="1" applyBorder="1" applyAlignment="1">
      <alignment wrapText="1"/>
    </xf>
    <xf numFmtId="164" fontId="51" fillId="4" borderId="14" xfId="1" applyFont="1" applyFill="1" applyBorder="1" applyAlignment="1">
      <alignment wrapText="1"/>
    </xf>
    <xf numFmtId="164" fontId="52" fillId="4" borderId="14" xfId="1" applyFont="1" applyFill="1" applyBorder="1" applyAlignment="1">
      <alignment wrapText="1"/>
    </xf>
    <xf numFmtId="164" fontId="52" fillId="4" borderId="15" xfId="1" applyFont="1" applyFill="1" applyBorder="1" applyAlignment="1">
      <alignment wrapText="1"/>
    </xf>
    <xf numFmtId="0" fontId="8" fillId="4" borderId="16" xfId="2" applyFont="1" applyFill="1" applyBorder="1" applyAlignment="1">
      <alignment horizontal="center" wrapText="1"/>
    </xf>
    <xf numFmtId="0" fontId="8" fillId="4" borderId="16" xfId="2" applyFont="1" applyFill="1" applyBorder="1" applyAlignment="1">
      <alignment wrapText="1"/>
    </xf>
    <xf numFmtId="164" fontId="8" fillId="4" borderId="16" xfId="1" applyFont="1" applyFill="1" applyBorder="1" applyAlignment="1">
      <alignment wrapText="1"/>
    </xf>
    <xf numFmtId="0" fontId="8" fillId="4" borderId="17" xfId="2" applyFont="1" applyFill="1" applyBorder="1" applyAlignment="1">
      <alignment horizontal="center" wrapText="1"/>
    </xf>
    <xf numFmtId="0" fontId="8" fillId="4" borderId="18" xfId="2" applyFont="1" applyFill="1" applyBorder="1" applyAlignment="1">
      <alignment wrapText="1"/>
    </xf>
    <xf numFmtId="164" fontId="8" fillId="4" borderId="1" xfId="1" applyNumberFormat="1" applyFont="1" applyFill="1" applyBorder="1" applyAlignment="1">
      <alignment wrapText="1"/>
    </xf>
    <xf numFmtId="0" fontId="9" fillId="4" borderId="3" xfId="2" applyFont="1" applyFill="1" applyBorder="1" applyAlignment="1">
      <alignment horizontal="center" wrapText="1"/>
    </xf>
    <xf numFmtId="0" fontId="9" fillId="4" borderId="2" xfId="2" applyFont="1" applyFill="1" applyBorder="1" applyAlignment="1">
      <alignment wrapText="1"/>
    </xf>
    <xf numFmtId="44" fontId="40" fillId="4" borderId="1" xfId="3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1" applyFont="1" applyFill="1" applyBorder="1" applyAlignment="1">
      <alignment vertical="center" wrapText="1"/>
    </xf>
    <xf numFmtId="164" fontId="7" fillId="0" borderId="1" xfId="1" applyFont="1" applyFill="1" applyBorder="1" applyAlignment="1">
      <alignment vertical="center" wrapText="1"/>
    </xf>
    <xf numFmtId="0" fontId="49" fillId="0" borderId="0" xfId="0" applyFont="1" applyFill="1" applyAlignment="1">
      <alignment wrapText="1"/>
    </xf>
    <xf numFmtId="164" fontId="6" fillId="0" borderId="1" xfId="1" applyNumberFormat="1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/>
    </xf>
    <xf numFmtId="164" fontId="20" fillId="0" borderId="1" xfId="1" applyFont="1" applyFill="1" applyBorder="1" applyAlignment="1">
      <alignment wrapText="1"/>
    </xf>
    <xf numFmtId="0" fontId="20" fillId="0" borderId="1" xfId="0" applyFont="1" applyFill="1" applyBorder="1" applyAlignment="1">
      <alignment horizontal="center" wrapText="1"/>
    </xf>
    <xf numFmtId="0" fontId="34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wrapText="1"/>
    </xf>
    <xf numFmtId="164" fontId="49" fillId="0" borderId="0" xfId="0" applyNumberFormat="1" applyFont="1" applyFill="1" applyAlignment="1">
      <alignment wrapText="1"/>
    </xf>
    <xf numFmtId="164" fontId="6" fillId="6" borderId="1" xfId="1" applyFont="1" applyFill="1" applyBorder="1" applyAlignment="1">
      <alignment wrapText="1"/>
    </xf>
    <xf numFmtId="0" fontId="4" fillId="4" borderId="23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11" fillId="4" borderId="1" xfId="0" applyFont="1" applyFill="1" applyBorder="1"/>
    <xf numFmtId="164" fontId="6" fillId="0" borderId="1" xfId="1" applyFont="1" applyFill="1" applyBorder="1"/>
    <xf numFmtId="0" fontId="4" fillId="4" borderId="2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9" fillId="6" borderId="1" xfId="1" applyFont="1" applyFill="1" applyBorder="1" applyAlignment="1">
      <alignment wrapText="1"/>
    </xf>
    <xf numFmtId="164" fontId="36" fillId="4" borderId="0" xfId="0" applyNumberFormat="1" applyFont="1" applyFill="1"/>
    <xf numFmtId="164" fontId="0" fillId="4" borderId="0" xfId="0" applyNumberFormat="1" applyFont="1" applyFill="1" applyAlignment="1">
      <alignment wrapText="1"/>
    </xf>
    <xf numFmtId="164" fontId="0" fillId="4" borderId="0" xfId="0" applyNumberFormat="1" applyFill="1"/>
    <xf numFmtId="44" fontId="20" fillId="6" borderId="0" xfId="3" applyNumberFormat="1" applyFont="1" applyFill="1" applyBorder="1" applyAlignment="1">
      <alignment vertical="center" wrapText="1"/>
    </xf>
    <xf numFmtId="164" fontId="0" fillId="4" borderId="0" xfId="0" applyNumberFormat="1" applyFill="1" applyAlignment="1">
      <alignment wrapText="1"/>
    </xf>
    <xf numFmtId="164" fontId="0" fillId="4" borderId="0" xfId="0" applyNumberFormat="1" applyFont="1" applyFill="1"/>
    <xf numFmtId="164" fontId="0" fillId="6" borderId="0" xfId="0" applyNumberFormat="1" applyFill="1"/>
    <xf numFmtId="164" fontId="0" fillId="0" borderId="0" xfId="0" applyNumberForma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0" fillId="6" borderId="0" xfId="0" applyFill="1"/>
    <xf numFmtId="44" fontId="36" fillId="4" borderId="0" xfId="0" applyNumberFormat="1" applyFont="1" applyFill="1"/>
    <xf numFmtId="164" fontId="14" fillId="4" borderId="1" xfId="0" applyNumberFormat="1" applyFont="1" applyFill="1" applyBorder="1" applyAlignment="1">
      <alignment vertical="center"/>
    </xf>
    <xf numFmtId="0" fontId="3" fillId="4" borderId="1" xfId="0" applyFont="1" applyFill="1" applyBorder="1"/>
    <xf numFmtId="44" fontId="0" fillId="4" borderId="0" xfId="0" applyNumberFormat="1" applyFill="1"/>
    <xf numFmtId="164" fontId="0" fillId="0" borderId="0" xfId="0" applyNumberFormat="1" applyFill="1"/>
    <xf numFmtId="164" fontId="20" fillId="6" borderId="1" xfId="1" applyFont="1" applyFill="1" applyBorder="1" applyAlignment="1">
      <alignment horizontal="center" wrapText="1"/>
    </xf>
    <xf numFmtId="164" fontId="20" fillId="6" borderId="1" xfId="1" applyFont="1" applyFill="1" applyBorder="1" applyAlignment="1">
      <alignment wrapText="1"/>
    </xf>
    <xf numFmtId="44" fontId="0" fillId="4" borderId="0" xfId="0" applyNumberFormat="1" applyFont="1" applyFill="1"/>
    <xf numFmtId="164" fontId="48" fillId="0" borderId="0" xfId="0" applyNumberFormat="1" applyFont="1" applyFill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164" fontId="0" fillId="4" borderId="0" xfId="1" applyFont="1" applyFill="1"/>
    <xf numFmtId="164" fontId="20" fillId="7" borderId="1" xfId="1" applyFont="1" applyFill="1" applyBorder="1" applyAlignment="1">
      <alignment wrapText="1"/>
    </xf>
    <xf numFmtId="0" fontId="7" fillId="4" borderId="0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wrapText="1"/>
    </xf>
    <xf numFmtId="0" fontId="9" fillId="4" borderId="19" xfId="2" applyFont="1" applyFill="1" applyBorder="1" applyAlignment="1">
      <alignment horizontal="center" wrapText="1"/>
    </xf>
    <xf numFmtId="0" fontId="9" fillId="4" borderId="2" xfId="2" applyFont="1" applyFill="1" applyBorder="1" applyAlignment="1">
      <alignment horizontal="center" wrapText="1"/>
    </xf>
    <xf numFmtId="0" fontId="8" fillId="4" borderId="6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wrapText="1"/>
    </xf>
    <xf numFmtId="0" fontId="8" fillId="4" borderId="2" xfId="2" applyFont="1" applyFill="1" applyBorder="1" applyAlignment="1">
      <alignment horizontal="center" wrapText="1"/>
    </xf>
    <xf numFmtId="0" fontId="35" fillId="4" borderId="6" xfId="2" applyFont="1" applyFill="1" applyBorder="1" applyAlignment="1">
      <alignment horizontal="center" vertical="center" wrapText="1"/>
    </xf>
    <xf numFmtId="0" fontId="35" fillId="4" borderId="8" xfId="2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0" xfId="0" applyFont="1" applyFill="1" applyAlignment="1">
      <alignment horizontal="center" vertical="top"/>
    </xf>
    <xf numFmtId="0" fontId="12" fillId="4" borderId="0" xfId="0" applyFont="1" applyFill="1" applyAlignment="1">
      <alignment horizontal="center"/>
    </xf>
    <xf numFmtId="0" fontId="12" fillId="4" borderId="3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wrapText="1"/>
    </xf>
    <xf numFmtId="0" fontId="23" fillId="4" borderId="3" xfId="3" applyFont="1" applyFill="1" applyBorder="1" applyAlignment="1">
      <alignment horizontal="center" vertical="center" wrapText="1"/>
    </xf>
    <xf numFmtId="0" fontId="23" fillId="4" borderId="19" xfId="3" applyFont="1" applyFill="1" applyBorder="1" applyAlignment="1">
      <alignment horizontal="center" vertical="center" wrapText="1"/>
    </xf>
    <xf numFmtId="0" fontId="23" fillId="4" borderId="2" xfId="3" applyFont="1" applyFill="1" applyBorder="1" applyAlignment="1">
      <alignment horizontal="center" vertical="center" wrapText="1"/>
    </xf>
    <xf numFmtId="0" fontId="16" fillId="4" borderId="3" xfId="3" applyFont="1" applyFill="1" applyBorder="1" applyAlignment="1">
      <alignment horizontal="center" vertical="center" wrapText="1"/>
    </xf>
    <xf numFmtId="0" fontId="16" fillId="4" borderId="19" xfId="3" applyFont="1" applyFill="1" applyBorder="1" applyAlignment="1">
      <alignment horizontal="center" vertical="center" wrapText="1"/>
    </xf>
    <xf numFmtId="0" fontId="16" fillId="4" borderId="2" xfId="3" applyFont="1" applyFill="1" applyBorder="1" applyAlignment="1">
      <alignment horizontal="center" vertical="center" wrapText="1"/>
    </xf>
    <xf numFmtId="0" fontId="37" fillId="4" borderId="3" xfId="3" applyFont="1" applyFill="1" applyBorder="1" applyAlignment="1">
      <alignment horizontal="center" vertical="center" wrapText="1"/>
    </xf>
    <xf numFmtId="0" fontId="37" fillId="4" borderId="19" xfId="3" applyFont="1" applyFill="1" applyBorder="1" applyAlignment="1">
      <alignment horizontal="center" vertical="center" wrapText="1"/>
    </xf>
    <xf numFmtId="0" fontId="37" fillId="4" borderId="2" xfId="3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 vertical="top"/>
    </xf>
    <xf numFmtId="0" fontId="7" fillId="4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center" vertical="top" wrapText="1"/>
    </xf>
    <xf numFmtId="0" fontId="4" fillId="4" borderId="1" xfId="4" applyFont="1" applyFill="1" applyBorder="1" applyAlignment="1">
      <alignment horizontal="center" vertical="center"/>
    </xf>
    <xf numFmtId="0" fontId="7" fillId="4" borderId="0" xfId="4" applyFont="1" applyFill="1" applyBorder="1" applyAlignment="1">
      <alignment horizontal="center"/>
    </xf>
    <xf numFmtId="0" fontId="7" fillId="4" borderId="0" xfId="4" applyFont="1" applyFill="1" applyBorder="1" applyAlignment="1">
      <alignment horizontal="left"/>
    </xf>
    <xf numFmtId="0" fontId="7" fillId="4" borderId="0" xfId="4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/>
    </xf>
    <xf numFmtId="0" fontId="7" fillId="4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</cellXfs>
  <cellStyles count="7">
    <cellStyle name="Moneda" xfId="1" builtinId="4"/>
    <cellStyle name="Moneda 3" xfId="5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3" xfId="2" xr:uid="{00000000-0005-0000-0000-000005000000}"/>
    <cellStyle name="Normal 6" xfId="3" xr:uid="{00000000-0005-0000-0000-000006000000}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6"/>
  <sheetViews>
    <sheetView topLeftCell="B1" workbookViewId="0">
      <pane ySplit="7" topLeftCell="A50" activePane="bottomLeft" state="frozen"/>
      <selection pane="bottomLeft" activeCell="C50" sqref="C50"/>
    </sheetView>
  </sheetViews>
  <sheetFormatPr baseColWidth="10" defaultRowHeight="15.75" x14ac:dyDescent="0.25"/>
  <cols>
    <col min="1" max="1" width="3.85546875" style="284" customWidth="1"/>
    <col min="2" max="2" width="10.85546875" style="284" customWidth="1"/>
    <col min="3" max="3" width="34.5703125" style="284" customWidth="1"/>
    <col min="4" max="4" width="15.140625" style="284" customWidth="1"/>
    <col min="5" max="5" width="14.85546875" style="284" customWidth="1"/>
    <col min="6" max="6" width="15" style="284" customWidth="1"/>
    <col min="7" max="7" width="15.140625" style="284" customWidth="1"/>
    <col min="8" max="8" width="14.85546875" style="284" customWidth="1"/>
    <col min="9" max="9" width="15.140625" style="284" customWidth="1"/>
    <col min="10" max="10" width="15.140625" style="284" bestFit="1" customWidth="1"/>
    <col min="11" max="11" width="15.7109375" style="284" customWidth="1"/>
    <col min="12" max="12" width="14.85546875" style="284" customWidth="1"/>
    <col min="13" max="13" width="15.28515625" style="284" customWidth="1"/>
    <col min="14" max="14" width="15" style="284" customWidth="1"/>
    <col min="15" max="15" width="15.28515625" style="284" customWidth="1"/>
    <col min="16" max="16" width="17.28515625" style="284" customWidth="1"/>
    <col min="17" max="17" width="13.5703125" style="284" bestFit="1" customWidth="1"/>
    <col min="18" max="16384" width="11.42578125" style="284"/>
  </cols>
  <sheetData>
    <row r="2" spans="2:16" x14ac:dyDescent="0.25">
      <c r="B2" s="387" t="s">
        <v>55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</row>
    <row r="3" spans="2:16" x14ac:dyDescent="0.25">
      <c r="B3" s="388" t="s">
        <v>408</v>
      </c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</row>
    <row r="4" spans="2:16" x14ac:dyDescent="0.25">
      <c r="B4" s="388" t="s">
        <v>54</v>
      </c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</row>
    <row r="5" spans="2:16" x14ac:dyDescent="0.25">
      <c r="B5" s="388" t="s">
        <v>53</v>
      </c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2:16" x14ac:dyDescent="0.25"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</row>
    <row r="7" spans="2:16" x14ac:dyDescent="0.25">
      <c r="B7" s="285" t="s">
        <v>52</v>
      </c>
      <c r="C7" s="286" t="s">
        <v>51</v>
      </c>
      <c r="D7" s="285" t="s">
        <v>50</v>
      </c>
      <c r="E7" s="285" t="s">
        <v>49</v>
      </c>
      <c r="F7" s="285" t="s">
        <v>48</v>
      </c>
      <c r="G7" s="285" t="s">
        <v>47</v>
      </c>
      <c r="H7" s="285" t="s">
        <v>46</v>
      </c>
      <c r="I7" s="285" t="s">
        <v>45</v>
      </c>
      <c r="J7" s="285" t="s">
        <v>44</v>
      </c>
      <c r="K7" s="285" t="s">
        <v>43</v>
      </c>
      <c r="L7" s="285" t="s">
        <v>42</v>
      </c>
      <c r="M7" s="285" t="s">
        <v>41</v>
      </c>
      <c r="N7" s="285" t="s">
        <v>40</v>
      </c>
      <c r="O7" s="285" t="s">
        <v>39</v>
      </c>
      <c r="P7" s="285" t="s">
        <v>0</v>
      </c>
    </row>
    <row r="8" spans="2:16" x14ac:dyDescent="0.25">
      <c r="B8" s="287">
        <v>11</v>
      </c>
      <c r="C8" s="288" t="s">
        <v>38</v>
      </c>
      <c r="D8" s="289">
        <f>SUM(D9:D9)</f>
        <v>4680.55</v>
      </c>
      <c r="E8" s="289">
        <f t="shared" ref="E8:O8" si="0">SUM(E9:E9)</f>
        <v>4346.25</v>
      </c>
      <c r="F8" s="289">
        <f t="shared" si="0"/>
        <v>4646.25</v>
      </c>
      <c r="G8" s="289">
        <f t="shared" si="0"/>
        <v>4146.25</v>
      </c>
      <c r="H8" s="289">
        <f t="shared" si="0"/>
        <v>4446.25</v>
      </c>
      <c r="I8" s="289">
        <f t="shared" si="0"/>
        <v>4346.25</v>
      </c>
      <c r="J8" s="289">
        <f t="shared" si="0"/>
        <v>4646.25</v>
      </c>
      <c r="K8" s="289">
        <f t="shared" si="0"/>
        <v>4446.25</v>
      </c>
      <c r="L8" s="289">
        <f t="shared" si="0"/>
        <v>4446.25</v>
      </c>
      <c r="M8" s="289">
        <f t="shared" si="0"/>
        <v>4546.25</v>
      </c>
      <c r="N8" s="289">
        <f t="shared" si="0"/>
        <v>4546.25</v>
      </c>
      <c r="O8" s="289">
        <f t="shared" si="0"/>
        <v>3311.95</v>
      </c>
      <c r="P8" s="289">
        <f>SUM(P9)</f>
        <v>52555</v>
      </c>
    </row>
    <row r="9" spans="2:16" x14ac:dyDescent="0.25">
      <c r="B9" s="287">
        <v>118</v>
      </c>
      <c r="C9" s="288" t="s">
        <v>37</v>
      </c>
      <c r="D9" s="289">
        <f t="shared" ref="D9:P9" si="1">SUM(D10:D14)</f>
        <v>4680.55</v>
      </c>
      <c r="E9" s="289">
        <f t="shared" si="1"/>
        <v>4346.25</v>
      </c>
      <c r="F9" s="289">
        <f t="shared" si="1"/>
        <v>4646.25</v>
      </c>
      <c r="G9" s="289">
        <f t="shared" si="1"/>
        <v>4146.25</v>
      </c>
      <c r="H9" s="289">
        <f t="shared" si="1"/>
        <v>4446.25</v>
      </c>
      <c r="I9" s="289">
        <f t="shared" si="1"/>
        <v>4346.25</v>
      </c>
      <c r="J9" s="289">
        <f t="shared" si="1"/>
        <v>4646.25</v>
      </c>
      <c r="K9" s="289">
        <f t="shared" si="1"/>
        <v>4446.25</v>
      </c>
      <c r="L9" s="289">
        <f t="shared" si="1"/>
        <v>4446.25</v>
      </c>
      <c r="M9" s="289">
        <f t="shared" si="1"/>
        <v>4546.25</v>
      </c>
      <c r="N9" s="289">
        <f t="shared" si="1"/>
        <v>4546.25</v>
      </c>
      <c r="O9" s="289">
        <f t="shared" si="1"/>
        <v>3311.95</v>
      </c>
      <c r="P9" s="289">
        <f t="shared" si="1"/>
        <v>52555</v>
      </c>
    </row>
    <row r="10" spans="2:16" s="339" customFormat="1" x14ac:dyDescent="0.25">
      <c r="B10" s="335">
        <v>11801</v>
      </c>
      <c r="C10" s="336" t="s">
        <v>36</v>
      </c>
      <c r="D10" s="337">
        <v>900</v>
      </c>
      <c r="E10" s="337">
        <v>600</v>
      </c>
      <c r="F10" s="337">
        <v>900</v>
      </c>
      <c r="G10" s="337">
        <v>900</v>
      </c>
      <c r="H10" s="337">
        <v>700</v>
      </c>
      <c r="I10" s="337">
        <v>600</v>
      </c>
      <c r="J10" s="337">
        <v>900</v>
      </c>
      <c r="K10" s="337">
        <v>700</v>
      </c>
      <c r="L10" s="337">
        <v>700</v>
      </c>
      <c r="M10" s="337">
        <v>800</v>
      </c>
      <c r="N10" s="337">
        <v>800</v>
      </c>
      <c r="O10" s="337">
        <v>600</v>
      </c>
      <c r="P10" s="338">
        <f t="shared" ref="P10:P14" si="2">SUM(D10:O10)</f>
        <v>9100</v>
      </c>
    </row>
    <row r="11" spans="2:16" s="339" customFormat="1" x14ac:dyDescent="0.25">
      <c r="B11" s="335">
        <v>11802</v>
      </c>
      <c r="C11" s="336" t="s">
        <v>35</v>
      </c>
      <c r="D11" s="337">
        <v>150</v>
      </c>
      <c r="E11" s="337">
        <v>150</v>
      </c>
      <c r="F11" s="337">
        <v>150</v>
      </c>
      <c r="G11" s="337">
        <v>150</v>
      </c>
      <c r="H11" s="337">
        <v>150</v>
      </c>
      <c r="I11" s="337">
        <v>150</v>
      </c>
      <c r="J11" s="337">
        <v>150</v>
      </c>
      <c r="K11" s="337">
        <v>150</v>
      </c>
      <c r="L11" s="337">
        <v>150</v>
      </c>
      <c r="M11" s="337">
        <v>150</v>
      </c>
      <c r="N11" s="337">
        <v>150</v>
      </c>
      <c r="O11" s="337">
        <v>150</v>
      </c>
      <c r="P11" s="338">
        <f t="shared" si="2"/>
        <v>1800</v>
      </c>
    </row>
    <row r="12" spans="2:16" s="339" customFormat="1" x14ac:dyDescent="0.25">
      <c r="B12" s="335">
        <v>11804</v>
      </c>
      <c r="C12" s="336" t="s">
        <v>34</v>
      </c>
      <c r="D12" s="337">
        <v>3500</v>
      </c>
      <c r="E12" s="337">
        <v>3500</v>
      </c>
      <c r="F12" s="337">
        <v>3500</v>
      </c>
      <c r="G12" s="337">
        <v>3000</v>
      </c>
      <c r="H12" s="337">
        <v>3500</v>
      </c>
      <c r="I12" s="337">
        <v>3500</v>
      </c>
      <c r="J12" s="337">
        <v>3500</v>
      </c>
      <c r="K12" s="337">
        <v>3500</v>
      </c>
      <c r="L12" s="337">
        <v>3500</v>
      </c>
      <c r="M12" s="337">
        <v>3500</v>
      </c>
      <c r="N12" s="337">
        <v>3500</v>
      </c>
      <c r="O12" s="337">
        <v>2500</v>
      </c>
      <c r="P12" s="338">
        <f t="shared" si="2"/>
        <v>40500</v>
      </c>
    </row>
    <row r="13" spans="2:16" s="339" customFormat="1" x14ac:dyDescent="0.25">
      <c r="B13" s="335">
        <v>11810</v>
      </c>
      <c r="C13" s="336" t="s">
        <v>33</v>
      </c>
      <c r="D13" s="337">
        <v>10.5</v>
      </c>
      <c r="E13" s="337">
        <v>10.5</v>
      </c>
      <c r="F13" s="337">
        <v>10.5</v>
      </c>
      <c r="G13" s="337">
        <v>10.5</v>
      </c>
      <c r="H13" s="337">
        <v>10.5</v>
      </c>
      <c r="I13" s="337">
        <v>10.5</v>
      </c>
      <c r="J13" s="337">
        <v>10.5</v>
      </c>
      <c r="K13" s="337">
        <v>10.5</v>
      </c>
      <c r="L13" s="337">
        <v>10.5</v>
      </c>
      <c r="M13" s="337">
        <v>10.5</v>
      </c>
      <c r="N13" s="337">
        <v>10.5</v>
      </c>
      <c r="O13" s="337">
        <v>10.5</v>
      </c>
      <c r="P13" s="338">
        <f t="shared" si="2"/>
        <v>126</v>
      </c>
    </row>
    <row r="14" spans="2:16" s="339" customFormat="1" x14ac:dyDescent="0.25">
      <c r="B14" s="335">
        <v>11818</v>
      </c>
      <c r="C14" s="336" t="s">
        <v>32</v>
      </c>
      <c r="D14" s="337">
        <v>120.05</v>
      </c>
      <c r="E14" s="337">
        <v>85.75</v>
      </c>
      <c r="F14" s="337">
        <v>85.75</v>
      </c>
      <c r="G14" s="337">
        <v>85.75</v>
      </c>
      <c r="H14" s="337">
        <v>85.75</v>
      </c>
      <c r="I14" s="337">
        <v>85.75</v>
      </c>
      <c r="J14" s="337">
        <v>85.75</v>
      </c>
      <c r="K14" s="337">
        <v>85.75</v>
      </c>
      <c r="L14" s="337">
        <v>85.75</v>
      </c>
      <c r="M14" s="337">
        <v>85.75</v>
      </c>
      <c r="N14" s="337">
        <v>85.75</v>
      </c>
      <c r="O14" s="337">
        <v>51.45</v>
      </c>
      <c r="P14" s="338">
        <f t="shared" si="2"/>
        <v>1029</v>
      </c>
    </row>
    <row r="15" spans="2:16" x14ac:dyDescent="0.25">
      <c r="B15" s="287">
        <v>12</v>
      </c>
      <c r="C15" s="288" t="s">
        <v>31</v>
      </c>
      <c r="D15" s="290">
        <f t="shared" ref="D15:P15" si="3">SUM(D16+D31)</f>
        <v>114260.53</v>
      </c>
      <c r="E15" s="290">
        <f t="shared" si="3"/>
        <v>113092.28</v>
      </c>
      <c r="F15" s="290">
        <f t="shared" si="3"/>
        <v>112901.73999999999</v>
      </c>
      <c r="G15" s="290">
        <f t="shared" si="3"/>
        <v>112814.98999999999</v>
      </c>
      <c r="H15" s="290">
        <f t="shared" si="3"/>
        <v>112529.52</v>
      </c>
      <c r="I15" s="290">
        <f t="shared" si="3"/>
        <v>112672.18</v>
      </c>
      <c r="J15" s="290">
        <f t="shared" si="3"/>
        <v>112633.62999999999</v>
      </c>
      <c r="K15" s="290">
        <f t="shared" si="3"/>
        <v>112048.2</v>
      </c>
      <c r="L15" s="290">
        <f t="shared" si="3"/>
        <v>112569.45</v>
      </c>
      <c r="M15" s="290">
        <f t="shared" si="3"/>
        <v>112820.62</v>
      </c>
      <c r="N15" s="290">
        <f t="shared" si="3"/>
        <v>114245.53</v>
      </c>
      <c r="O15" s="290">
        <f t="shared" si="3"/>
        <v>112727</v>
      </c>
      <c r="P15" s="290">
        <f t="shared" si="3"/>
        <v>1355315.67</v>
      </c>
    </row>
    <row r="16" spans="2:16" x14ac:dyDescent="0.25">
      <c r="B16" s="287">
        <v>121</v>
      </c>
      <c r="C16" s="288" t="s">
        <v>30</v>
      </c>
      <c r="D16" s="290">
        <f t="shared" ref="D16:P16" si="4">SUM(D17:D30)</f>
        <v>111260.53</v>
      </c>
      <c r="E16" s="290">
        <f t="shared" si="4"/>
        <v>111092.28</v>
      </c>
      <c r="F16" s="290">
        <f t="shared" si="4"/>
        <v>110901.73999999999</v>
      </c>
      <c r="G16" s="290">
        <f t="shared" si="4"/>
        <v>110814.98999999999</v>
      </c>
      <c r="H16" s="290">
        <f t="shared" si="4"/>
        <v>110529.52</v>
      </c>
      <c r="I16" s="290">
        <f t="shared" si="4"/>
        <v>110672.18</v>
      </c>
      <c r="J16" s="290">
        <f t="shared" si="4"/>
        <v>110633.62999999999</v>
      </c>
      <c r="K16" s="290">
        <f t="shared" si="4"/>
        <v>110048.2</v>
      </c>
      <c r="L16" s="290">
        <f t="shared" si="4"/>
        <v>110569.45</v>
      </c>
      <c r="M16" s="290">
        <f t="shared" si="4"/>
        <v>110820.62</v>
      </c>
      <c r="N16" s="290">
        <f t="shared" si="4"/>
        <v>112245.53</v>
      </c>
      <c r="O16" s="290">
        <f t="shared" si="4"/>
        <v>110927</v>
      </c>
      <c r="P16" s="290">
        <f t="shared" si="4"/>
        <v>1330515.67</v>
      </c>
    </row>
    <row r="17" spans="2:17" s="339" customFormat="1" x14ac:dyDescent="0.25">
      <c r="B17" s="335">
        <v>12105</v>
      </c>
      <c r="C17" s="336" t="s">
        <v>29</v>
      </c>
      <c r="D17" s="337">
        <v>1800</v>
      </c>
      <c r="E17" s="337">
        <v>1800</v>
      </c>
      <c r="F17" s="337">
        <v>1620</v>
      </c>
      <c r="G17" s="337">
        <v>1485</v>
      </c>
      <c r="H17" s="337">
        <v>1248</v>
      </c>
      <c r="I17" s="337">
        <v>1395</v>
      </c>
      <c r="J17" s="337">
        <v>1350</v>
      </c>
      <c r="K17" s="337">
        <v>806.4</v>
      </c>
      <c r="L17" s="337">
        <v>1305</v>
      </c>
      <c r="M17" s="337">
        <v>1530</v>
      </c>
      <c r="N17" s="337">
        <v>2865</v>
      </c>
      <c r="O17" s="337">
        <v>1653.75</v>
      </c>
      <c r="P17" s="338">
        <f t="shared" ref="P17:P30" si="5">SUM(D17:O17)</f>
        <v>18858.150000000001</v>
      </c>
    </row>
    <row r="18" spans="2:17" s="339" customFormat="1" ht="30" x14ac:dyDescent="0.25">
      <c r="B18" s="335">
        <v>12106</v>
      </c>
      <c r="C18" s="336" t="s">
        <v>28</v>
      </c>
      <c r="D18" s="337">
        <v>94.5</v>
      </c>
      <c r="E18" s="337">
        <v>78.75</v>
      </c>
      <c r="F18" s="337">
        <v>63</v>
      </c>
      <c r="G18" s="337">
        <v>63</v>
      </c>
      <c r="H18" s="337">
        <v>56.7</v>
      </c>
      <c r="I18" s="337">
        <v>59.85</v>
      </c>
      <c r="J18" s="337">
        <v>53.85</v>
      </c>
      <c r="K18" s="337">
        <v>1.8</v>
      </c>
      <c r="L18" s="337">
        <v>47.25</v>
      </c>
      <c r="M18" s="337">
        <v>56.7</v>
      </c>
      <c r="N18" s="337">
        <v>78.75</v>
      </c>
      <c r="O18" s="337">
        <v>78.75</v>
      </c>
      <c r="P18" s="338">
        <f t="shared" si="5"/>
        <v>732.90000000000009</v>
      </c>
    </row>
    <row r="19" spans="2:17" s="339" customFormat="1" x14ac:dyDescent="0.25">
      <c r="B19" s="335">
        <v>12107</v>
      </c>
      <c r="C19" s="336" t="s">
        <v>27</v>
      </c>
      <c r="D19" s="337">
        <v>700</v>
      </c>
      <c r="E19" s="337">
        <v>650</v>
      </c>
      <c r="F19" s="337">
        <v>650</v>
      </c>
      <c r="G19" s="337">
        <v>700</v>
      </c>
      <c r="H19" s="337">
        <v>650</v>
      </c>
      <c r="I19" s="337">
        <v>650</v>
      </c>
      <c r="J19" s="337">
        <v>650</v>
      </c>
      <c r="K19" s="337">
        <v>700</v>
      </c>
      <c r="L19" s="337">
        <v>650</v>
      </c>
      <c r="M19" s="337">
        <v>650</v>
      </c>
      <c r="N19" s="337">
        <v>650</v>
      </c>
      <c r="O19" s="337">
        <v>700</v>
      </c>
      <c r="P19" s="338">
        <f t="shared" si="5"/>
        <v>8000</v>
      </c>
    </row>
    <row r="20" spans="2:17" s="339" customFormat="1" x14ac:dyDescent="0.25">
      <c r="B20" s="335">
        <v>12108</v>
      </c>
      <c r="C20" s="336" t="s">
        <v>26</v>
      </c>
      <c r="D20" s="337">
        <v>10956.04</v>
      </c>
      <c r="E20" s="337">
        <v>10956.04</v>
      </c>
      <c r="F20" s="337">
        <v>10956.04</v>
      </c>
      <c r="G20" s="337">
        <v>10956.04</v>
      </c>
      <c r="H20" s="337">
        <v>10956.04</v>
      </c>
      <c r="I20" s="337">
        <v>10956.04</v>
      </c>
      <c r="J20" s="337">
        <v>10956.04</v>
      </c>
      <c r="K20" s="337">
        <v>10956.04</v>
      </c>
      <c r="L20" s="337">
        <v>10956.04</v>
      </c>
      <c r="M20" s="337">
        <v>10956.04</v>
      </c>
      <c r="N20" s="337">
        <v>10956.04</v>
      </c>
      <c r="O20" s="337">
        <v>10956.04</v>
      </c>
      <c r="P20" s="338">
        <f>SUM(D20:O20)</f>
        <v>131472.48000000004</v>
      </c>
    </row>
    <row r="21" spans="2:17" s="339" customFormat="1" x14ac:dyDescent="0.25">
      <c r="B21" s="335">
        <v>12109</v>
      </c>
      <c r="C21" s="336" t="s">
        <v>25</v>
      </c>
      <c r="D21" s="337">
        <v>37149.919999999998</v>
      </c>
      <c r="E21" s="337">
        <v>37149.919999999998</v>
      </c>
      <c r="F21" s="337">
        <v>37149.919999999998</v>
      </c>
      <c r="G21" s="337">
        <v>37149.919999999998</v>
      </c>
      <c r="H21" s="337">
        <v>37149.919999999998</v>
      </c>
      <c r="I21" s="337">
        <v>37149.919999999998</v>
      </c>
      <c r="J21" s="337">
        <v>37149.919999999998</v>
      </c>
      <c r="K21" s="337">
        <v>37149.919999999998</v>
      </c>
      <c r="L21" s="337">
        <v>37149.919999999998</v>
      </c>
      <c r="M21" s="337">
        <v>37149.919999999998</v>
      </c>
      <c r="N21" s="337">
        <v>37149.919999999998</v>
      </c>
      <c r="O21" s="337">
        <v>37149.919999999998</v>
      </c>
      <c r="P21" s="338">
        <f t="shared" si="5"/>
        <v>445799.03999999986</v>
      </c>
      <c r="Q21" s="382">
        <f>+P21+P22+P23</f>
        <v>454435.91999999987</v>
      </c>
    </row>
    <row r="22" spans="2:17" s="339" customFormat="1" x14ac:dyDescent="0.25">
      <c r="B22" s="335">
        <v>1210902</v>
      </c>
      <c r="C22" s="336" t="s">
        <v>397</v>
      </c>
      <c r="D22" s="337">
        <v>293.49</v>
      </c>
      <c r="E22" s="337">
        <v>293.49</v>
      </c>
      <c r="F22" s="337">
        <v>293.49</v>
      </c>
      <c r="G22" s="337">
        <v>293.49</v>
      </c>
      <c r="H22" s="337">
        <v>293.49</v>
      </c>
      <c r="I22" s="337">
        <v>293.49</v>
      </c>
      <c r="J22" s="337">
        <v>293.49</v>
      </c>
      <c r="K22" s="337">
        <v>293.49</v>
      </c>
      <c r="L22" s="337">
        <v>293.49</v>
      </c>
      <c r="M22" s="337">
        <v>293.49</v>
      </c>
      <c r="N22" s="337">
        <v>293.49</v>
      </c>
      <c r="O22" s="337">
        <v>293.49</v>
      </c>
      <c r="P22" s="338">
        <f t="shared" si="5"/>
        <v>3521.8799999999992</v>
      </c>
    </row>
    <row r="23" spans="2:17" s="339" customFormat="1" x14ac:dyDescent="0.25">
      <c r="B23" s="335">
        <v>1210903</v>
      </c>
      <c r="C23" s="336" t="s">
        <v>398</v>
      </c>
      <c r="D23" s="337">
        <v>426.25</v>
      </c>
      <c r="E23" s="337">
        <v>426.25</v>
      </c>
      <c r="F23" s="337">
        <v>426.25</v>
      </c>
      <c r="G23" s="337">
        <v>426.25</v>
      </c>
      <c r="H23" s="337">
        <v>426.25</v>
      </c>
      <c r="I23" s="337">
        <v>426.25</v>
      </c>
      <c r="J23" s="337">
        <v>426.25</v>
      </c>
      <c r="K23" s="337">
        <v>426.25</v>
      </c>
      <c r="L23" s="337">
        <v>426.25</v>
      </c>
      <c r="M23" s="337">
        <v>426.25</v>
      </c>
      <c r="N23" s="337">
        <v>426.25</v>
      </c>
      <c r="O23" s="337">
        <v>426.25</v>
      </c>
      <c r="P23" s="338">
        <f t="shared" si="5"/>
        <v>5115</v>
      </c>
    </row>
    <row r="24" spans="2:17" s="339" customFormat="1" x14ac:dyDescent="0.25">
      <c r="B24" s="335">
        <v>12110</v>
      </c>
      <c r="C24" s="336" t="s">
        <v>24</v>
      </c>
      <c r="D24" s="337">
        <v>22.86</v>
      </c>
      <c r="E24" s="337">
        <v>22.86</v>
      </c>
      <c r="F24" s="337">
        <v>22.86</v>
      </c>
      <c r="G24" s="337">
        <v>22.86</v>
      </c>
      <c r="H24" s="337">
        <v>22.86</v>
      </c>
      <c r="I24" s="337">
        <v>22.86</v>
      </c>
      <c r="J24" s="337">
        <v>22.86</v>
      </c>
      <c r="K24" s="337">
        <v>22.86</v>
      </c>
      <c r="L24" s="337">
        <v>22.86</v>
      </c>
      <c r="M24" s="337">
        <v>22.86</v>
      </c>
      <c r="N24" s="337">
        <v>22.86</v>
      </c>
      <c r="O24" s="337">
        <v>22.86</v>
      </c>
      <c r="P24" s="338">
        <f t="shared" si="5"/>
        <v>274.32000000000005</v>
      </c>
    </row>
    <row r="25" spans="2:17" x14ac:dyDescent="0.25">
      <c r="B25" s="361">
        <v>12111</v>
      </c>
      <c r="C25" s="195" t="s">
        <v>23</v>
      </c>
      <c r="D25" s="295">
        <v>678.13</v>
      </c>
      <c r="E25" s="295">
        <v>678.13</v>
      </c>
      <c r="F25" s="295">
        <v>678.13</v>
      </c>
      <c r="G25" s="295">
        <v>678.13</v>
      </c>
      <c r="H25" s="295">
        <v>678.13</v>
      </c>
      <c r="I25" s="295">
        <v>678.13</v>
      </c>
      <c r="J25" s="295">
        <v>678.13</v>
      </c>
      <c r="K25" s="295">
        <v>678.13</v>
      </c>
      <c r="L25" s="295">
        <v>678.13</v>
      </c>
      <c r="M25" s="295">
        <v>678.13</v>
      </c>
      <c r="N25" s="295">
        <v>678.13</v>
      </c>
      <c r="O25" s="295">
        <v>678.13</v>
      </c>
      <c r="P25" s="296">
        <f t="shared" si="5"/>
        <v>8137.56</v>
      </c>
    </row>
    <row r="26" spans="2:17" s="339" customFormat="1" x14ac:dyDescent="0.25">
      <c r="B26" s="335">
        <v>12112</v>
      </c>
      <c r="C26" s="336" t="s">
        <v>22</v>
      </c>
      <c r="D26" s="337">
        <v>10916.25</v>
      </c>
      <c r="E26" s="337">
        <v>10916.25</v>
      </c>
      <c r="F26" s="337">
        <v>10916.25</v>
      </c>
      <c r="G26" s="337">
        <v>10916.25</v>
      </c>
      <c r="H26" s="337">
        <v>10916.25</v>
      </c>
      <c r="I26" s="337">
        <v>10916.25</v>
      </c>
      <c r="J26" s="337">
        <v>10916.25</v>
      </c>
      <c r="K26" s="337">
        <v>10916.25</v>
      </c>
      <c r="L26" s="337">
        <v>10916.25</v>
      </c>
      <c r="M26" s="337">
        <v>10916.25</v>
      </c>
      <c r="N26" s="337">
        <v>10916.25</v>
      </c>
      <c r="O26" s="337">
        <v>10916.25</v>
      </c>
      <c r="P26" s="338">
        <f t="shared" si="5"/>
        <v>130995</v>
      </c>
    </row>
    <row r="27" spans="2:17" s="339" customFormat="1" x14ac:dyDescent="0.25">
      <c r="B27" s="335">
        <v>12114</v>
      </c>
      <c r="C27" s="336" t="s">
        <v>21</v>
      </c>
      <c r="D27" s="340">
        <v>5707.76</v>
      </c>
      <c r="E27" s="340">
        <v>5605.26</v>
      </c>
      <c r="F27" s="340">
        <v>5610.47</v>
      </c>
      <c r="G27" s="340">
        <v>5608.72</v>
      </c>
      <c r="H27" s="340">
        <v>5616.55</v>
      </c>
      <c r="I27" s="340">
        <v>5609.06</v>
      </c>
      <c r="J27" s="340">
        <v>5621.51</v>
      </c>
      <c r="K27" s="340">
        <v>5581.73</v>
      </c>
      <c r="L27" s="340">
        <v>5608.93</v>
      </c>
      <c r="M27" s="340">
        <v>5625.65</v>
      </c>
      <c r="N27" s="340">
        <v>5693.51</v>
      </c>
      <c r="O27" s="340">
        <v>5536.23</v>
      </c>
      <c r="P27" s="338">
        <f>SUM(D27:O27)</f>
        <v>67425.38</v>
      </c>
      <c r="Q27" s="346">
        <f>+D27+E27+F27+G27+H27+I27+J27+K27+L27+M27+N27+O27</f>
        <v>67425.38</v>
      </c>
    </row>
    <row r="28" spans="2:17" s="339" customFormat="1" x14ac:dyDescent="0.25">
      <c r="B28" s="335">
        <v>12117</v>
      </c>
      <c r="C28" s="336" t="s">
        <v>20</v>
      </c>
      <c r="D28" s="337">
        <v>6384.08</v>
      </c>
      <c r="E28" s="337">
        <v>6384.08</v>
      </c>
      <c r="F28" s="337">
        <v>6384.08</v>
      </c>
      <c r="G28" s="337">
        <v>6384.08</v>
      </c>
      <c r="H28" s="337">
        <v>6384.08</v>
      </c>
      <c r="I28" s="337">
        <v>6384.08</v>
      </c>
      <c r="J28" s="337">
        <v>6384.08</v>
      </c>
      <c r="K28" s="337">
        <v>6384.08</v>
      </c>
      <c r="L28" s="337">
        <v>6384.08</v>
      </c>
      <c r="M28" s="337">
        <v>6384.08</v>
      </c>
      <c r="N28" s="337">
        <v>6384.08</v>
      </c>
      <c r="O28" s="337">
        <v>6384.08</v>
      </c>
      <c r="P28" s="338">
        <f t="shared" si="5"/>
        <v>76608.960000000006</v>
      </c>
    </row>
    <row r="29" spans="2:17" s="339" customFormat="1" x14ac:dyDescent="0.25">
      <c r="B29" s="335">
        <v>12118</v>
      </c>
      <c r="C29" s="336" t="s">
        <v>19</v>
      </c>
      <c r="D29" s="337">
        <v>36105</v>
      </c>
      <c r="E29" s="337">
        <v>36105</v>
      </c>
      <c r="F29" s="337">
        <v>36105</v>
      </c>
      <c r="G29" s="337">
        <v>36105</v>
      </c>
      <c r="H29" s="337">
        <v>36105</v>
      </c>
      <c r="I29" s="337">
        <v>36105</v>
      </c>
      <c r="J29" s="337">
        <v>36105</v>
      </c>
      <c r="K29" s="337">
        <v>36105</v>
      </c>
      <c r="L29" s="337">
        <v>36105</v>
      </c>
      <c r="M29" s="337">
        <v>36105</v>
      </c>
      <c r="N29" s="337">
        <v>36105</v>
      </c>
      <c r="O29" s="337">
        <v>36105</v>
      </c>
      <c r="P29" s="338">
        <f t="shared" si="5"/>
        <v>433260</v>
      </c>
    </row>
    <row r="30" spans="2:17" s="339" customFormat="1" x14ac:dyDescent="0.25">
      <c r="B30" s="335">
        <v>12119</v>
      </c>
      <c r="C30" s="336" t="s">
        <v>18</v>
      </c>
      <c r="D30" s="337">
        <v>26.25</v>
      </c>
      <c r="E30" s="337">
        <v>26.25</v>
      </c>
      <c r="F30" s="337">
        <v>26.25</v>
      </c>
      <c r="G30" s="337">
        <v>26.25</v>
      </c>
      <c r="H30" s="337">
        <v>26.25</v>
      </c>
      <c r="I30" s="337">
        <v>26.25</v>
      </c>
      <c r="J30" s="337">
        <v>26.25</v>
      </c>
      <c r="K30" s="337">
        <v>26.25</v>
      </c>
      <c r="L30" s="337">
        <v>26.25</v>
      </c>
      <c r="M30" s="337">
        <v>26.25</v>
      </c>
      <c r="N30" s="337">
        <v>26.25</v>
      </c>
      <c r="O30" s="337">
        <v>26.25</v>
      </c>
      <c r="P30" s="338">
        <f t="shared" si="5"/>
        <v>315</v>
      </c>
    </row>
    <row r="31" spans="2:17" x14ac:dyDescent="0.25">
      <c r="B31" s="287">
        <v>122</v>
      </c>
      <c r="C31" s="288" t="s">
        <v>17</v>
      </c>
      <c r="D31" s="290">
        <f>SUM(D32:D32)</f>
        <v>3000</v>
      </c>
      <c r="E31" s="290">
        <f t="shared" ref="E31:O31" si="6">SUM(E32:E32)</f>
        <v>2000</v>
      </c>
      <c r="F31" s="290">
        <f t="shared" si="6"/>
        <v>2000</v>
      </c>
      <c r="G31" s="290">
        <f t="shared" si="6"/>
        <v>2000</v>
      </c>
      <c r="H31" s="290">
        <f>SUM(H32:H32)</f>
        <v>2000</v>
      </c>
      <c r="I31" s="290">
        <f t="shared" si="6"/>
        <v>2000</v>
      </c>
      <c r="J31" s="290">
        <f t="shared" si="6"/>
        <v>2000</v>
      </c>
      <c r="K31" s="290">
        <f t="shared" si="6"/>
        <v>2000</v>
      </c>
      <c r="L31" s="290">
        <f t="shared" si="6"/>
        <v>2000</v>
      </c>
      <c r="M31" s="290">
        <f t="shared" si="6"/>
        <v>2000</v>
      </c>
      <c r="N31" s="290">
        <f t="shared" si="6"/>
        <v>2000</v>
      </c>
      <c r="O31" s="290">
        <f t="shared" si="6"/>
        <v>1800</v>
      </c>
      <c r="P31" s="290">
        <f>SUM(P32:P32)</f>
        <v>24800</v>
      </c>
    </row>
    <row r="32" spans="2:17" s="339" customFormat="1" ht="30" x14ac:dyDescent="0.25">
      <c r="B32" s="335">
        <v>12210</v>
      </c>
      <c r="C32" s="336" t="s">
        <v>16</v>
      </c>
      <c r="D32" s="337">
        <v>3000</v>
      </c>
      <c r="E32" s="337">
        <v>2000</v>
      </c>
      <c r="F32" s="337">
        <v>2000</v>
      </c>
      <c r="G32" s="337">
        <v>2000</v>
      </c>
      <c r="H32" s="337">
        <v>2000</v>
      </c>
      <c r="I32" s="337">
        <v>2000</v>
      </c>
      <c r="J32" s="337">
        <v>2000</v>
      </c>
      <c r="K32" s="337">
        <v>2000</v>
      </c>
      <c r="L32" s="337">
        <v>2000</v>
      </c>
      <c r="M32" s="337">
        <v>2000</v>
      </c>
      <c r="N32" s="337">
        <v>2000</v>
      </c>
      <c r="O32" s="337">
        <v>1800</v>
      </c>
      <c r="P32" s="338">
        <f>SUM(D32:O32)</f>
        <v>24800</v>
      </c>
    </row>
    <row r="33" spans="2:16" ht="31.5" x14ac:dyDescent="0.25">
      <c r="B33" s="287">
        <v>14</v>
      </c>
      <c r="C33" s="288" t="s">
        <v>60</v>
      </c>
      <c r="D33" s="290">
        <f>SUM(D34:D34)</f>
        <v>100</v>
      </c>
      <c r="E33" s="290">
        <f t="shared" ref="E33:O33" si="7">SUM(E34:E34)</f>
        <v>100</v>
      </c>
      <c r="F33" s="290">
        <f t="shared" si="7"/>
        <v>100</v>
      </c>
      <c r="G33" s="290">
        <f t="shared" si="7"/>
        <v>75</v>
      </c>
      <c r="H33" s="290">
        <f t="shared" si="7"/>
        <v>100</v>
      </c>
      <c r="I33" s="290">
        <f t="shared" si="7"/>
        <v>100</v>
      </c>
      <c r="J33" s="290">
        <f t="shared" si="7"/>
        <v>100</v>
      </c>
      <c r="K33" s="290">
        <f t="shared" si="7"/>
        <v>100</v>
      </c>
      <c r="L33" s="290">
        <f t="shared" si="7"/>
        <v>100</v>
      </c>
      <c r="M33" s="290">
        <f t="shared" si="7"/>
        <v>100</v>
      </c>
      <c r="N33" s="290">
        <f t="shared" si="7"/>
        <v>100</v>
      </c>
      <c r="O33" s="290">
        <f t="shared" si="7"/>
        <v>75</v>
      </c>
      <c r="P33" s="290">
        <f>+P34</f>
        <v>1150</v>
      </c>
    </row>
    <row r="34" spans="2:16" ht="31.5" x14ac:dyDescent="0.25">
      <c r="B34" s="287">
        <v>142</v>
      </c>
      <c r="C34" s="288" t="s">
        <v>58</v>
      </c>
      <c r="D34" s="290">
        <f>SUM(D35:D35)</f>
        <v>100</v>
      </c>
      <c r="E34" s="290">
        <f t="shared" ref="E34:O34" si="8">SUM(E35:E35)</f>
        <v>100</v>
      </c>
      <c r="F34" s="290">
        <f t="shared" si="8"/>
        <v>100</v>
      </c>
      <c r="G34" s="290">
        <f t="shared" si="8"/>
        <v>75</v>
      </c>
      <c r="H34" s="290">
        <f t="shared" si="8"/>
        <v>100</v>
      </c>
      <c r="I34" s="290">
        <f t="shared" si="8"/>
        <v>100</v>
      </c>
      <c r="J34" s="290">
        <f t="shared" si="8"/>
        <v>100</v>
      </c>
      <c r="K34" s="290">
        <f t="shared" si="8"/>
        <v>100</v>
      </c>
      <c r="L34" s="290">
        <f t="shared" si="8"/>
        <v>100</v>
      </c>
      <c r="M34" s="290">
        <f t="shared" si="8"/>
        <v>100</v>
      </c>
      <c r="N34" s="290">
        <f t="shared" si="8"/>
        <v>100</v>
      </c>
      <c r="O34" s="290">
        <f t="shared" si="8"/>
        <v>75</v>
      </c>
      <c r="P34" s="290">
        <f>+P35</f>
        <v>1150</v>
      </c>
    </row>
    <row r="35" spans="2:16" s="339" customFormat="1" x14ac:dyDescent="0.25">
      <c r="B35" s="335">
        <v>14201</v>
      </c>
      <c r="C35" s="336" t="s">
        <v>59</v>
      </c>
      <c r="D35" s="337">
        <v>100</v>
      </c>
      <c r="E35" s="337">
        <v>100</v>
      </c>
      <c r="F35" s="337">
        <v>100</v>
      </c>
      <c r="G35" s="337">
        <v>75</v>
      </c>
      <c r="H35" s="337">
        <v>100</v>
      </c>
      <c r="I35" s="337">
        <v>100</v>
      </c>
      <c r="J35" s="337">
        <v>100</v>
      </c>
      <c r="K35" s="337">
        <v>100</v>
      </c>
      <c r="L35" s="337">
        <v>100</v>
      </c>
      <c r="M35" s="337">
        <v>100</v>
      </c>
      <c r="N35" s="337">
        <v>100</v>
      </c>
      <c r="O35" s="337">
        <v>75</v>
      </c>
      <c r="P35" s="338">
        <f>SUM(D35:O35)</f>
        <v>1150</v>
      </c>
    </row>
    <row r="36" spans="2:16" x14ac:dyDescent="0.25">
      <c r="B36" s="287">
        <v>15</v>
      </c>
      <c r="C36" s="288" t="s">
        <v>15</v>
      </c>
      <c r="D36" s="290">
        <f>SUM(D37+D44+D46)</f>
        <v>2924.96</v>
      </c>
      <c r="E36" s="290">
        <f t="shared" ref="E36:O36" si="9">SUM(E37+E44+E46)</f>
        <v>2213.84</v>
      </c>
      <c r="F36" s="290">
        <f t="shared" si="9"/>
        <v>2125.0100000000002</v>
      </c>
      <c r="G36" s="290">
        <f t="shared" si="9"/>
        <v>2687.81</v>
      </c>
      <c r="H36" s="290">
        <f t="shared" si="9"/>
        <v>2825.68</v>
      </c>
      <c r="I36" s="290">
        <f t="shared" si="9"/>
        <v>2619.9700000000003</v>
      </c>
      <c r="J36" s="290">
        <f t="shared" si="9"/>
        <v>2625.68</v>
      </c>
      <c r="K36" s="290">
        <f t="shared" si="9"/>
        <v>2607.1</v>
      </c>
      <c r="L36" s="290">
        <f t="shared" si="9"/>
        <v>2619.9700000000003</v>
      </c>
      <c r="M36" s="290">
        <f t="shared" si="9"/>
        <v>2597.13</v>
      </c>
      <c r="N36" s="290">
        <f t="shared" si="9"/>
        <v>2608.5500000000002</v>
      </c>
      <c r="O36" s="290">
        <f t="shared" si="9"/>
        <v>1959.25</v>
      </c>
      <c r="P36" s="290">
        <f>SUM(P37+P44+P46)</f>
        <v>30414.95</v>
      </c>
    </row>
    <row r="37" spans="2:16" x14ac:dyDescent="0.25">
      <c r="B37" s="287">
        <v>153</v>
      </c>
      <c r="C37" s="288" t="s">
        <v>14</v>
      </c>
      <c r="D37" s="290">
        <f>SUM(D38:D43)</f>
        <v>624.96</v>
      </c>
      <c r="E37" s="290">
        <f>SUM(E38:E43)</f>
        <v>613.84</v>
      </c>
      <c r="F37" s="290">
        <f>SUM(F38:F43)</f>
        <v>525.01</v>
      </c>
      <c r="G37" s="290">
        <f>SUM(G38:G43)</f>
        <v>487.81000000000006</v>
      </c>
      <c r="H37" s="290">
        <f t="shared" ref="H37:O37" si="10">SUM(H38:H43)</f>
        <v>525.67999999999995</v>
      </c>
      <c r="I37" s="290">
        <f t="shared" si="10"/>
        <v>519.97</v>
      </c>
      <c r="J37" s="290">
        <f t="shared" si="10"/>
        <v>525.67999999999995</v>
      </c>
      <c r="K37" s="290">
        <f t="shared" si="10"/>
        <v>507.1</v>
      </c>
      <c r="L37" s="290">
        <f t="shared" si="10"/>
        <v>519.97</v>
      </c>
      <c r="M37" s="290">
        <f t="shared" si="10"/>
        <v>497.13</v>
      </c>
      <c r="N37" s="290">
        <f t="shared" si="10"/>
        <v>508.55</v>
      </c>
      <c r="O37" s="290">
        <f t="shared" si="10"/>
        <v>359.25</v>
      </c>
      <c r="P37" s="290">
        <f>SUM(P38:P43)</f>
        <v>6214.9500000000007</v>
      </c>
    </row>
    <row r="38" spans="2:16" s="339" customFormat="1" x14ac:dyDescent="0.25">
      <c r="B38" s="335">
        <v>15301</v>
      </c>
      <c r="C38" s="336" t="s">
        <v>13</v>
      </c>
      <c r="D38" s="337">
        <v>250</v>
      </c>
      <c r="E38" s="337">
        <v>250</v>
      </c>
      <c r="F38" s="337">
        <v>200</v>
      </c>
      <c r="G38" s="337">
        <v>175</v>
      </c>
      <c r="H38" s="337">
        <v>200</v>
      </c>
      <c r="I38" s="337">
        <v>200</v>
      </c>
      <c r="J38" s="337">
        <v>200</v>
      </c>
      <c r="K38" s="337">
        <v>175</v>
      </c>
      <c r="L38" s="337">
        <v>200</v>
      </c>
      <c r="M38" s="337">
        <v>200</v>
      </c>
      <c r="N38" s="337">
        <v>200</v>
      </c>
      <c r="O38" s="337">
        <v>100</v>
      </c>
      <c r="P38" s="338">
        <f t="shared" ref="P38:P43" si="11">SUM(D38:O38)</f>
        <v>2350</v>
      </c>
    </row>
    <row r="39" spans="2:16" s="339" customFormat="1" x14ac:dyDescent="0.25">
      <c r="B39" s="335">
        <v>15302</v>
      </c>
      <c r="C39" s="336" t="s">
        <v>12</v>
      </c>
      <c r="D39" s="337">
        <v>275</v>
      </c>
      <c r="E39" s="337">
        <v>275</v>
      </c>
      <c r="F39" s="337">
        <v>225</v>
      </c>
      <c r="G39" s="337">
        <v>175</v>
      </c>
      <c r="H39" s="337">
        <v>200</v>
      </c>
      <c r="I39" s="337">
        <v>200</v>
      </c>
      <c r="J39" s="337">
        <v>200</v>
      </c>
      <c r="K39" s="337">
        <v>200</v>
      </c>
      <c r="L39" s="337">
        <v>200</v>
      </c>
      <c r="M39" s="337">
        <v>200</v>
      </c>
      <c r="N39" s="337">
        <v>200</v>
      </c>
      <c r="O39" s="337">
        <v>150</v>
      </c>
      <c r="P39" s="338">
        <f t="shared" si="11"/>
        <v>2500</v>
      </c>
    </row>
    <row r="40" spans="2:16" s="339" customFormat="1" ht="30" x14ac:dyDescent="0.25">
      <c r="B40" s="335">
        <v>15310</v>
      </c>
      <c r="C40" s="336" t="s">
        <v>11</v>
      </c>
      <c r="D40" s="337">
        <v>0</v>
      </c>
      <c r="E40" s="337">
        <v>0</v>
      </c>
      <c r="F40" s="337">
        <v>28.6</v>
      </c>
      <c r="G40" s="337">
        <v>14.3</v>
      </c>
      <c r="H40" s="337">
        <v>14.3</v>
      </c>
      <c r="I40" s="337">
        <v>14.3</v>
      </c>
      <c r="J40" s="337">
        <v>14.3</v>
      </c>
      <c r="K40" s="337">
        <v>14.3</v>
      </c>
      <c r="L40" s="337">
        <v>14.3</v>
      </c>
      <c r="M40" s="337">
        <v>14.3</v>
      </c>
      <c r="N40" s="337">
        <v>14.3</v>
      </c>
      <c r="O40" s="337">
        <v>14.3</v>
      </c>
      <c r="P40" s="338">
        <f t="shared" si="11"/>
        <v>157.30000000000001</v>
      </c>
    </row>
    <row r="41" spans="2:16" s="339" customFormat="1" x14ac:dyDescent="0.25">
      <c r="B41" s="335">
        <v>15312</v>
      </c>
      <c r="C41" s="336" t="s">
        <v>10</v>
      </c>
      <c r="D41" s="337">
        <v>57.1</v>
      </c>
      <c r="E41" s="337">
        <v>45.98</v>
      </c>
      <c r="F41" s="337">
        <v>28.55</v>
      </c>
      <c r="G41" s="337">
        <v>85.65</v>
      </c>
      <c r="H41" s="337">
        <v>68.52</v>
      </c>
      <c r="I41" s="337">
        <v>62.81</v>
      </c>
      <c r="J41" s="337">
        <v>68.52</v>
      </c>
      <c r="K41" s="337">
        <v>79.94</v>
      </c>
      <c r="L41" s="337">
        <v>62.81</v>
      </c>
      <c r="M41" s="337">
        <v>39.97</v>
      </c>
      <c r="N41" s="337">
        <v>51.39</v>
      </c>
      <c r="O41" s="337">
        <v>68.52</v>
      </c>
      <c r="P41" s="338">
        <f t="shared" si="11"/>
        <v>719.76</v>
      </c>
    </row>
    <row r="42" spans="2:16" s="339" customFormat="1" x14ac:dyDescent="0.25">
      <c r="B42" s="335">
        <v>15313</v>
      </c>
      <c r="C42" s="336" t="s">
        <v>9</v>
      </c>
      <c r="D42" s="337">
        <v>20</v>
      </c>
      <c r="E42" s="337">
        <v>20</v>
      </c>
      <c r="F42" s="337">
        <v>20</v>
      </c>
      <c r="G42" s="337">
        <v>15</v>
      </c>
      <c r="H42" s="337">
        <v>20</v>
      </c>
      <c r="I42" s="337">
        <v>20</v>
      </c>
      <c r="J42" s="337">
        <v>20</v>
      </c>
      <c r="K42" s="337">
        <v>15</v>
      </c>
      <c r="L42" s="337">
        <v>20</v>
      </c>
      <c r="M42" s="337">
        <v>20</v>
      </c>
      <c r="N42" s="337">
        <v>20</v>
      </c>
      <c r="O42" s="337">
        <v>15</v>
      </c>
      <c r="P42" s="338">
        <f t="shared" si="11"/>
        <v>225</v>
      </c>
    </row>
    <row r="43" spans="2:16" s="339" customFormat="1" x14ac:dyDescent="0.25">
      <c r="B43" s="335">
        <v>15314</v>
      </c>
      <c r="C43" s="336" t="s">
        <v>8</v>
      </c>
      <c r="D43" s="337">
        <v>22.86</v>
      </c>
      <c r="E43" s="337">
        <v>22.86</v>
      </c>
      <c r="F43" s="337">
        <v>22.86</v>
      </c>
      <c r="G43" s="337">
        <v>22.86</v>
      </c>
      <c r="H43" s="337">
        <v>22.86</v>
      </c>
      <c r="I43" s="337">
        <v>22.86</v>
      </c>
      <c r="J43" s="337">
        <v>22.86</v>
      </c>
      <c r="K43" s="337">
        <v>22.86</v>
      </c>
      <c r="L43" s="337">
        <v>22.86</v>
      </c>
      <c r="M43" s="337">
        <v>22.86</v>
      </c>
      <c r="N43" s="337">
        <v>22.86</v>
      </c>
      <c r="O43" s="337">
        <v>11.43</v>
      </c>
      <c r="P43" s="338">
        <f t="shared" si="11"/>
        <v>262.89000000000004</v>
      </c>
    </row>
    <row r="44" spans="2:16" x14ac:dyDescent="0.25">
      <c r="B44" s="287">
        <v>154</v>
      </c>
      <c r="C44" s="288" t="s">
        <v>7</v>
      </c>
      <c r="D44" s="290">
        <f>SUM(D45:D45)</f>
        <v>1700</v>
      </c>
      <c r="E44" s="290">
        <f t="shared" ref="E44:O44" si="12">SUM(E45:E45)</f>
        <v>1000</v>
      </c>
      <c r="F44" s="290">
        <f t="shared" si="12"/>
        <v>1000</v>
      </c>
      <c r="G44" s="290">
        <f t="shared" si="12"/>
        <v>1600</v>
      </c>
      <c r="H44" s="290">
        <f t="shared" si="12"/>
        <v>1700</v>
      </c>
      <c r="I44" s="290">
        <f t="shared" si="12"/>
        <v>1500</v>
      </c>
      <c r="J44" s="290">
        <f t="shared" si="12"/>
        <v>1500</v>
      </c>
      <c r="K44" s="290">
        <f t="shared" si="12"/>
        <v>1500</v>
      </c>
      <c r="L44" s="290">
        <f t="shared" si="12"/>
        <v>1500</v>
      </c>
      <c r="M44" s="290">
        <f t="shared" si="12"/>
        <v>1500</v>
      </c>
      <c r="N44" s="290">
        <f t="shared" si="12"/>
        <v>1500</v>
      </c>
      <c r="O44" s="290">
        <f t="shared" si="12"/>
        <v>1000</v>
      </c>
      <c r="P44" s="290">
        <f>SUM(P45:P45)</f>
        <v>17000</v>
      </c>
    </row>
    <row r="45" spans="2:16" s="339" customFormat="1" ht="30" x14ac:dyDescent="0.25">
      <c r="B45" s="335">
        <v>15402</v>
      </c>
      <c r="C45" s="336" t="s">
        <v>6</v>
      </c>
      <c r="D45" s="337">
        <v>1700</v>
      </c>
      <c r="E45" s="337">
        <v>1000</v>
      </c>
      <c r="F45" s="337">
        <v>1000</v>
      </c>
      <c r="G45" s="337">
        <v>1600</v>
      </c>
      <c r="H45" s="337">
        <v>1700</v>
      </c>
      <c r="I45" s="337">
        <v>1500</v>
      </c>
      <c r="J45" s="337">
        <v>1500</v>
      </c>
      <c r="K45" s="337">
        <v>1500</v>
      </c>
      <c r="L45" s="337">
        <v>1500</v>
      </c>
      <c r="M45" s="337">
        <v>1500</v>
      </c>
      <c r="N45" s="337">
        <v>1500</v>
      </c>
      <c r="O45" s="337">
        <v>1000</v>
      </c>
      <c r="P45" s="338">
        <f>SUM(D45:O45)</f>
        <v>17000</v>
      </c>
    </row>
    <row r="46" spans="2:16" ht="31.5" x14ac:dyDescent="0.25">
      <c r="B46" s="287">
        <v>157</v>
      </c>
      <c r="C46" s="288" t="s">
        <v>5</v>
      </c>
      <c r="D46" s="290">
        <f>SUM(D47:D47)</f>
        <v>600</v>
      </c>
      <c r="E46" s="290">
        <f t="shared" ref="E46:O46" si="13">SUM(E47:E47)</f>
        <v>600</v>
      </c>
      <c r="F46" s="290">
        <f t="shared" si="13"/>
        <v>600</v>
      </c>
      <c r="G46" s="290">
        <f t="shared" si="13"/>
        <v>600</v>
      </c>
      <c r="H46" s="290">
        <f t="shared" si="13"/>
        <v>600</v>
      </c>
      <c r="I46" s="290">
        <f t="shared" si="13"/>
        <v>600</v>
      </c>
      <c r="J46" s="290">
        <f t="shared" si="13"/>
        <v>600</v>
      </c>
      <c r="K46" s="290">
        <f>SUM(K47:K47)</f>
        <v>600</v>
      </c>
      <c r="L46" s="290">
        <f t="shared" si="13"/>
        <v>600</v>
      </c>
      <c r="M46" s="290">
        <f t="shared" si="13"/>
        <v>600</v>
      </c>
      <c r="N46" s="290">
        <f t="shared" si="13"/>
        <v>600</v>
      </c>
      <c r="O46" s="290">
        <f t="shared" si="13"/>
        <v>600</v>
      </c>
      <c r="P46" s="290">
        <f>SUM(P47:P47)</f>
        <v>7200</v>
      </c>
    </row>
    <row r="47" spans="2:16" s="339" customFormat="1" x14ac:dyDescent="0.25">
      <c r="B47" s="335">
        <v>15799</v>
      </c>
      <c r="C47" s="336" t="s">
        <v>4</v>
      </c>
      <c r="D47" s="337">
        <v>600</v>
      </c>
      <c r="E47" s="337">
        <v>600</v>
      </c>
      <c r="F47" s="337">
        <v>600</v>
      </c>
      <c r="G47" s="337">
        <v>600</v>
      </c>
      <c r="H47" s="337">
        <v>600</v>
      </c>
      <c r="I47" s="337">
        <v>600</v>
      </c>
      <c r="J47" s="337">
        <v>600</v>
      </c>
      <c r="K47" s="337">
        <v>600</v>
      </c>
      <c r="L47" s="337">
        <v>600</v>
      </c>
      <c r="M47" s="337">
        <v>600</v>
      </c>
      <c r="N47" s="337">
        <v>600</v>
      </c>
      <c r="O47" s="337">
        <v>600</v>
      </c>
      <c r="P47" s="338">
        <f>SUM(D47:O47)</f>
        <v>7200</v>
      </c>
    </row>
    <row r="48" spans="2:16" x14ac:dyDescent="0.25">
      <c r="B48" s="291">
        <v>32</v>
      </c>
      <c r="C48" s="292" t="s">
        <v>3</v>
      </c>
      <c r="D48" s="290">
        <f>SUM(D49:D49)</f>
        <v>30000</v>
      </c>
      <c r="E48" s="290">
        <f t="shared" ref="E48:O48" si="14">SUM(E49:E49)</f>
        <v>25000</v>
      </c>
      <c r="F48" s="290">
        <f t="shared" si="14"/>
        <v>20000</v>
      </c>
      <c r="G48" s="290">
        <f t="shared" si="14"/>
        <v>15000</v>
      </c>
      <c r="H48" s="290">
        <f t="shared" si="14"/>
        <v>20000</v>
      </c>
      <c r="I48" s="290">
        <f t="shared" si="14"/>
        <v>20000</v>
      </c>
      <c r="J48" s="290">
        <f t="shared" si="14"/>
        <v>20000</v>
      </c>
      <c r="K48" s="290">
        <f t="shared" si="14"/>
        <v>15000</v>
      </c>
      <c r="L48" s="290">
        <f t="shared" si="14"/>
        <v>20000</v>
      </c>
      <c r="M48" s="290">
        <f t="shared" si="14"/>
        <v>20000</v>
      </c>
      <c r="N48" s="290">
        <f t="shared" si="14"/>
        <v>20000</v>
      </c>
      <c r="O48" s="290">
        <f t="shared" si="14"/>
        <v>12000</v>
      </c>
      <c r="P48" s="290">
        <f>+P49</f>
        <v>237000</v>
      </c>
    </row>
    <row r="49" spans="2:16" ht="31.5" x14ac:dyDescent="0.25">
      <c r="B49" s="291">
        <v>322</v>
      </c>
      <c r="C49" s="292" t="s">
        <v>2</v>
      </c>
      <c r="D49" s="290">
        <f>SUM(D50:D50)</f>
        <v>30000</v>
      </c>
      <c r="E49" s="290">
        <f t="shared" ref="E49:O49" si="15">SUM(E50:E50)</f>
        <v>25000</v>
      </c>
      <c r="F49" s="290">
        <f t="shared" si="15"/>
        <v>20000</v>
      </c>
      <c r="G49" s="290">
        <f t="shared" si="15"/>
        <v>15000</v>
      </c>
      <c r="H49" s="290">
        <f t="shared" si="15"/>
        <v>20000</v>
      </c>
      <c r="I49" s="290">
        <f t="shared" si="15"/>
        <v>20000</v>
      </c>
      <c r="J49" s="290">
        <f t="shared" si="15"/>
        <v>20000</v>
      </c>
      <c r="K49" s="290">
        <f t="shared" si="15"/>
        <v>15000</v>
      </c>
      <c r="L49" s="290">
        <f t="shared" si="15"/>
        <v>20000</v>
      </c>
      <c r="M49" s="290">
        <f t="shared" si="15"/>
        <v>20000</v>
      </c>
      <c r="N49" s="290">
        <f t="shared" si="15"/>
        <v>20000</v>
      </c>
      <c r="O49" s="290">
        <f t="shared" si="15"/>
        <v>12000</v>
      </c>
      <c r="P49" s="290">
        <f>+P50</f>
        <v>237000</v>
      </c>
    </row>
    <row r="50" spans="2:16" s="339" customFormat="1" ht="30" x14ac:dyDescent="0.25">
      <c r="B50" s="335">
        <v>32201</v>
      </c>
      <c r="C50" s="336" t="s">
        <v>1</v>
      </c>
      <c r="D50" s="337">
        <v>30000</v>
      </c>
      <c r="E50" s="337">
        <v>25000</v>
      </c>
      <c r="F50" s="337">
        <v>20000</v>
      </c>
      <c r="G50" s="337">
        <v>15000</v>
      </c>
      <c r="H50" s="337">
        <v>20000</v>
      </c>
      <c r="I50" s="337">
        <v>20000</v>
      </c>
      <c r="J50" s="337">
        <v>20000</v>
      </c>
      <c r="K50" s="337">
        <v>15000</v>
      </c>
      <c r="L50" s="337">
        <v>20000</v>
      </c>
      <c r="M50" s="337">
        <v>20000</v>
      </c>
      <c r="N50" s="337">
        <v>20000</v>
      </c>
      <c r="O50" s="337">
        <v>12000</v>
      </c>
      <c r="P50" s="338">
        <f>SUM(D50:O50)</f>
        <v>237000</v>
      </c>
    </row>
    <row r="51" spans="2:16" x14ac:dyDescent="0.25">
      <c r="B51" s="293"/>
      <c r="C51" s="294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6"/>
    </row>
    <row r="52" spans="2:16" x14ac:dyDescent="0.25">
      <c r="B52" s="389" t="s">
        <v>0</v>
      </c>
      <c r="C52" s="390"/>
      <c r="D52" s="297">
        <f t="shared" ref="D52:O52" si="16">SUM(D8+D15+D33+D36+D48)</f>
        <v>151966.04</v>
      </c>
      <c r="E52" s="297">
        <f t="shared" si="16"/>
        <v>144752.37</v>
      </c>
      <c r="F52" s="297">
        <f t="shared" si="16"/>
        <v>139773</v>
      </c>
      <c r="G52" s="297">
        <f t="shared" si="16"/>
        <v>134724.04999999999</v>
      </c>
      <c r="H52" s="297">
        <f t="shared" si="16"/>
        <v>139901.45000000001</v>
      </c>
      <c r="I52" s="297">
        <f t="shared" si="16"/>
        <v>139738.4</v>
      </c>
      <c r="J52" s="297">
        <f t="shared" si="16"/>
        <v>140005.56</v>
      </c>
      <c r="K52" s="297">
        <f t="shared" si="16"/>
        <v>134201.54999999999</v>
      </c>
      <c r="L52" s="297">
        <f t="shared" si="16"/>
        <v>139735.66999999998</v>
      </c>
      <c r="M52" s="297">
        <f t="shared" si="16"/>
        <v>140064</v>
      </c>
      <c r="N52" s="297">
        <f t="shared" si="16"/>
        <v>141500.33000000002</v>
      </c>
      <c r="O52" s="297">
        <f t="shared" si="16"/>
        <v>130073.2</v>
      </c>
      <c r="P52" s="298">
        <f>SUM(P8+P15+P36+P33+P50)</f>
        <v>1676435.6199999999</v>
      </c>
    </row>
    <row r="53" spans="2:16" x14ac:dyDescent="0.25">
      <c r="B53" s="299"/>
      <c r="C53" s="299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1"/>
    </row>
    <row r="54" spans="2:16" x14ac:dyDescent="0.25">
      <c r="B54" s="287"/>
      <c r="C54" s="302" t="s">
        <v>61</v>
      </c>
      <c r="D54" s="297">
        <f t="shared" ref="D54:O54" si="17">SUM(D8+D15+D33+D36+D48)</f>
        <v>151966.04</v>
      </c>
      <c r="E54" s="297">
        <f t="shared" si="17"/>
        <v>144752.37</v>
      </c>
      <c r="F54" s="297">
        <f t="shared" si="17"/>
        <v>139773</v>
      </c>
      <c r="G54" s="297">
        <f t="shared" si="17"/>
        <v>134724.04999999999</v>
      </c>
      <c r="H54" s="297">
        <f t="shared" si="17"/>
        <v>139901.45000000001</v>
      </c>
      <c r="I54" s="297">
        <f t="shared" si="17"/>
        <v>139738.4</v>
      </c>
      <c r="J54" s="297">
        <f t="shared" si="17"/>
        <v>140005.56</v>
      </c>
      <c r="K54" s="297">
        <f t="shared" si="17"/>
        <v>134201.54999999999</v>
      </c>
      <c r="L54" s="297">
        <f t="shared" si="17"/>
        <v>139735.66999999998</v>
      </c>
      <c r="M54" s="297">
        <f t="shared" si="17"/>
        <v>140064</v>
      </c>
      <c r="N54" s="297">
        <f t="shared" si="17"/>
        <v>141500.33000000002</v>
      </c>
      <c r="O54" s="297">
        <f t="shared" si="17"/>
        <v>130073.2</v>
      </c>
      <c r="P54" s="298">
        <f>SUM(D54:O54)</f>
        <v>1676435.6199999999</v>
      </c>
    </row>
    <row r="55" spans="2:16" x14ac:dyDescent="0.25">
      <c r="B55" s="287"/>
      <c r="C55" s="302" t="s">
        <v>62</v>
      </c>
      <c r="D55" s="297">
        <f t="shared" ref="D55:O55" si="18">SUM(D9+D16+D31+D34+D37+D44+D46+D49)</f>
        <v>151966.04</v>
      </c>
      <c r="E55" s="297">
        <f t="shared" si="18"/>
        <v>144752.37</v>
      </c>
      <c r="F55" s="297">
        <f t="shared" si="18"/>
        <v>139773</v>
      </c>
      <c r="G55" s="297">
        <f t="shared" si="18"/>
        <v>134724.04999999999</v>
      </c>
      <c r="H55" s="297">
        <f t="shared" si="18"/>
        <v>139901.45000000001</v>
      </c>
      <c r="I55" s="297">
        <f t="shared" si="18"/>
        <v>139738.4</v>
      </c>
      <c r="J55" s="297">
        <f t="shared" si="18"/>
        <v>140005.56</v>
      </c>
      <c r="K55" s="297">
        <f t="shared" si="18"/>
        <v>134201.54999999999</v>
      </c>
      <c r="L55" s="297">
        <f t="shared" si="18"/>
        <v>139735.66999999998</v>
      </c>
      <c r="M55" s="297">
        <f t="shared" si="18"/>
        <v>140064</v>
      </c>
      <c r="N55" s="297">
        <f t="shared" si="18"/>
        <v>141500.33000000002</v>
      </c>
      <c r="O55" s="297">
        <f t="shared" si="18"/>
        <v>130073.2</v>
      </c>
      <c r="P55" s="298">
        <f>SUM(D55:O55)</f>
        <v>1676435.6199999999</v>
      </c>
    </row>
    <row r="56" spans="2:16" ht="16.5" customHeight="1" x14ac:dyDescent="0.25">
      <c r="B56" s="287"/>
      <c r="C56" s="302" t="s">
        <v>63</v>
      </c>
      <c r="D56" s="297">
        <f t="shared" ref="D56:O56" si="19">SUM(D10+D11+D12+D13+D14+D17+D18+D19+D20+D21+D22+D23+D24+D25+D26+D27+D28+D29+D30+D32+D35+D38+D39+D40+D41+D42+D43+D45+D47+D50)</f>
        <v>151966.03999999998</v>
      </c>
      <c r="E56" s="297">
        <f t="shared" si="19"/>
        <v>144752.37</v>
      </c>
      <c r="F56" s="297">
        <f t="shared" si="19"/>
        <v>139773</v>
      </c>
      <c r="G56" s="297">
        <f t="shared" si="19"/>
        <v>134724.04999999999</v>
      </c>
      <c r="H56" s="297">
        <f t="shared" si="19"/>
        <v>139901.45000000001</v>
      </c>
      <c r="I56" s="297">
        <f t="shared" si="19"/>
        <v>139738.4</v>
      </c>
      <c r="J56" s="297">
        <f t="shared" si="19"/>
        <v>140005.56</v>
      </c>
      <c r="K56" s="297">
        <f t="shared" si="19"/>
        <v>134201.54999999999</v>
      </c>
      <c r="L56" s="297">
        <f t="shared" si="19"/>
        <v>139735.66999999998</v>
      </c>
      <c r="M56" s="297">
        <f t="shared" si="19"/>
        <v>140064</v>
      </c>
      <c r="N56" s="297">
        <f t="shared" si="19"/>
        <v>141500.33000000002</v>
      </c>
      <c r="O56" s="297">
        <f t="shared" si="19"/>
        <v>130073.2</v>
      </c>
      <c r="P56" s="298">
        <f>SUM(D56:O56)</f>
        <v>1676435.6199999999</v>
      </c>
    </row>
  </sheetData>
  <mergeCells count="5">
    <mergeCell ref="B2:P2"/>
    <mergeCell ref="B3:P3"/>
    <mergeCell ref="B4:P4"/>
    <mergeCell ref="B5:P5"/>
    <mergeCell ref="B52:C52"/>
  </mergeCells>
  <pageMargins left="0.70866141732283472" right="0.70866141732283472" top="0.74803149606299213" bottom="0.74803149606299213" header="0.31496062992125984" footer="0.31496062992125984"/>
  <pageSetup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D25"/>
  <sheetViews>
    <sheetView topLeftCell="A13" workbookViewId="0">
      <selection activeCell="G13" sqref="G13"/>
    </sheetView>
  </sheetViews>
  <sheetFormatPr baseColWidth="10" defaultRowHeight="15" x14ac:dyDescent="0.25"/>
  <cols>
    <col min="1" max="2" width="5" style="1" customWidth="1"/>
    <col min="3" max="3" width="74.5703125" style="1" customWidth="1"/>
    <col min="4" max="4" width="18.7109375" style="1" customWidth="1"/>
    <col min="5" max="16384" width="11.42578125" style="1"/>
  </cols>
  <sheetData>
    <row r="3" spans="2:4" ht="15.75" x14ac:dyDescent="0.25">
      <c r="B3" s="415" t="s">
        <v>412</v>
      </c>
      <c r="C3" s="416"/>
      <c r="D3" s="417"/>
    </row>
    <row r="4" spans="2:4" ht="15.75" x14ac:dyDescent="0.25">
      <c r="B4" s="10"/>
      <c r="C4" s="21" t="s">
        <v>218</v>
      </c>
      <c r="D4" s="12">
        <f>'PRESU INGRESOS'!D54</f>
        <v>2122267.7599999998</v>
      </c>
    </row>
    <row r="5" spans="2:4" ht="15.75" x14ac:dyDescent="0.25">
      <c r="B5" s="10"/>
      <c r="C5" s="11" t="s">
        <v>219</v>
      </c>
      <c r="D5" s="198">
        <f>+'PRESU INGRESOS'!D61+'PRESU INGRESOS'!D63</f>
        <v>232605.2</v>
      </c>
    </row>
    <row r="6" spans="2:4" ht="15.75" x14ac:dyDescent="0.25">
      <c r="B6" s="10"/>
      <c r="C6" s="11" t="s">
        <v>420</v>
      </c>
      <c r="D6" s="12">
        <v>166656.04999999999</v>
      </c>
    </row>
    <row r="7" spans="2:4" ht="15.75" x14ac:dyDescent="0.25">
      <c r="B7" s="10"/>
      <c r="C7" s="11" t="s">
        <v>203</v>
      </c>
      <c r="D7" s="12">
        <f>SUM(D4:D6)</f>
        <v>2521529.0099999998</v>
      </c>
    </row>
    <row r="8" spans="2:4" ht="15.75" x14ac:dyDescent="0.25">
      <c r="B8" s="13"/>
      <c r="C8" s="14"/>
      <c r="D8" s="13"/>
    </row>
    <row r="9" spans="2:4" ht="15.75" x14ac:dyDescent="0.25">
      <c r="B9" s="5" t="s">
        <v>204</v>
      </c>
      <c r="C9" s="5" t="s">
        <v>220</v>
      </c>
      <c r="D9" s="5" t="s">
        <v>221</v>
      </c>
    </row>
    <row r="10" spans="2:4" s="345" customFormat="1" ht="15.75" x14ac:dyDescent="0.25">
      <c r="B10" s="343">
        <v>1</v>
      </c>
      <c r="C10" s="344" t="s">
        <v>222</v>
      </c>
      <c r="D10" s="342">
        <f>'FODES 75% GASTO'!D43</f>
        <v>1405498.74</v>
      </c>
    </row>
    <row r="11" spans="2:4" ht="46.5" customHeight="1" x14ac:dyDescent="0.25">
      <c r="B11" s="176">
        <v>2</v>
      </c>
      <c r="C11" s="177" t="s">
        <v>423</v>
      </c>
      <c r="D11" s="379">
        <v>314091.94</v>
      </c>
    </row>
    <row r="12" spans="2:4" ht="15.75" x14ac:dyDescent="0.25">
      <c r="B12" s="176">
        <v>3</v>
      </c>
      <c r="C12" s="177" t="s">
        <v>424</v>
      </c>
      <c r="D12" s="380">
        <v>185000</v>
      </c>
    </row>
    <row r="13" spans="2:4" ht="31.5" x14ac:dyDescent="0.25">
      <c r="B13" s="343">
        <v>4</v>
      </c>
      <c r="C13" s="177" t="s">
        <v>425</v>
      </c>
      <c r="D13" s="380">
        <v>115672.33</v>
      </c>
    </row>
    <row r="14" spans="2:4" ht="31.5" x14ac:dyDescent="0.25">
      <c r="B14" s="176">
        <v>5</v>
      </c>
      <c r="C14" s="177" t="s">
        <v>426</v>
      </c>
      <c r="D14" s="380">
        <v>76865</v>
      </c>
    </row>
    <row r="15" spans="2:4" ht="47.25" x14ac:dyDescent="0.25">
      <c r="B15" s="176">
        <v>6</v>
      </c>
      <c r="C15" s="177" t="s">
        <v>427</v>
      </c>
      <c r="D15" s="380">
        <v>61400</v>
      </c>
    </row>
    <row r="16" spans="2:4" ht="47.25" x14ac:dyDescent="0.25">
      <c r="B16" s="176">
        <v>7</v>
      </c>
      <c r="C16" s="177" t="s">
        <v>444</v>
      </c>
      <c r="D16" s="386">
        <v>30000</v>
      </c>
    </row>
    <row r="17" spans="2:4" ht="15.75" x14ac:dyDescent="0.25">
      <c r="B17" s="343">
        <v>8</v>
      </c>
      <c r="C17" s="177" t="s">
        <v>443</v>
      </c>
      <c r="D17" s="380">
        <v>85680</v>
      </c>
    </row>
    <row r="18" spans="2:4" ht="47.25" x14ac:dyDescent="0.25">
      <c r="B18" s="176">
        <v>9</v>
      </c>
      <c r="C18" s="177" t="s">
        <v>428</v>
      </c>
      <c r="D18" s="380">
        <v>56400</v>
      </c>
    </row>
    <row r="19" spans="2:4" ht="31.5" x14ac:dyDescent="0.25">
      <c r="B19" s="176">
        <v>10</v>
      </c>
      <c r="C19" s="177" t="s">
        <v>421</v>
      </c>
      <c r="D19" s="386">
        <v>24111</v>
      </c>
    </row>
    <row r="20" spans="2:4" ht="31.5" x14ac:dyDescent="0.25">
      <c r="B20" s="343">
        <v>11</v>
      </c>
      <c r="C20" s="177" t="s">
        <v>429</v>
      </c>
      <c r="D20" s="386">
        <v>96810</v>
      </c>
    </row>
    <row r="21" spans="2:4" ht="31.5" x14ac:dyDescent="0.25">
      <c r="B21" s="176">
        <v>12</v>
      </c>
      <c r="C21" s="177" t="s">
        <v>430</v>
      </c>
      <c r="D21" s="380">
        <v>60000</v>
      </c>
    </row>
    <row r="22" spans="2:4" ht="31.5" x14ac:dyDescent="0.25">
      <c r="B22" s="176">
        <v>13</v>
      </c>
      <c r="C22" s="177" t="s">
        <v>422</v>
      </c>
      <c r="D22" s="386">
        <v>10000</v>
      </c>
    </row>
    <row r="23" spans="2:4" ht="18.75" x14ac:dyDescent="0.3">
      <c r="B23" s="178"/>
      <c r="C23" s="179"/>
      <c r="D23" s="180">
        <f>SUM(D10:D22)</f>
        <v>2521529.0099999998</v>
      </c>
    </row>
    <row r="25" spans="2:4" x14ac:dyDescent="0.25">
      <c r="D25" s="370">
        <f>+D7-D23</f>
        <v>0</v>
      </c>
    </row>
  </sheetData>
  <mergeCells count="1">
    <mergeCell ref="B3:D3"/>
  </mergeCells>
  <pageMargins left="0.70866141732283472" right="0.70866141732283472" top="0.74803149606299213" bottom="0.74803149606299213" header="0.31496062992125984" footer="0.31496062992125984"/>
  <pageSetup scale="85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D13"/>
  <sheetViews>
    <sheetView workbookViewId="0">
      <selection activeCell="C20" sqref="C20"/>
    </sheetView>
  </sheetViews>
  <sheetFormatPr baseColWidth="10" defaultRowHeight="15" x14ac:dyDescent="0.25"/>
  <cols>
    <col min="1" max="2" width="5" style="1" customWidth="1"/>
    <col min="3" max="3" width="74.5703125" style="1" customWidth="1"/>
    <col min="4" max="4" width="18.7109375" style="1" customWidth="1"/>
    <col min="5" max="16384" width="11.42578125" style="1"/>
  </cols>
  <sheetData>
    <row r="3" spans="2:4" ht="15.75" x14ac:dyDescent="0.25">
      <c r="B3" s="415" t="s">
        <v>436</v>
      </c>
      <c r="C3" s="416"/>
      <c r="D3" s="417"/>
    </row>
    <row r="4" spans="2:4" ht="15.75" x14ac:dyDescent="0.25">
      <c r="B4" s="10"/>
      <c r="C4" s="21" t="s">
        <v>437</v>
      </c>
      <c r="D4" s="12">
        <f>'PRESU INGRESOS'!D55</f>
        <v>710484.67</v>
      </c>
    </row>
    <row r="5" spans="2:4" ht="15.75" x14ac:dyDescent="0.25">
      <c r="B5" s="10"/>
      <c r="C5" s="11" t="s">
        <v>438</v>
      </c>
      <c r="D5" s="198">
        <v>0</v>
      </c>
    </row>
    <row r="6" spans="2:4" ht="15.75" x14ac:dyDescent="0.25">
      <c r="B6" s="10"/>
      <c r="C6" s="11" t="s">
        <v>420</v>
      </c>
      <c r="D6" s="12">
        <v>0</v>
      </c>
    </row>
    <row r="7" spans="2:4" ht="15.75" x14ac:dyDescent="0.25">
      <c r="B7" s="10"/>
      <c r="C7" s="11" t="s">
        <v>203</v>
      </c>
      <c r="D7" s="12">
        <f>SUM(D4:D6)</f>
        <v>710484.67</v>
      </c>
    </row>
    <row r="8" spans="2:4" ht="15.75" x14ac:dyDescent="0.25">
      <c r="B8" s="13"/>
      <c r="C8" s="14"/>
      <c r="D8" s="13"/>
    </row>
    <row r="9" spans="2:4" ht="15.75" x14ac:dyDescent="0.25">
      <c r="B9" s="5" t="s">
        <v>204</v>
      </c>
      <c r="C9" s="5" t="s">
        <v>220</v>
      </c>
      <c r="D9" s="5" t="s">
        <v>221</v>
      </c>
    </row>
    <row r="10" spans="2:4" s="345" customFormat="1" ht="15.75" x14ac:dyDescent="0.25">
      <c r="B10" s="343">
        <v>1</v>
      </c>
      <c r="C10" s="344" t="s">
        <v>439</v>
      </c>
      <c r="D10" s="342">
        <f>'FODES 2% GASTO'!D34</f>
        <v>710484.67</v>
      </c>
    </row>
    <row r="11" spans="2:4" ht="18.75" x14ac:dyDescent="0.3">
      <c r="B11" s="178"/>
      <c r="C11" s="179"/>
      <c r="D11" s="180">
        <f>SUM(D10:D10)</f>
        <v>710484.67</v>
      </c>
    </row>
    <row r="13" spans="2:4" x14ac:dyDescent="0.25">
      <c r="D13" s="370">
        <f>+D7-D11</f>
        <v>0</v>
      </c>
    </row>
  </sheetData>
  <mergeCells count="1">
    <mergeCell ref="B3:D3"/>
  </mergeCells>
  <pageMargins left="0.70866141732283472" right="0.70866141732283472" top="0.74803149606299213" bottom="0.74803149606299213" header="0.31496062992125984" footer="0.31496062992125984"/>
  <pageSetup scale="85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D10"/>
  <sheetViews>
    <sheetView workbookViewId="0">
      <selection activeCell="H23" sqref="H23"/>
    </sheetView>
  </sheetViews>
  <sheetFormatPr baseColWidth="10" defaultRowHeight="15" x14ac:dyDescent="0.25"/>
  <cols>
    <col min="1" max="2" width="11.42578125" style="19"/>
    <col min="3" max="3" width="46" style="19" customWidth="1"/>
    <col min="4" max="4" width="16.140625" style="19" customWidth="1"/>
    <col min="5" max="16384" width="11.42578125" style="19"/>
  </cols>
  <sheetData>
    <row r="2" spans="2:4" ht="15.75" x14ac:dyDescent="0.25">
      <c r="B2" s="415" t="s">
        <v>413</v>
      </c>
      <c r="C2" s="416"/>
      <c r="D2" s="417"/>
    </row>
    <row r="3" spans="2:4" ht="15.75" x14ac:dyDescent="0.25">
      <c r="B3" s="10"/>
      <c r="C3" s="21" t="s">
        <v>385</v>
      </c>
      <c r="D3" s="12"/>
    </row>
    <row r="4" spans="2:4" ht="15.75" x14ac:dyDescent="0.25">
      <c r="B4" s="10"/>
      <c r="C4" s="11" t="s">
        <v>386</v>
      </c>
      <c r="D4" s="198">
        <f>+'PRESU INGRESOS'!D64</f>
        <v>52595.92</v>
      </c>
    </row>
    <row r="5" spans="2:4" ht="15.75" x14ac:dyDescent="0.25">
      <c r="B5" s="10"/>
      <c r="C5" s="11" t="s">
        <v>203</v>
      </c>
      <c r="D5" s="12">
        <f>SUM(D3:D4)</f>
        <v>52595.92</v>
      </c>
    </row>
    <row r="6" spans="2:4" ht="15.75" x14ac:dyDescent="0.25">
      <c r="B6" s="13"/>
      <c r="C6" s="14"/>
      <c r="D6" s="13"/>
    </row>
    <row r="7" spans="2:4" ht="15.75" x14ac:dyDescent="0.25">
      <c r="B7" s="5" t="s">
        <v>204</v>
      </c>
      <c r="C7" s="5" t="s">
        <v>394</v>
      </c>
      <c r="D7" s="5" t="s">
        <v>221</v>
      </c>
    </row>
    <row r="8" spans="2:4" ht="15.75" x14ac:dyDescent="0.25">
      <c r="B8" s="29">
        <v>2</v>
      </c>
      <c r="C8" s="28" t="s">
        <v>384</v>
      </c>
      <c r="D8" s="12">
        <f>+'GASTO FISDL'!D31</f>
        <v>52595.92</v>
      </c>
    </row>
    <row r="10" spans="2:4" x14ac:dyDescent="0.25">
      <c r="D10" s="367">
        <f>+D5-D8</f>
        <v>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D9"/>
  <sheetViews>
    <sheetView workbookViewId="0">
      <selection activeCell="C30" sqref="C30"/>
    </sheetView>
  </sheetViews>
  <sheetFormatPr baseColWidth="10" defaultRowHeight="15.75" x14ac:dyDescent="0.25"/>
  <cols>
    <col min="1" max="2" width="11.42578125" style="54"/>
    <col min="3" max="3" width="36.5703125" style="54" customWidth="1"/>
    <col min="4" max="4" width="18.85546875" style="54" customWidth="1"/>
    <col min="5" max="16384" width="11.42578125" style="54"/>
  </cols>
  <sheetData>
    <row r="3" spans="2:4" x14ac:dyDescent="0.25">
      <c r="B3" s="418" t="s">
        <v>414</v>
      </c>
      <c r="C3" s="419"/>
      <c r="D3" s="420"/>
    </row>
    <row r="4" spans="2:4" ht="31.5" x14ac:dyDescent="0.25">
      <c r="B4" s="46"/>
      <c r="C4" s="53" t="s">
        <v>388</v>
      </c>
      <c r="D4" s="48"/>
    </row>
    <row r="5" spans="2:4" ht="31.5" x14ac:dyDescent="0.25">
      <c r="B5" s="46"/>
      <c r="C5" s="47" t="s">
        <v>389</v>
      </c>
      <c r="D5" s="331">
        <f>+'PRESU INGRESOS'!E60</f>
        <v>5829.31</v>
      </c>
    </row>
    <row r="6" spans="2:4" x14ac:dyDescent="0.25">
      <c r="B6" s="46"/>
      <c r="C6" s="47" t="s">
        <v>203</v>
      </c>
      <c r="D6" s="48">
        <f>SUM(D4:D5)</f>
        <v>5829.31</v>
      </c>
    </row>
    <row r="7" spans="2:4" x14ac:dyDescent="0.25">
      <c r="B7" s="49"/>
      <c r="C7" s="50"/>
      <c r="D7" s="49"/>
    </row>
    <row r="8" spans="2:4" x14ac:dyDescent="0.25">
      <c r="B8" s="51" t="s">
        <v>204</v>
      </c>
      <c r="C8" s="51" t="s">
        <v>393</v>
      </c>
      <c r="D8" s="51" t="s">
        <v>221</v>
      </c>
    </row>
    <row r="9" spans="2:4" x14ac:dyDescent="0.25">
      <c r="B9" s="55">
        <v>1</v>
      </c>
      <c r="C9" s="56" t="s">
        <v>392</v>
      </c>
      <c r="D9" s="57">
        <f>+'GASTO DONACION'!D27</f>
        <v>5829.3099999999995</v>
      </c>
    </row>
  </sheetData>
  <mergeCells count="1">
    <mergeCell ref="B3:D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F66"/>
  <sheetViews>
    <sheetView workbookViewId="0">
      <pane ySplit="10" topLeftCell="A11" activePane="bottomLeft" state="frozen"/>
      <selection pane="bottomLeft" activeCell="L37" sqref="L37"/>
    </sheetView>
  </sheetViews>
  <sheetFormatPr baseColWidth="10" defaultRowHeight="15" x14ac:dyDescent="0.25"/>
  <cols>
    <col min="1" max="1" width="3.5703125" style="72" customWidth="1"/>
    <col min="2" max="2" width="9.7109375" style="72" customWidth="1"/>
    <col min="3" max="3" width="50.140625" style="72" customWidth="1"/>
    <col min="4" max="4" width="14.85546875" style="72" customWidth="1"/>
    <col min="5" max="5" width="15.85546875" style="72" customWidth="1"/>
    <col min="6" max="6" width="15.140625" style="72" customWidth="1"/>
    <col min="7" max="16384" width="11.42578125" style="72"/>
  </cols>
  <sheetData>
    <row r="2" spans="2:6" ht="15.75" x14ac:dyDescent="0.25">
      <c r="B2" s="426" t="s">
        <v>407</v>
      </c>
      <c r="C2" s="426"/>
      <c r="D2" s="426"/>
      <c r="E2" s="426"/>
      <c r="F2" s="426"/>
    </row>
    <row r="3" spans="2:6" ht="15.75" x14ac:dyDescent="0.25">
      <c r="B3" s="426" t="s">
        <v>223</v>
      </c>
      <c r="C3" s="426"/>
      <c r="D3" s="426"/>
      <c r="E3" s="426"/>
      <c r="F3" s="426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225</v>
      </c>
      <c r="C5" s="427"/>
      <c r="D5" s="427"/>
      <c r="E5" s="427"/>
      <c r="F5" s="427"/>
    </row>
    <row r="6" spans="2:6" ht="15.75" x14ac:dyDescent="0.25">
      <c r="B6" s="427" t="s">
        <v>226</v>
      </c>
      <c r="C6" s="427"/>
      <c r="D6" s="427"/>
      <c r="E6" s="427"/>
      <c r="F6" s="427"/>
    </row>
    <row r="7" spans="2:6" ht="15.75" x14ac:dyDescent="0.25">
      <c r="B7" s="428" t="s">
        <v>227</v>
      </c>
      <c r="C7" s="428"/>
      <c r="D7" s="428"/>
      <c r="E7" s="428"/>
      <c r="F7" s="428"/>
    </row>
    <row r="8" spans="2:6" ht="15.75" thickBot="1" x14ac:dyDescent="0.3">
      <c r="B8" s="31"/>
      <c r="C8" s="31"/>
      <c r="D8" s="31"/>
      <c r="E8" s="32"/>
      <c r="F8" s="31"/>
    </row>
    <row r="9" spans="2:6" x14ac:dyDescent="0.25">
      <c r="B9" s="421" t="s">
        <v>228</v>
      </c>
      <c r="C9" s="423" t="s">
        <v>229</v>
      </c>
      <c r="D9" s="73" t="s">
        <v>230</v>
      </c>
      <c r="E9" s="74" t="s">
        <v>231</v>
      </c>
      <c r="F9" s="425" t="s">
        <v>0</v>
      </c>
    </row>
    <row r="10" spans="2:6" ht="26.25" thickBot="1" x14ac:dyDescent="0.3">
      <c r="B10" s="422"/>
      <c r="C10" s="424"/>
      <c r="D10" s="75" t="s">
        <v>232</v>
      </c>
      <c r="E10" s="353" t="s">
        <v>233</v>
      </c>
      <c r="F10" s="425"/>
    </row>
    <row r="11" spans="2:6" x14ac:dyDescent="0.25">
      <c r="B11" s="76">
        <v>51</v>
      </c>
      <c r="C11" s="77" t="s">
        <v>130</v>
      </c>
      <c r="D11" s="78">
        <f>SUM(D12+D16+D18+D20)</f>
        <v>111343.75</v>
      </c>
      <c r="E11" s="79">
        <f>+E12+E16+E18</f>
        <v>66960</v>
      </c>
      <c r="F11" s="80">
        <f>SUM(F12+F16+F18+F20)</f>
        <v>178303.75</v>
      </c>
    </row>
    <row r="12" spans="2:6" x14ac:dyDescent="0.25">
      <c r="B12" s="81">
        <v>511</v>
      </c>
      <c r="C12" s="82" t="s">
        <v>234</v>
      </c>
      <c r="D12" s="80">
        <f>SUM(D13:D15)</f>
        <v>74400</v>
      </c>
      <c r="E12" s="83">
        <f>SUM(E13:E15)</f>
        <v>57600</v>
      </c>
      <c r="F12" s="80">
        <f>D12+E12</f>
        <v>132000</v>
      </c>
    </row>
    <row r="13" spans="2:6" x14ac:dyDescent="0.25">
      <c r="B13" s="84">
        <v>51101</v>
      </c>
      <c r="C13" s="85" t="s">
        <v>235</v>
      </c>
      <c r="D13" s="86">
        <f>+'GESTION Y COOPERACION'!D15</f>
        <v>15900</v>
      </c>
      <c r="E13" s="86">
        <f>+'GESTION Y COOPERACION'!E15</f>
        <v>0</v>
      </c>
      <c r="F13" s="86">
        <f>SUM(D13:E13)</f>
        <v>15900</v>
      </c>
    </row>
    <row r="14" spans="2:6" x14ac:dyDescent="0.25">
      <c r="B14" s="84">
        <v>51103</v>
      </c>
      <c r="C14" s="87" t="s">
        <v>236</v>
      </c>
      <c r="D14" s="86">
        <f>+'GESTION Y COOPERACION'!D16</f>
        <v>900</v>
      </c>
      <c r="E14" s="86">
        <f>+'GESTION Y COOPERACION'!E16</f>
        <v>0</v>
      </c>
      <c r="F14" s="86">
        <f>SUM(D14:E14)</f>
        <v>900</v>
      </c>
    </row>
    <row r="15" spans="2:6" x14ac:dyDescent="0.25">
      <c r="B15" s="84">
        <v>51105</v>
      </c>
      <c r="C15" s="88" t="s">
        <v>237</v>
      </c>
      <c r="D15" s="86">
        <f>+'CONCEJO MPAL'!D13</f>
        <v>57600</v>
      </c>
      <c r="E15" s="89">
        <f>+'CONCEJO MPAL'!E13</f>
        <v>57600</v>
      </c>
      <c r="F15" s="86">
        <f>SUM(D15:E15)</f>
        <v>115200</v>
      </c>
    </row>
    <row r="16" spans="2:6" x14ac:dyDescent="0.25">
      <c r="B16" s="81">
        <v>514</v>
      </c>
      <c r="C16" s="77" t="s">
        <v>239</v>
      </c>
      <c r="D16" s="80">
        <f>SUM(D17:D17)</f>
        <v>6247.5</v>
      </c>
      <c r="E16" s="83">
        <f>SUM(E17:E17)</f>
        <v>4896</v>
      </c>
      <c r="F16" s="80">
        <f>SUM(F17:F17)</f>
        <v>11143.5</v>
      </c>
    </row>
    <row r="17" spans="2:6" x14ac:dyDescent="0.25">
      <c r="B17" s="90">
        <v>51401</v>
      </c>
      <c r="C17" s="87" t="s">
        <v>240</v>
      </c>
      <c r="D17" s="86">
        <f>+'CONCEJO MPAL'!D15+'GESTION Y COOPERACION'!D18</f>
        <v>6247.5</v>
      </c>
      <c r="E17" s="89">
        <f>+'CONCEJO MPAL'!E15+'GESTION Y COOPERACION'!E18</f>
        <v>4896</v>
      </c>
      <c r="F17" s="86">
        <f>SUM(D17:E17)</f>
        <v>11143.5</v>
      </c>
    </row>
    <row r="18" spans="2:6" x14ac:dyDescent="0.25">
      <c r="B18" s="81">
        <v>515</v>
      </c>
      <c r="C18" s="91" t="s">
        <v>241</v>
      </c>
      <c r="D18" s="80">
        <f>SUM(D19:D19)</f>
        <v>5696.25</v>
      </c>
      <c r="E18" s="83">
        <f>SUM(E19:E19)</f>
        <v>4464</v>
      </c>
      <c r="F18" s="80">
        <f>SUM(F19:F19)</f>
        <v>10160.25</v>
      </c>
    </row>
    <row r="19" spans="2:6" x14ac:dyDescent="0.25">
      <c r="B19" s="90">
        <v>51501</v>
      </c>
      <c r="C19" s="87" t="s">
        <v>240</v>
      </c>
      <c r="D19" s="86">
        <f>+'CONCEJO MPAL'!D17+'GESTION Y COOPERACION'!D20</f>
        <v>5696.25</v>
      </c>
      <c r="E19" s="89">
        <f>+'CONCEJO MPAL'!E17+'GESTION Y COOPERACION'!E20</f>
        <v>4464</v>
      </c>
      <c r="F19" s="86">
        <f>SUM(D19:E19)</f>
        <v>10160.25</v>
      </c>
    </row>
    <row r="20" spans="2:6" x14ac:dyDescent="0.25">
      <c r="B20" s="81">
        <v>517</v>
      </c>
      <c r="C20" s="91" t="s">
        <v>242</v>
      </c>
      <c r="D20" s="80">
        <f>SUM(D21:D21)</f>
        <v>25000</v>
      </c>
      <c r="E20" s="83">
        <f>SUM(E21:E21)</f>
        <v>0</v>
      </c>
      <c r="F20" s="80">
        <f>SUM(F21:F21)</f>
        <v>25000</v>
      </c>
    </row>
    <row r="21" spans="2:6" x14ac:dyDescent="0.25">
      <c r="B21" s="90">
        <v>51701</v>
      </c>
      <c r="C21" s="87" t="s">
        <v>243</v>
      </c>
      <c r="D21" s="86">
        <f>+'CONCEJO MPAL'!D19</f>
        <v>25000</v>
      </c>
      <c r="E21" s="89">
        <f>+'CONCEJO MPAL'!E19</f>
        <v>0</v>
      </c>
      <c r="F21" s="86">
        <f>SUM(D21:E21)</f>
        <v>25000</v>
      </c>
    </row>
    <row r="22" spans="2:6" x14ac:dyDescent="0.25">
      <c r="B22" s="81">
        <v>54</v>
      </c>
      <c r="C22" s="91" t="s">
        <v>244</v>
      </c>
      <c r="D22" s="80">
        <f>+D23+D33+D40+D44</f>
        <v>83221.399999999994</v>
      </c>
      <c r="E22" s="83">
        <f>+E23+E33+E40+E44</f>
        <v>32588.04</v>
      </c>
      <c r="F22" s="80">
        <f>SUM(F23+F33+F40+F44)</f>
        <v>115809.44</v>
      </c>
    </row>
    <row r="23" spans="2:6" x14ac:dyDescent="0.25">
      <c r="B23" s="81">
        <v>541</v>
      </c>
      <c r="C23" s="91" t="s">
        <v>245</v>
      </c>
      <c r="D23" s="80">
        <f>SUM(D24:D32)</f>
        <v>31021.4</v>
      </c>
      <c r="E23" s="83">
        <f>SUM(E24:E32)</f>
        <v>1618.19</v>
      </c>
      <c r="F23" s="80">
        <f>SUM(F24:F32)</f>
        <v>32639.59</v>
      </c>
    </row>
    <row r="24" spans="2:6" x14ac:dyDescent="0.25">
      <c r="B24" s="90">
        <v>54101</v>
      </c>
      <c r="C24" s="87" t="s">
        <v>246</v>
      </c>
      <c r="D24" s="86">
        <f>+'CONCEJO MPAL'!D22+'GESTION Y COOPERACION'!D23</f>
        <v>12300</v>
      </c>
      <c r="E24" s="89">
        <f>+'CONCEJO MPAL'!E22+'GESTION Y COOPERACION'!E23</f>
        <v>1500</v>
      </c>
      <c r="F24" s="86">
        <f t="shared" ref="F24:F32" si="0">SUM(D24:E24)</f>
        <v>13800</v>
      </c>
    </row>
    <row r="25" spans="2:6" x14ac:dyDescent="0.25">
      <c r="B25" s="90">
        <v>54104</v>
      </c>
      <c r="C25" s="87" t="s">
        <v>248</v>
      </c>
      <c r="D25" s="86">
        <f>+'CONCEJO MPAL'!D23</f>
        <v>1300</v>
      </c>
      <c r="E25" s="89">
        <f>+'CONCEJO MPAL'!E23</f>
        <v>0</v>
      </c>
      <c r="F25" s="86">
        <f t="shared" si="0"/>
        <v>1300</v>
      </c>
    </row>
    <row r="26" spans="2:6" x14ac:dyDescent="0.25">
      <c r="B26" s="90">
        <v>54105</v>
      </c>
      <c r="C26" s="87" t="s">
        <v>249</v>
      </c>
      <c r="D26" s="86">
        <f>+'CONCEJO MPAL'!D24+'GESTION Y COOPERACION'!D24</f>
        <v>155</v>
      </c>
      <c r="E26" s="89">
        <f>+'CONCEJO MPAL'!E24+'GESTION Y COOPERACION'!E24</f>
        <v>0</v>
      </c>
      <c r="F26" s="86">
        <f t="shared" si="0"/>
        <v>155</v>
      </c>
    </row>
    <row r="27" spans="2:6" x14ac:dyDescent="0.25">
      <c r="B27" s="90">
        <v>54106</v>
      </c>
      <c r="C27" s="87" t="s">
        <v>250</v>
      </c>
      <c r="D27" s="86">
        <f>+'CONCEJO MPAL'!D25</f>
        <v>300</v>
      </c>
      <c r="E27" s="89">
        <f>+'CONCEJO MPAL'!E25</f>
        <v>0</v>
      </c>
      <c r="F27" s="86">
        <f t="shared" si="0"/>
        <v>300</v>
      </c>
    </row>
    <row r="28" spans="2:6" x14ac:dyDescent="0.25">
      <c r="B28" s="90">
        <v>54111</v>
      </c>
      <c r="C28" s="87" t="s">
        <v>251</v>
      </c>
      <c r="D28" s="86">
        <f>+'CONCEJO MPAL'!D26</f>
        <v>7000</v>
      </c>
      <c r="E28" s="89">
        <f>+'CONCEJO MPAL'!E26</f>
        <v>0</v>
      </c>
      <c r="F28" s="86">
        <f t="shared" si="0"/>
        <v>7000</v>
      </c>
    </row>
    <row r="29" spans="2:6" x14ac:dyDescent="0.25">
      <c r="B29" s="90">
        <v>54112</v>
      </c>
      <c r="C29" s="87" t="s">
        <v>252</v>
      </c>
      <c r="D29" s="86">
        <f>+'CONCEJO MPAL'!D27</f>
        <v>7346.4</v>
      </c>
      <c r="E29" s="89">
        <f>+'CONCEJO MPAL'!E27</f>
        <v>0</v>
      </c>
      <c r="F29" s="86">
        <f t="shared" si="0"/>
        <v>7346.4</v>
      </c>
    </row>
    <row r="30" spans="2:6" x14ac:dyDescent="0.25">
      <c r="B30" s="90">
        <v>54114</v>
      </c>
      <c r="C30" s="87" t="s">
        <v>253</v>
      </c>
      <c r="D30" s="86">
        <f>+'CONCEJO MPAL'!D28+'GESTION Y COOPERACION'!D25</f>
        <v>500</v>
      </c>
      <c r="E30" s="89">
        <f>+'CONCEJO MPAL'!E28+'GESTION Y COOPERACION'!E25</f>
        <v>0</v>
      </c>
      <c r="F30" s="86">
        <f t="shared" si="0"/>
        <v>500</v>
      </c>
    </row>
    <row r="31" spans="2:6" x14ac:dyDescent="0.25">
      <c r="B31" s="90">
        <v>54115</v>
      </c>
      <c r="C31" s="87" t="s">
        <v>254</v>
      </c>
      <c r="D31" s="86">
        <f>+'CONCEJO MPAL'!D29+'GESTION Y COOPERACION'!D26</f>
        <v>120</v>
      </c>
      <c r="E31" s="89">
        <f>+'CONCEJO MPAL'!E29+'GESTION Y COOPERACION'!E26</f>
        <v>0</v>
      </c>
      <c r="F31" s="86">
        <f t="shared" si="0"/>
        <v>120</v>
      </c>
    </row>
    <row r="32" spans="2:6" x14ac:dyDescent="0.25">
      <c r="B32" s="90">
        <v>54199</v>
      </c>
      <c r="C32" s="87" t="s">
        <v>256</v>
      </c>
      <c r="D32" s="86">
        <f>+'CONCEJO MPAL'!D30</f>
        <v>2000</v>
      </c>
      <c r="E32" s="89">
        <f>+'CONCEJO MPAL'!E30</f>
        <v>118.19</v>
      </c>
      <c r="F32" s="86">
        <f t="shared" si="0"/>
        <v>2118.19</v>
      </c>
    </row>
    <row r="33" spans="2:6" x14ac:dyDescent="0.25">
      <c r="B33" s="81">
        <v>543</v>
      </c>
      <c r="C33" s="91" t="s">
        <v>257</v>
      </c>
      <c r="D33" s="80">
        <f>SUM(D34:D39)</f>
        <v>26500</v>
      </c>
      <c r="E33" s="83">
        <f>SUM(E34:E39)</f>
        <v>18000</v>
      </c>
      <c r="F33" s="80">
        <f>SUM(F34:F39)</f>
        <v>44500</v>
      </c>
    </row>
    <row r="34" spans="2:6" x14ac:dyDescent="0.25">
      <c r="B34" s="90">
        <v>54301</v>
      </c>
      <c r="C34" s="87" t="s">
        <v>258</v>
      </c>
      <c r="D34" s="86">
        <f>+'CONCEJO MPAL'!D32</f>
        <v>1500</v>
      </c>
      <c r="E34" s="89">
        <f>+'CONCEJO MPAL'!E32</f>
        <v>7000</v>
      </c>
      <c r="F34" s="86">
        <f t="shared" ref="F34:F39" si="1">SUM(D34:E34)</f>
        <v>8500</v>
      </c>
    </row>
    <row r="35" spans="2:6" x14ac:dyDescent="0.25">
      <c r="B35" s="90">
        <v>54303</v>
      </c>
      <c r="C35" s="87" t="s">
        <v>259</v>
      </c>
      <c r="D35" s="86">
        <f>+'CONCEJO MPAL'!D33</f>
        <v>5000</v>
      </c>
      <c r="E35" s="89">
        <f>+'CONCEJO MPAL'!E33</f>
        <v>5000</v>
      </c>
      <c r="F35" s="86">
        <f t="shared" si="1"/>
        <v>10000</v>
      </c>
    </row>
    <row r="36" spans="2:6" x14ac:dyDescent="0.25">
      <c r="B36" s="90">
        <v>54304</v>
      </c>
      <c r="C36" s="87" t="s">
        <v>260</v>
      </c>
      <c r="D36" s="86">
        <f>+'CONCEJO MPAL'!D34</f>
        <v>3000</v>
      </c>
      <c r="E36" s="89">
        <f>+'CONCEJO MPAL'!E34</f>
        <v>6000</v>
      </c>
      <c r="F36" s="86">
        <f t="shared" si="1"/>
        <v>9000</v>
      </c>
    </row>
    <row r="37" spans="2:6" x14ac:dyDescent="0.25">
      <c r="B37" s="92">
        <v>54313</v>
      </c>
      <c r="C37" s="93" t="s">
        <v>261</v>
      </c>
      <c r="D37" s="94">
        <f>+'CONCEJO MPAL'!D35</f>
        <v>1500</v>
      </c>
      <c r="E37" s="95">
        <f>+'CONCEJO MPAL'!E35</f>
        <v>0</v>
      </c>
      <c r="F37" s="86">
        <f t="shared" si="1"/>
        <v>1500</v>
      </c>
    </row>
    <row r="38" spans="2:6" x14ac:dyDescent="0.25">
      <c r="B38" s="92">
        <v>54314</v>
      </c>
      <c r="C38" s="93" t="s">
        <v>262</v>
      </c>
      <c r="D38" s="94">
        <f>+'CONCEJO MPAL'!D36</f>
        <v>15000</v>
      </c>
      <c r="E38" s="95">
        <f>+'CONCEJO MPAL'!E36</f>
        <v>0</v>
      </c>
      <c r="F38" s="86">
        <f>SUM(D38:E38)</f>
        <v>15000</v>
      </c>
    </row>
    <row r="39" spans="2:6" x14ac:dyDescent="0.25">
      <c r="B39" s="92">
        <v>54399</v>
      </c>
      <c r="C39" s="93" t="s">
        <v>263</v>
      </c>
      <c r="D39" s="94">
        <f>+'CONCEJO MPAL'!D37</f>
        <v>500</v>
      </c>
      <c r="E39" s="95">
        <f>+'CONCEJO MPAL'!E37</f>
        <v>0</v>
      </c>
      <c r="F39" s="86">
        <f t="shared" si="1"/>
        <v>500</v>
      </c>
    </row>
    <row r="40" spans="2:6" x14ac:dyDescent="0.25">
      <c r="B40" s="76">
        <v>544</v>
      </c>
      <c r="C40" s="77" t="s">
        <v>264</v>
      </c>
      <c r="D40" s="78">
        <f>SUM(D41:D43)</f>
        <v>8500</v>
      </c>
      <c r="E40" s="79">
        <f>SUM(E41:E43)</f>
        <v>12969.85</v>
      </c>
      <c r="F40" s="80">
        <f>SUM(F41:F43)</f>
        <v>21469.85</v>
      </c>
    </row>
    <row r="41" spans="2:6" x14ac:dyDescent="0.25">
      <c r="B41" s="90">
        <v>54401</v>
      </c>
      <c r="C41" s="87" t="s">
        <v>265</v>
      </c>
      <c r="D41" s="86">
        <f>+'CONCEJO MPAL'!D39</f>
        <v>500</v>
      </c>
      <c r="E41" s="89">
        <f>+'CONCEJO MPAL'!E39</f>
        <v>0</v>
      </c>
      <c r="F41" s="86">
        <f>SUM(D41:E41)</f>
        <v>500</v>
      </c>
    </row>
    <row r="42" spans="2:6" x14ac:dyDescent="0.25">
      <c r="B42" s="90">
        <v>54402</v>
      </c>
      <c r="C42" s="87" t="s">
        <v>266</v>
      </c>
      <c r="D42" s="86">
        <f>+'CONCEJO MPAL'!D40</f>
        <v>5000</v>
      </c>
      <c r="E42" s="89">
        <f>+'CONCEJO MPAL'!E40</f>
        <v>6769.85</v>
      </c>
      <c r="F42" s="86">
        <f>SUM(D42:E42)</f>
        <v>11769.85</v>
      </c>
    </row>
    <row r="43" spans="2:6" x14ac:dyDescent="0.25">
      <c r="B43" s="90">
        <v>54404</v>
      </c>
      <c r="C43" s="87" t="s">
        <v>267</v>
      </c>
      <c r="D43" s="86">
        <f>+'CONCEJO MPAL'!D41</f>
        <v>3000</v>
      </c>
      <c r="E43" s="89">
        <f>+'CONCEJO MPAL'!E41</f>
        <v>6200</v>
      </c>
      <c r="F43" s="86">
        <f>SUM(D43:E43)</f>
        <v>9200</v>
      </c>
    </row>
    <row r="44" spans="2:6" x14ac:dyDescent="0.25">
      <c r="B44" s="81">
        <v>545</v>
      </c>
      <c r="C44" s="91" t="s">
        <v>268</v>
      </c>
      <c r="D44" s="80">
        <f>SUM(D45:D46)</f>
        <v>17200</v>
      </c>
      <c r="E44" s="83">
        <f>SUM(E45:E46)</f>
        <v>0</v>
      </c>
      <c r="F44" s="80">
        <f>SUM(F45:F46)</f>
        <v>17200</v>
      </c>
    </row>
    <row r="45" spans="2:6" x14ac:dyDescent="0.25">
      <c r="B45" s="90">
        <v>54503</v>
      </c>
      <c r="C45" s="87" t="s">
        <v>269</v>
      </c>
      <c r="D45" s="86">
        <f>+'CONCEJO MPAL'!D43</f>
        <v>1200</v>
      </c>
      <c r="E45" s="89">
        <f>+'CONCEJO MPAL'!E43</f>
        <v>0</v>
      </c>
      <c r="F45" s="86">
        <f>SUM(D45:E45)</f>
        <v>1200</v>
      </c>
    </row>
    <row r="46" spans="2:6" x14ac:dyDescent="0.25">
      <c r="B46" s="90">
        <v>54599</v>
      </c>
      <c r="C46" s="87" t="s">
        <v>270</v>
      </c>
      <c r="D46" s="86">
        <f>+'CONCEJO MPAL'!D44</f>
        <v>16000</v>
      </c>
      <c r="E46" s="89">
        <f>+'CONCEJO MPAL'!E44</f>
        <v>0</v>
      </c>
      <c r="F46" s="86">
        <f>SUM(D46:E46)</f>
        <v>16000</v>
      </c>
    </row>
    <row r="47" spans="2:6" x14ac:dyDescent="0.25">
      <c r="B47" s="81">
        <v>55</v>
      </c>
      <c r="C47" s="91" t="s">
        <v>132</v>
      </c>
      <c r="D47" s="80">
        <f>+D48</f>
        <v>31278</v>
      </c>
      <c r="E47" s="83">
        <f>+E48</f>
        <v>0</v>
      </c>
      <c r="F47" s="80">
        <f>SUM(F48)</f>
        <v>31278</v>
      </c>
    </row>
    <row r="48" spans="2:6" x14ac:dyDescent="0.25">
      <c r="B48" s="81">
        <v>556</v>
      </c>
      <c r="C48" s="91" t="s">
        <v>271</v>
      </c>
      <c r="D48" s="80">
        <f>SUM(D49:D50)</f>
        <v>31278</v>
      </c>
      <c r="E48" s="83">
        <f>SUM(E49:E50)</f>
        <v>0</v>
      </c>
      <c r="F48" s="80">
        <f>SUM(F49:F50)</f>
        <v>31278</v>
      </c>
    </row>
    <row r="49" spans="2:6" x14ac:dyDescent="0.25">
      <c r="B49" s="90">
        <v>55601</v>
      </c>
      <c r="C49" s="87" t="s">
        <v>272</v>
      </c>
      <c r="D49" s="86">
        <f>+'CONCEJO MPAL'!D47</f>
        <v>16278</v>
      </c>
      <c r="E49" s="89">
        <f>+'CONCEJO MPAL'!E47</f>
        <v>0</v>
      </c>
      <c r="F49" s="86">
        <f>SUM(D49:E49)</f>
        <v>16278</v>
      </c>
    </row>
    <row r="50" spans="2:6" x14ac:dyDescent="0.25">
      <c r="B50" s="90">
        <v>55602</v>
      </c>
      <c r="C50" s="87" t="s">
        <v>273</v>
      </c>
      <c r="D50" s="86">
        <f>+'CONCEJO MPAL'!D48</f>
        <v>15000</v>
      </c>
      <c r="E50" s="89">
        <f>+'CONCEJO MPAL'!E48</f>
        <v>0</v>
      </c>
      <c r="F50" s="86">
        <f>SUM(D50:E50)</f>
        <v>15000</v>
      </c>
    </row>
    <row r="51" spans="2:6" x14ac:dyDescent="0.25">
      <c r="B51" s="81">
        <v>56</v>
      </c>
      <c r="C51" s="91" t="s">
        <v>106</v>
      </c>
      <c r="D51" s="80">
        <f>+D52+D56</f>
        <v>1500</v>
      </c>
      <c r="E51" s="83">
        <f>+E52+E56</f>
        <v>5700</v>
      </c>
      <c r="F51" s="80">
        <f>SUM(F52+F56)</f>
        <v>7200</v>
      </c>
    </row>
    <row r="52" spans="2:6" x14ac:dyDescent="0.25">
      <c r="B52" s="81">
        <v>562</v>
      </c>
      <c r="C52" s="91" t="s">
        <v>274</v>
      </c>
      <c r="D52" s="80">
        <f>SUM(D53:D55)</f>
        <v>0</v>
      </c>
      <c r="E52" s="83">
        <f>SUM(E53:E55)</f>
        <v>5700</v>
      </c>
      <c r="F52" s="80">
        <f>SUM(F53:F55)</f>
        <v>5700</v>
      </c>
    </row>
    <row r="53" spans="2:6" x14ac:dyDescent="0.25">
      <c r="B53" s="90">
        <v>5629501</v>
      </c>
      <c r="C53" s="87" t="s">
        <v>275</v>
      </c>
      <c r="D53" s="86">
        <f>+'CONCEJO MPAL'!D51</f>
        <v>0</v>
      </c>
      <c r="E53" s="89">
        <f>+'CONCEJO MPAL'!E51</f>
        <v>900</v>
      </c>
      <c r="F53" s="86">
        <f>SUM(D53:E53)</f>
        <v>900</v>
      </c>
    </row>
    <row r="54" spans="2:6" x14ac:dyDescent="0.25">
      <c r="B54" s="90">
        <v>5629512</v>
      </c>
      <c r="C54" s="87" t="s">
        <v>276</v>
      </c>
      <c r="D54" s="86">
        <f>+'CONCEJO MPAL'!D52</f>
        <v>0</v>
      </c>
      <c r="E54" s="89">
        <f>+'CONCEJO MPAL'!E52</f>
        <v>1200</v>
      </c>
      <c r="F54" s="86">
        <f>SUM(D54:E54)</f>
        <v>1200</v>
      </c>
    </row>
    <row r="55" spans="2:6" x14ac:dyDescent="0.25">
      <c r="B55" s="90">
        <v>5629586</v>
      </c>
      <c r="C55" s="87" t="s">
        <v>277</v>
      </c>
      <c r="D55" s="86">
        <f>+'CONCEJO MPAL'!D53</f>
        <v>0</v>
      </c>
      <c r="E55" s="89">
        <f>+'CONCEJO MPAL'!E53</f>
        <v>3600</v>
      </c>
      <c r="F55" s="86">
        <f>SUM(D55:E55)</f>
        <v>3600</v>
      </c>
    </row>
    <row r="56" spans="2:6" x14ac:dyDescent="0.25">
      <c r="B56" s="81">
        <v>563</v>
      </c>
      <c r="C56" s="91" t="s">
        <v>278</v>
      </c>
      <c r="D56" s="80">
        <f>SUM(D57:D57)</f>
        <v>1500</v>
      </c>
      <c r="E56" s="83">
        <f>SUM(E57:E57)</f>
        <v>0</v>
      </c>
      <c r="F56" s="80">
        <f>SUM(F57)</f>
        <v>1500</v>
      </c>
    </row>
    <row r="57" spans="2:6" x14ac:dyDescent="0.25">
      <c r="B57" s="90">
        <v>56304</v>
      </c>
      <c r="C57" s="87" t="s">
        <v>279</v>
      </c>
      <c r="D57" s="86">
        <f>+'CONCEJO MPAL'!D55</f>
        <v>1500</v>
      </c>
      <c r="E57" s="89">
        <f>+'CONCEJO MPAL'!E55</f>
        <v>0</v>
      </c>
      <c r="F57" s="86">
        <f>SUM(D57:E57)</f>
        <v>1500</v>
      </c>
    </row>
    <row r="58" spans="2:6" x14ac:dyDescent="0.25">
      <c r="B58" s="81">
        <v>61</v>
      </c>
      <c r="C58" s="91" t="s">
        <v>280</v>
      </c>
      <c r="D58" s="80">
        <f>+D59</f>
        <v>2800</v>
      </c>
      <c r="E58" s="83">
        <f>+E59</f>
        <v>0</v>
      </c>
      <c r="F58" s="80">
        <f t="shared" ref="F58" si="2">SUM(F59)</f>
        <v>2800</v>
      </c>
    </row>
    <row r="59" spans="2:6" x14ac:dyDescent="0.25">
      <c r="B59" s="81">
        <v>611</v>
      </c>
      <c r="C59" s="91" t="s">
        <v>281</v>
      </c>
      <c r="D59" s="80">
        <f>SUM(D60:D60)</f>
        <v>2800</v>
      </c>
      <c r="E59" s="83">
        <f>SUM(E60:E60)</f>
        <v>0</v>
      </c>
      <c r="F59" s="80">
        <f>SUM(F60:F60)</f>
        <v>2800</v>
      </c>
    </row>
    <row r="60" spans="2:6" x14ac:dyDescent="0.25">
      <c r="B60" s="90">
        <v>61101</v>
      </c>
      <c r="C60" s="87" t="s">
        <v>282</v>
      </c>
      <c r="D60" s="86">
        <f>+'CONCEJO MPAL'!D58</f>
        <v>2800</v>
      </c>
      <c r="E60" s="89">
        <f>+'CONCEJO MPAL'!E58</f>
        <v>0</v>
      </c>
      <c r="F60" s="86">
        <f>SUM(D60:E60)</f>
        <v>2800</v>
      </c>
    </row>
    <row r="61" spans="2:6" x14ac:dyDescent="0.25">
      <c r="B61" s="90"/>
      <c r="C61" s="87"/>
      <c r="D61" s="86"/>
      <c r="E61" s="89"/>
      <c r="F61" s="86"/>
    </row>
    <row r="62" spans="2:6" x14ac:dyDescent="0.25">
      <c r="B62" s="90"/>
      <c r="C62" s="91" t="s">
        <v>70</v>
      </c>
      <c r="D62" s="80">
        <f>SUM(D11+D22+D47+D51+D58)</f>
        <v>230143.15</v>
      </c>
      <c r="E62" s="83">
        <f>SUM(E11+E22+E47+E51+E58)</f>
        <v>105248.04000000001</v>
      </c>
      <c r="F62" s="80">
        <f>SUM(D62:E62)</f>
        <v>335391.19</v>
      </c>
    </row>
    <row r="63" spans="2:6" x14ac:dyDescent="0.25">
      <c r="B63" s="90"/>
      <c r="C63" s="87"/>
      <c r="D63" s="86"/>
      <c r="E63" s="89"/>
      <c r="F63" s="86"/>
    </row>
    <row r="64" spans="2:6" x14ac:dyDescent="0.25">
      <c r="B64" s="81"/>
      <c r="C64" s="91" t="s">
        <v>61</v>
      </c>
      <c r="D64" s="80">
        <f>SUM(D11+D22+D47+D51+D58)</f>
        <v>230143.15</v>
      </c>
      <c r="E64" s="83">
        <f>SUM(E11+E22+E47+E51+E58)</f>
        <v>105248.04000000001</v>
      </c>
      <c r="F64" s="80">
        <f>SUM(F11+F22+F47+F51+F58)</f>
        <v>335391.19</v>
      </c>
    </row>
    <row r="65" spans="2:6" x14ac:dyDescent="0.25">
      <c r="B65" s="81"/>
      <c r="C65" s="91" t="s">
        <v>62</v>
      </c>
      <c r="D65" s="80">
        <f>SUM(D12+D16+D18+D20+D23+D33+D40+D44+D48+D52+D56+D59)</f>
        <v>230143.15</v>
      </c>
      <c r="E65" s="83">
        <f>SUM(E12+E16+E18+E20+E23+E33+E40+E44+E48+E52+E56+E59)</f>
        <v>105248.04000000001</v>
      </c>
      <c r="F65" s="80">
        <f>SUM(F12+F16+F18+F20+F23+F33+F40+F44+F48+F52+F56+F59)</f>
        <v>335391.19</v>
      </c>
    </row>
    <row r="66" spans="2:6" x14ac:dyDescent="0.25">
      <c r="B66" s="81"/>
      <c r="C66" s="91" t="s">
        <v>63</v>
      </c>
      <c r="D66" s="80">
        <f>SUM(D13+D14+D15+D17+D19+D21+D24+D25+D26+D27+D28+D29+D30+D31+D32+D34+D35+D36+D37+D38+D39+D41+D42+D43+D45+D46+D49+D50+D53++D54+D55+D57+D60)</f>
        <v>230143.15</v>
      </c>
      <c r="E66" s="83">
        <f>SUM(E15+E17+E19+E21+E24+E26+E27+E28+E29+E30+E31+E32+E34+E35+E36+E37+E38+E41+E42+E43+E46+E49+E50+E53++E54+E55+E57+E60)</f>
        <v>105248.04000000001</v>
      </c>
      <c r="F66" s="80">
        <f>SUM(F13+F14+F15+F17+F19+F21+F24+F25+F26+F27+F28+F29+F30+F31+F32+F34+F35+F36+F37+F38+F39+F41+F42+F43+F45+F46+F49+F50+F53++F54+F55+F57+F60)</f>
        <v>335391.19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F64"/>
  <sheetViews>
    <sheetView workbookViewId="0">
      <pane ySplit="10" topLeftCell="A68" activePane="bottomLeft" state="frozen"/>
      <selection pane="bottomLeft" activeCell="E37" sqref="E37"/>
    </sheetView>
  </sheetViews>
  <sheetFormatPr baseColWidth="10" defaultRowHeight="15" x14ac:dyDescent="0.25"/>
  <cols>
    <col min="1" max="1" width="2.5703125" style="72" customWidth="1"/>
    <col min="2" max="2" width="8" style="72" customWidth="1"/>
    <col min="3" max="3" width="50.140625" style="72" customWidth="1"/>
    <col min="4" max="4" width="14.140625" style="72" customWidth="1"/>
    <col min="5" max="5" width="17.5703125" style="72" customWidth="1"/>
    <col min="6" max="6" width="19" style="72" customWidth="1"/>
    <col min="7" max="16384" width="11.42578125" style="72"/>
  </cols>
  <sheetData>
    <row r="2" spans="2:6" ht="15" customHeight="1" x14ac:dyDescent="0.25">
      <c r="B2" s="426" t="s">
        <v>407</v>
      </c>
      <c r="C2" s="426"/>
      <c r="D2" s="426"/>
      <c r="E2" s="426"/>
      <c r="F2" s="426"/>
    </row>
    <row r="3" spans="2:6" ht="15" customHeight="1" x14ac:dyDescent="0.25">
      <c r="B3" s="426" t="s">
        <v>223</v>
      </c>
      <c r="C3" s="426"/>
      <c r="D3" s="426"/>
      <c r="E3" s="426"/>
      <c r="F3" s="426"/>
    </row>
    <row r="4" spans="2:6" ht="15" customHeight="1" x14ac:dyDescent="0.25">
      <c r="B4" s="427" t="s">
        <v>224</v>
      </c>
      <c r="C4" s="427"/>
      <c r="D4" s="427"/>
      <c r="E4" s="427"/>
      <c r="F4" s="427"/>
    </row>
    <row r="5" spans="2:6" ht="15" customHeight="1" x14ac:dyDescent="0.25">
      <c r="B5" s="427" t="s">
        <v>225</v>
      </c>
      <c r="C5" s="427"/>
      <c r="D5" s="427"/>
      <c r="E5" s="427"/>
      <c r="F5" s="427"/>
    </row>
    <row r="6" spans="2:6" ht="15" customHeight="1" x14ac:dyDescent="0.25">
      <c r="B6" s="427" t="s">
        <v>226</v>
      </c>
      <c r="C6" s="427"/>
      <c r="D6" s="427"/>
      <c r="E6" s="427"/>
      <c r="F6" s="427"/>
    </row>
    <row r="7" spans="2:6" ht="15" customHeight="1" x14ac:dyDescent="0.25">
      <c r="B7" s="428" t="s">
        <v>227</v>
      </c>
      <c r="C7" s="428"/>
      <c r="D7" s="428"/>
      <c r="E7" s="428"/>
      <c r="F7" s="428"/>
    </row>
    <row r="8" spans="2:6" ht="15.75" thickBot="1" x14ac:dyDescent="0.3">
      <c r="B8" s="31"/>
      <c r="C8" s="31"/>
      <c r="D8" s="31"/>
      <c r="E8" s="32"/>
      <c r="F8" s="31"/>
    </row>
    <row r="9" spans="2:6" x14ac:dyDescent="0.25">
      <c r="B9" s="421" t="s">
        <v>228</v>
      </c>
      <c r="C9" s="423" t="s">
        <v>229</v>
      </c>
      <c r="D9" s="73" t="s">
        <v>230</v>
      </c>
      <c r="E9" s="74" t="s">
        <v>231</v>
      </c>
      <c r="F9" s="425" t="s">
        <v>0</v>
      </c>
    </row>
    <row r="10" spans="2:6" ht="15.75" thickBot="1" x14ac:dyDescent="0.3">
      <c r="B10" s="422"/>
      <c r="C10" s="424"/>
      <c r="D10" s="75" t="s">
        <v>232</v>
      </c>
      <c r="E10" s="353" t="s">
        <v>233</v>
      </c>
      <c r="F10" s="425"/>
    </row>
    <row r="11" spans="2:6" x14ac:dyDescent="0.25">
      <c r="B11" s="76">
        <v>51</v>
      </c>
      <c r="C11" s="77" t="s">
        <v>130</v>
      </c>
      <c r="D11" s="78">
        <f>SUM(D12+D14+D16+D18)</f>
        <v>91960</v>
      </c>
      <c r="E11" s="79">
        <f>SUM(E12+E14+E16+E18)</f>
        <v>66960</v>
      </c>
      <c r="F11" s="80">
        <f>SUM(F12+F14+F16+F18)</f>
        <v>158920</v>
      </c>
    </row>
    <row r="12" spans="2:6" x14ac:dyDescent="0.25">
      <c r="B12" s="81">
        <v>511</v>
      </c>
      <c r="C12" s="82" t="s">
        <v>234</v>
      </c>
      <c r="D12" s="80">
        <f>SUM(D13:D13)</f>
        <v>57600</v>
      </c>
      <c r="E12" s="83">
        <f>SUM(E13:E13)</f>
        <v>57600</v>
      </c>
      <c r="F12" s="80">
        <f>D12+E12</f>
        <v>115200</v>
      </c>
    </row>
    <row r="13" spans="2:6" x14ac:dyDescent="0.25">
      <c r="B13" s="84">
        <v>51105</v>
      </c>
      <c r="C13" s="88" t="s">
        <v>237</v>
      </c>
      <c r="D13" s="86">
        <v>57600</v>
      </c>
      <c r="E13" s="89">
        <v>57600</v>
      </c>
      <c r="F13" s="86">
        <f>SUM(D13:E13)</f>
        <v>115200</v>
      </c>
    </row>
    <row r="14" spans="2:6" x14ac:dyDescent="0.25">
      <c r="B14" s="81">
        <v>514</v>
      </c>
      <c r="C14" s="77" t="s">
        <v>239</v>
      </c>
      <c r="D14" s="80">
        <f>SUM(D15:D15)</f>
        <v>4896</v>
      </c>
      <c r="E14" s="83">
        <f>SUM(E15:E15)</f>
        <v>4896</v>
      </c>
      <c r="F14" s="80">
        <f>SUM(F15:F15)</f>
        <v>9792</v>
      </c>
    </row>
    <row r="15" spans="2:6" x14ac:dyDescent="0.25">
      <c r="B15" s="90">
        <v>51401</v>
      </c>
      <c r="C15" s="87" t="s">
        <v>240</v>
      </c>
      <c r="D15" s="86">
        <v>4896</v>
      </c>
      <c r="E15" s="89">
        <v>4896</v>
      </c>
      <c r="F15" s="86">
        <f>SUM(D15:E15)</f>
        <v>9792</v>
      </c>
    </row>
    <row r="16" spans="2:6" x14ac:dyDescent="0.25">
      <c r="B16" s="81">
        <v>515</v>
      </c>
      <c r="C16" s="91" t="s">
        <v>241</v>
      </c>
      <c r="D16" s="80">
        <f>SUM(D17:D17)</f>
        <v>4464</v>
      </c>
      <c r="E16" s="83">
        <f>SUM(E17:E17)</f>
        <v>4464</v>
      </c>
      <c r="F16" s="80">
        <f>SUM(F17:F17)</f>
        <v>8928</v>
      </c>
    </row>
    <row r="17" spans="2:6" x14ac:dyDescent="0.25">
      <c r="B17" s="90">
        <v>51501</v>
      </c>
      <c r="C17" s="87" t="s">
        <v>240</v>
      </c>
      <c r="D17" s="86">
        <v>4464</v>
      </c>
      <c r="E17" s="89">
        <v>4464</v>
      </c>
      <c r="F17" s="86">
        <f>SUM(D17:E17)</f>
        <v>8928</v>
      </c>
    </row>
    <row r="18" spans="2:6" x14ac:dyDescent="0.25">
      <c r="B18" s="81">
        <v>517</v>
      </c>
      <c r="C18" s="91" t="s">
        <v>242</v>
      </c>
      <c r="D18" s="80">
        <f>SUM(D19:D19)</f>
        <v>25000</v>
      </c>
      <c r="E18" s="83">
        <f>SUM(E19:E19)</f>
        <v>0</v>
      </c>
      <c r="F18" s="80">
        <f>SUM(F19:F19)</f>
        <v>25000</v>
      </c>
    </row>
    <row r="19" spans="2:6" x14ac:dyDescent="0.25">
      <c r="B19" s="90">
        <v>51701</v>
      </c>
      <c r="C19" s="87" t="s">
        <v>243</v>
      </c>
      <c r="D19" s="86">
        <v>25000</v>
      </c>
      <c r="E19" s="89">
        <v>0</v>
      </c>
      <c r="F19" s="86">
        <f>SUM(D19:E19)</f>
        <v>25000</v>
      </c>
    </row>
    <row r="20" spans="2:6" x14ac:dyDescent="0.25">
      <c r="B20" s="81">
        <v>54</v>
      </c>
      <c r="C20" s="91" t="s">
        <v>244</v>
      </c>
      <c r="D20" s="80">
        <f>SUM(D21+D31+D38+D42)</f>
        <v>80046.399999999994</v>
      </c>
      <c r="E20" s="83">
        <f>SUM(E21+E31+E38+E42)</f>
        <v>32588.04</v>
      </c>
      <c r="F20" s="80">
        <f>SUM(F21+F31+F38+F42)</f>
        <v>112634.44</v>
      </c>
    </row>
    <row r="21" spans="2:6" x14ac:dyDescent="0.25">
      <c r="B21" s="81">
        <v>541</v>
      </c>
      <c r="C21" s="91" t="s">
        <v>245</v>
      </c>
      <c r="D21" s="80">
        <f>SUM(D22:D30)</f>
        <v>27846.400000000001</v>
      </c>
      <c r="E21" s="83">
        <f>SUM(E22:E30)</f>
        <v>1618.19</v>
      </c>
      <c r="F21" s="80">
        <f>SUM(F22:F30)</f>
        <v>29464.59</v>
      </c>
    </row>
    <row r="22" spans="2:6" x14ac:dyDescent="0.25">
      <c r="B22" s="90">
        <v>54101</v>
      </c>
      <c r="C22" s="87" t="s">
        <v>246</v>
      </c>
      <c r="D22" s="251">
        <v>9500</v>
      </c>
      <c r="E22" s="89">
        <v>1500</v>
      </c>
      <c r="F22" s="86">
        <f t="shared" ref="F22:F30" si="0">SUM(D22:E22)</f>
        <v>11000</v>
      </c>
    </row>
    <row r="23" spans="2:6" x14ac:dyDescent="0.25">
      <c r="B23" s="90">
        <v>54104</v>
      </c>
      <c r="C23" s="87" t="s">
        <v>248</v>
      </c>
      <c r="D23" s="251">
        <v>1300</v>
      </c>
      <c r="E23" s="83">
        <v>0</v>
      </c>
      <c r="F23" s="86">
        <f t="shared" si="0"/>
        <v>1300</v>
      </c>
    </row>
    <row r="24" spans="2:6" x14ac:dyDescent="0.25">
      <c r="B24" s="90">
        <v>54105</v>
      </c>
      <c r="C24" s="87" t="s">
        <v>249</v>
      </c>
      <c r="D24" s="251">
        <v>100</v>
      </c>
      <c r="E24" s="89">
        <v>0</v>
      </c>
      <c r="F24" s="86">
        <f t="shared" si="0"/>
        <v>100</v>
      </c>
    </row>
    <row r="25" spans="2:6" x14ac:dyDescent="0.25">
      <c r="B25" s="90">
        <v>54106</v>
      </c>
      <c r="C25" s="87" t="s">
        <v>250</v>
      </c>
      <c r="D25" s="251">
        <v>300</v>
      </c>
      <c r="E25" s="89">
        <v>0</v>
      </c>
      <c r="F25" s="86">
        <f t="shared" si="0"/>
        <v>300</v>
      </c>
    </row>
    <row r="26" spans="2:6" x14ac:dyDescent="0.25">
      <c r="B26" s="90">
        <v>54111</v>
      </c>
      <c r="C26" s="87" t="s">
        <v>251</v>
      </c>
      <c r="D26" s="251">
        <v>7000</v>
      </c>
      <c r="E26" s="89">
        <v>0</v>
      </c>
      <c r="F26" s="86">
        <f t="shared" si="0"/>
        <v>7000</v>
      </c>
    </row>
    <row r="27" spans="2:6" x14ac:dyDescent="0.25">
      <c r="B27" s="90">
        <v>54112</v>
      </c>
      <c r="C27" s="87" t="s">
        <v>252</v>
      </c>
      <c r="D27" s="251">
        <v>7346.4</v>
      </c>
      <c r="E27" s="89">
        <v>0</v>
      </c>
      <c r="F27" s="86">
        <f t="shared" si="0"/>
        <v>7346.4</v>
      </c>
    </row>
    <row r="28" spans="2:6" x14ac:dyDescent="0.25">
      <c r="B28" s="90">
        <v>54114</v>
      </c>
      <c r="C28" s="87" t="s">
        <v>253</v>
      </c>
      <c r="D28" s="251">
        <v>200</v>
      </c>
      <c r="E28" s="89">
        <v>0</v>
      </c>
      <c r="F28" s="86">
        <f t="shared" si="0"/>
        <v>200</v>
      </c>
    </row>
    <row r="29" spans="2:6" x14ac:dyDescent="0.25">
      <c r="B29" s="90">
        <v>54115</v>
      </c>
      <c r="C29" s="87" t="s">
        <v>254</v>
      </c>
      <c r="D29" s="251">
        <v>100</v>
      </c>
      <c r="E29" s="89">
        <v>0</v>
      </c>
      <c r="F29" s="86">
        <f t="shared" si="0"/>
        <v>100</v>
      </c>
    </row>
    <row r="30" spans="2:6" x14ac:dyDescent="0.25">
      <c r="B30" s="90">
        <v>54199</v>
      </c>
      <c r="C30" s="87" t="s">
        <v>256</v>
      </c>
      <c r="D30" s="251">
        <v>2000</v>
      </c>
      <c r="E30" s="89">
        <v>118.19</v>
      </c>
      <c r="F30" s="86">
        <f t="shared" si="0"/>
        <v>2118.19</v>
      </c>
    </row>
    <row r="31" spans="2:6" x14ac:dyDescent="0.25">
      <c r="B31" s="81">
        <v>543</v>
      </c>
      <c r="C31" s="91" t="s">
        <v>257</v>
      </c>
      <c r="D31" s="248">
        <f>SUM(D32:D37)</f>
        <v>26500</v>
      </c>
      <c r="E31" s="83">
        <f>SUM(E32:E37)</f>
        <v>18000</v>
      </c>
      <c r="F31" s="80">
        <f>SUM(F32:F37)</f>
        <v>44500</v>
      </c>
    </row>
    <row r="32" spans="2:6" x14ac:dyDescent="0.25">
      <c r="B32" s="90">
        <v>54301</v>
      </c>
      <c r="C32" s="87" t="s">
        <v>258</v>
      </c>
      <c r="D32" s="251">
        <v>1500</v>
      </c>
      <c r="E32" s="89">
        <v>7000</v>
      </c>
      <c r="F32" s="86">
        <f t="shared" ref="F32:F37" si="1">SUM(D32:E32)</f>
        <v>8500</v>
      </c>
    </row>
    <row r="33" spans="2:6" x14ac:dyDescent="0.25">
      <c r="B33" s="90">
        <v>54303</v>
      </c>
      <c r="C33" s="87" t="s">
        <v>259</v>
      </c>
      <c r="D33" s="251">
        <v>5000</v>
      </c>
      <c r="E33" s="89">
        <v>5000</v>
      </c>
      <c r="F33" s="86">
        <f t="shared" si="1"/>
        <v>10000</v>
      </c>
    </row>
    <row r="34" spans="2:6" x14ac:dyDescent="0.25">
      <c r="B34" s="90">
        <v>54304</v>
      </c>
      <c r="C34" s="87" t="s">
        <v>260</v>
      </c>
      <c r="D34" s="251">
        <v>3000</v>
      </c>
      <c r="E34" s="89">
        <v>6000</v>
      </c>
      <c r="F34" s="86">
        <f t="shared" si="1"/>
        <v>9000</v>
      </c>
    </row>
    <row r="35" spans="2:6" x14ac:dyDescent="0.25">
      <c r="B35" s="92">
        <v>54313</v>
      </c>
      <c r="C35" s="93" t="s">
        <v>261</v>
      </c>
      <c r="D35" s="257">
        <v>1500</v>
      </c>
      <c r="E35" s="95">
        <v>0</v>
      </c>
      <c r="F35" s="86">
        <f t="shared" si="1"/>
        <v>1500</v>
      </c>
    </row>
    <row r="36" spans="2:6" x14ac:dyDescent="0.25">
      <c r="B36" s="92">
        <v>54314</v>
      </c>
      <c r="C36" s="93" t="s">
        <v>262</v>
      </c>
      <c r="D36" s="257">
        <v>15000</v>
      </c>
      <c r="E36" s="95">
        <v>0</v>
      </c>
      <c r="F36" s="86">
        <f>SUM(D36:E36)</f>
        <v>15000</v>
      </c>
    </row>
    <row r="37" spans="2:6" x14ac:dyDescent="0.25">
      <c r="B37" s="92">
        <v>54399</v>
      </c>
      <c r="C37" s="93" t="s">
        <v>263</v>
      </c>
      <c r="D37" s="257">
        <v>500</v>
      </c>
      <c r="E37" s="95">
        <v>0</v>
      </c>
      <c r="F37" s="86">
        <f t="shared" si="1"/>
        <v>500</v>
      </c>
    </row>
    <row r="38" spans="2:6" x14ac:dyDescent="0.25">
      <c r="B38" s="76">
        <v>544</v>
      </c>
      <c r="C38" s="77" t="s">
        <v>264</v>
      </c>
      <c r="D38" s="253">
        <f>SUM(D39:D41)</f>
        <v>8500</v>
      </c>
      <c r="E38" s="79">
        <f>SUM(E39:E41)</f>
        <v>12969.85</v>
      </c>
      <c r="F38" s="80">
        <f>SUM(F39:F41)</f>
        <v>21469.85</v>
      </c>
    </row>
    <row r="39" spans="2:6" x14ac:dyDescent="0.25">
      <c r="B39" s="90">
        <v>54401</v>
      </c>
      <c r="C39" s="87" t="s">
        <v>265</v>
      </c>
      <c r="D39" s="251">
        <v>500</v>
      </c>
      <c r="E39" s="89">
        <v>0</v>
      </c>
      <c r="F39" s="86">
        <f>SUM(D39:E39)</f>
        <v>500</v>
      </c>
    </row>
    <row r="40" spans="2:6" x14ac:dyDescent="0.25">
      <c r="B40" s="90">
        <v>54402</v>
      </c>
      <c r="C40" s="87" t="s">
        <v>266</v>
      </c>
      <c r="D40" s="251">
        <v>5000</v>
      </c>
      <c r="E40" s="239">
        <v>6769.85</v>
      </c>
      <c r="F40" s="86">
        <f>SUM(D40:E40)</f>
        <v>11769.85</v>
      </c>
    </row>
    <row r="41" spans="2:6" x14ac:dyDescent="0.25">
      <c r="B41" s="90">
        <v>54404</v>
      </c>
      <c r="C41" s="87" t="s">
        <v>267</v>
      </c>
      <c r="D41" s="251">
        <v>3000</v>
      </c>
      <c r="E41" s="89">
        <v>6200</v>
      </c>
      <c r="F41" s="86">
        <f>SUM(D41:E41)</f>
        <v>9200</v>
      </c>
    </row>
    <row r="42" spans="2:6" x14ac:dyDescent="0.25">
      <c r="B42" s="81">
        <v>545</v>
      </c>
      <c r="C42" s="91" t="s">
        <v>268</v>
      </c>
      <c r="D42" s="248">
        <f>SUM(D43:D44)</f>
        <v>17200</v>
      </c>
      <c r="E42" s="83">
        <f>SUM(E43:E44)</f>
        <v>0</v>
      </c>
      <c r="F42" s="80">
        <f>SUM(F43:F44)</f>
        <v>17200</v>
      </c>
    </row>
    <row r="43" spans="2:6" x14ac:dyDescent="0.25">
      <c r="B43" s="90">
        <v>54503</v>
      </c>
      <c r="C43" s="87" t="s">
        <v>269</v>
      </c>
      <c r="D43" s="251">
        <v>1200</v>
      </c>
      <c r="E43" s="89">
        <v>0</v>
      </c>
      <c r="F43" s="86">
        <f>SUM(D43:E43)</f>
        <v>1200</v>
      </c>
    </row>
    <row r="44" spans="2:6" x14ac:dyDescent="0.25">
      <c r="B44" s="90">
        <v>54599</v>
      </c>
      <c r="C44" s="87" t="s">
        <v>270</v>
      </c>
      <c r="D44" s="251">
        <v>16000</v>
      </c>
      <c r="E44" s="89">
        <v>0</v>
      </c>
      <c r="F44" s="86">
        <f>SUM(D44:E44)</f>
        <v>16000</v>
      </c>
    </row>
    <row r="45" spans="2:6" x14ac:dyDescent="0.25">
      <c r="B45" s="81">
        <v>55</v>
      </c>
      <c r="C45" s="91" t="s">
        <v>132</v>
      </c>
      <c r="D45" s="80">
        <f>SUM(D46)</f>
        <v>31278</v>
      </c>
      <c r="E45" s="83">
        <f>SUM(E46)</f>
        <v>0</v>
      </c>
      <c r="F45" s="80">
        <f>SUM(F46)</f>
        <v>31278</v>
      </c>
    </row>
    <row r="46" spans="2:6" x14ac:dyDescent="0.25">
      <c r="B46" s="81">
        <v>556</v>
      </c>
      <c r="C46" s="91" t="s">
        <v>271</v>
      </c>
      <c r="D46" s="80">
        <f>SUM(D47:D48)</f>
        <v>31278</v>
      </c>
      <c r="E46" s="83">
        <f>SUM(E47:E48)</f>
        <v>0</v>
      </c>
      <c r="F46" s="80">
        <f>SUM(F47:F48)</f>
        <v>31278</v>
      </c>
    </row>
    <row r="47" spans="2:6" x14ac:dyDescent="0.25">
      <c r="B47" s="90">
        <v>55601</v>
      </c>
      <c r="C47" s="87" t="s">
        <v>272</v>
      </c>
      <c r="D47" s="86">
        <v>16278</v>
      </c>
      <c r="E47" s="89">
        <v>0</v>
      </c>
      <c r="F47" s="86">
        <f>SUM(D47:E47)</f>
        <v>16278</v>
      </c>
    </row>
    <row r="48" spans="2:6" x14ac:dyDescent="0.25">
      <c r="B48" s="90">
        <v>55602</v>
      </c>
      <c r="C48" s="87" t="s">
        <v>273</v>
      </c>
      <c r="D48" s="86">
        <v>15000</v>
      </c>
      <c r="E48" s="89">
        <v>0</v>
      </c>
      <c r="F48" s="86">
        <f>SUM(D48:E48)</f>
        <v>15000</v>
      </c>
    </row>
    <row r="49" spans="2:6" x14ac:dyDescent="0.25">
      <c r="B49" s="81">
        <v>56</v>
      </c>
      <c r="C49" s="91" t="s">
        <v>106</v>
      </c>
      <c r="D49" s="80">
        <f>SUM(D50+D54)</f>
        <v>1500</v>
      </c>
      <c r="E49" s="83">
        <f>SUM(E50+E54)</f>
        <v>5700</v>
      </c>
      <c r="F49" s="80">
        <f>SUM(F50+F54)</f>
        <v>7200</v>
      </c>
    </row>
    <row r="50" spans="2:6" ht="15.75" customHeight="1" x14ac:dyDescent="0.25">
      <c r="B50" s="81">
        <v>562</v>
      </c>
      <c r="C50" s="91" t="s">
        <v>274</v>
      </c>
      <c r="D50" s="80">
        <f>SUM(D51:D53)</f>
        <v>0</v>
      </c>
      <c r="E50" s="83">
        <f>SUM(E51:E53)</f>
        <v>5700</v>
      </c>
      <c r="F50" s="80">
        <f>SUM(F51:F53)</f>
        <v>5700</v>
      </c>
    </row>
    <row r="51" spans="2:6" x14ac:dyDescent="0.25">
      <c r="B51" s="90">
        <v>5629501</v>
      </c>
      <c r="C51" s="87" t="s">
        <v>275</v>
      </c>
      <c r="D51" s="86">
        <v>0</v>
      </c>
      <c r="E51" s="89">
        <v>900</v>
      </c>
      <c r="F51" s="86">
        <f>SUM(D51:E51)</f>
        <v>900</v>
      </c>
    </row>
    <row r="52" spans="2:6" x14ac:dyDescent="0.25">
      <c r="B52" s="90">
        <v>5629512</v>
      </c>
      <c r="C52" s="87" t="s">
        <v>276</v>
      </c>
      <c r="D52" s="86">
        <v>0</v>
      </c>
      <c r="E52" s="89">
        <v>1200</v>
      </c>
      <c r="F52" s="86">
        <f>SUM(D52:E52)</f>
        <v>1200</v>
      </c>
    </row>
    <row r="53" spans="2:6" x14ac:dyDescent="0.25">
      <c r="B53" s="90">
        <v>5629586</v>
      </c>
      <c r="C53" s="87" t="s">
        <v>277</v>
      </c>
      <c r="D53" s="86">
        <v>0</v>
      </c>
      <c r="E53" s="239">
        <v>3600</v>
      </c>
      <c r="F53" s="86">
        <f>SUM(D53:E53)</f>
        <v>3600</v>
      </c>
    </row>
    <row r="54" spans="2:6" ht="13.5" customHeight="1" x14ac:dyDescent="0.25">
      <c r="B54" s="81">
        <v>563</v>
      </c>
      <c r="C54" s="91" t="s">
        <v>278</v>
      </c>
      <c r="D54" s="80">
        <f>SUM(D55)</f>
        <v>1500</v>
      </c>
      <c r="E54" s="83">
        <f>SUM(E55)</f>
        <v>0</v>
      </c>
      <c r="F54" s="80">
        <f>SUM(F55)</f>
        <v>1500</v>
      </c>
    </row>
    <row r="55" spans="2:6" x14ac:dyDescent="0.25">
      <c r="B55" s="90">
        <v>56304</v>
      </c>
      <c r="C55" s="87" t="s">
        <v>279</v>
      </c>
      <c r="D55" s="86">
        <v>1500</v>
      </c>
      <c r="E55" s="89">
        <v>0</v>
      </c>
      <c r="F55" s="86">
        <f>SUM(D55:E55)</f>
        <v>1500</v>
      </c>
    </row>
    <row r="56" spans="2:6" x14ac:dyDescent="0.25">
      <c r="B56" s="81">
        <v>61</v>
      </c>
      <c r="C56" s="91" t="s">
        <v>280</v>
      </c>
      <c r="D56" s="80">
        <f>SUM(D57)</f>
        <v>2800</v>
      </c>
      <c r="E56" s="83">
        <f t="shared" ref="E56:F56" si="2">SUM(E57)</f>
        <v>0</v>
      </c>
      <c r="F56" s="80">
        <f t="shared" si="2"/>
        <v>2800</v>
      </c>
    </row>
    <row r="57" spans="2:6" x14ac:dyDescent="0.25">
      <c r="B57" s="81">
        <v>611</v>
      </c>
      <c r="C57" s="91" t="s">
        <v>281</v>
      </c>
      <c r="D57" s="80">
        <f>SUM(D58:D58)</f>
        <v>2800</v>
      </c>
      <c r="E57" s="83">
        <f>SUM(E58:E58)</f>
        <v>0</v>
      </c>
      <c r="F57" s="80">
        <f>SUM(F58:F58)</f>
        <v>2800</v>
      </c>
    </row>
    <row r="58" spans="2:6" x14ac:dyDescent="0.25">
      <c r="B58" s="90">
        <v>61101</v>
      </c>
      <c r="C58" s="87" t="s">
        <v>282</v>
      </c>
      <c r="D58" s="86">
        <v>2800</v>
      </c>
      <c r="E58" s="89">
        <v>0</v>
      </c>
      <c r="F58" s="86">
        <f>SUM(D58:E58)</f>
        <v>2800</v>
      </c>
    </row>
    <row r="59" spans="2:6" x14ac:dyDescent="0.25">
      <c r="B59" s="90"/>
      <c r="C59" s="87"/>
      <c r="D59" s="86"/>
      <c r="E59" s="89"/>
      <c r="F59" s="86"/>
    </row>
    <row r="60" spans="2:6" x14ac:dyDescent="0.25">
      <c r="B60" s="90"/>
      <c r="C60" s="91" t="s">
        <v>70</v>
      </c>
      <c r="D60" s="80">
        <f>SUM(D11+D20+D45+D49+D56)</f>
        <v>207584.4</v>
      </c>
      <c r="E60" s="83">
        <f>SUM(E11+E20+E45+E49+E56)</f>
        <v>105248.04000000001</v>
      </c>
      <c r="F60" s="80">
        <f>SUM(D60:E60)</f>
        <v>312832.44</v>
      </c>
    </row>
    <row r="61" spans="2:6" x14ac:dyDescent="0.25">
      <c r="B61" s="90"/>
      <c r="C61" s="87"/>
      <c r="D61" s="86"/>
      <c r="E61" s="89"/>
      <c r="F61" s="86"/>
    </row>
    <row r="62" spans="2:6" x14ac:dyDescent="0.25">
      <c r="B62" s="81"/>
      <c r="C62" s="91" t="s">
        <v>61</v>
      </c>
      <c r="D62" s="80">
        <f>SUM(D11+D20+D45+D49+D56)</f>
        <v>207584.4</v>
      </c>
      <c r="E62" s="83">
        <f>SUM(E11+E20+E45+E49+E56)</f>
        <v>105248.04000000001</v>
      </c>
      <c r="F62" s="80">
        <f>SUM(F11+F20+F45+F49+F56)</f>
        <v>312832.44</v>
      </c>
    </row>
    <row r="63" spans="2:6" x14ac:dyDescent="0.25">
      <c r="B63" s="81"/>
      <c r="C63" s="91" t="s">
        <v>62</v>
      </c>
      <c r="D63" s="80">
        <f>SUM(D12+D14+D16+D18+D21+D31+D38+D42+D46+D50+D54+D57)</f>
        <v>207584.4</v>
      </c>
      <c r="E63" s="83">
        <f>SUM(E12+E14+E16+E18+E21+E31+E38+E42+E46+E50+E54+E57)</f>
        <v>105248.04000000001</v>
      </c>
      <c r="F63" s="80">
        <f>SUM(F12+F14+F16+F18+F21+F31+F38+F42+F46+F50+F54+F57)</f>
        <v>312832.44</v>
      </c>
    </row>
    <row r="64" spans="2:6" x14ac:dyDescent="0.25">
      <c r="B64" s="81"/>
      <c r="C64" s="91" t="s">
        <v>63</v>
      </c>
      <c r="D64" s="80">
        <f>SUM(D13+D15+D17+D19+D22+D23+D24+D25+D26+D27+D28+D29+D30+D32+D33+D34+D35+D36+D37+D39+D40+D41+D43+D44+D47+D48+D51++D52+D53+D55+D58)</f>
        <v>207584.4</v>
      </c>
      <c r="E64" s="83">
        <f>SUM(E13+E15+E17+E19+E22+E24+E25+E26+E27+E28+E29+E30+E32+E33+E34+E35+E36+E39+E40+E41+E44+E47+E48+E51++E52+E53+E55+E58)</f>
        <v>105248.04000000001</v>
      </c>
      <c r="F64" s="80">
        <f>SUM(F13+F15+F17+F19+F22+F23+F24+F25+F26+F27+F28+F29+F30+F32+F33+F34+F35+F36+F37+F39+F40+F41+F43+F44+F47+F48+F51++F52+F53+F55+F58)</f>
        <v>312832.44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68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3:F33"/>
  <sheetViews>
    <sheetView workbookViewId="0">
      <pane ySplit="12" topLeftCell="A13" activePane="bottomLeft" state="frozen"/>
      <selection pane="bottomLeft" activeCell="I23" sqref="I23"/>
    </sheetView>
  </sheetViews>
  <sheetFormatPr baseColWidth="10" defaultRowHeight="15" x14ac:dyDescent="0.25"/>
  <cols>
    <col min="1" max="1" width="3.28515625" style="72" customWidth="1"/>
    <col min="2" max="2" width="7.85546875" style="72" customWidth="1"/>
    <col min="3" max="3" width="40.5703125" style="72" customWidth="1"/>
    <col min="4" max="4" width="14.85546875" style="72" customWidth="1"/>
    <col min="5" max="5" width="16.140625" style="72" customWidth="1"/>
    <col min="6" max="6" width="14.7109375" style="72" customWidth="1"/>
    <col min="7" max="16384" width="11.42578125" style="72"/>
  </cols>
  <sheetData>
    <row r="3" spans="2:6" ht="15.75" x14ac:dyDescent="0.25">
      <c r="B3" s="429" t="s">
        <v>407</v>
      </c>
      <c r="C3" s="429"/>
      <c r="D3" s="429"/>
      <c r="E3" s="429"/>
      <c r="F3" s="429"/>
    </row>
    <row r="4" spans="2:6" ht="15.75" x14ac:dyDescent="0.25">
      <c r="B4" s="429" t="s">
        <v>223</v>
      </c>
      <c r="C4" s="429"/>
      <c r="D4" s="429"/>
      <c r="E4" s="429"/>
      <c r="F4" s="429"/>
    </row>
    <row r="5" spans="2:6" ht="15.75" x14ac:dyDescent="0.25">
      <c r="B5" s="427" t="s">
        <v>224</v>
      </c>
      <c r="C5" s="427"/>
      <c r="D5" s="427"/>
      <c r="E5" s="427"/>
      <c r="F5" s="427"/>
    </row>
    <row r="6" spans="2:6" ht="15.75" x14ac:dyDescent="0.25">
      <c r="B6" s="427" t="s">
        <v>284</v>
      </c>
      <c r="C6" s="427"/>
      <c r="D6" s="427"/>
      <c r="E6" s="427"/>
      <c r="F6" s="427"/>
    </row>
    <row r="7" spans="2:6" ht="18.75" customHeight="1" x14ac:dyDescent="0.25">
      <c r="B7" s="426" t="s">
        <v>285</v>
      </c>
      <c r="C7" s="426"/>
      <c r="D7" s="426"/>
      <c r="E7" s="426"/>
      <c r="F7" s="426"/>
    </row>
    <row r="8" spans="2:6" ht="15.75" x14ac:dyDescent="0.25">
      <c r="B8" s="427" t="s">
        <v>226</v>
      </c>
      <c r="C8" s="427"/>
      <c r="D8" s="427"/>
      <c r="E8" s="427"/>
      <c r="F8" s="427"/>
    </row>
    <row r="9" spans="2:6" ht="15.75" x14ac:dyDescent="0.25">
      <c r="B9" s="426" t="s">
        <v>185</v>
      </c>
      <c r="C9" s="426"/>
      <c r="D9" s="426"/>
      <c r="E9" s="426"/>
      <c r="F9" s="426"/>
    </row>
    <row r="10" spans="2:6" x14ac:dyDescent="0.25">
      <c r="B10" s="31"/>
      <c r="C10" s="31"/>
      <c r="D10" s="31"/>
      <c r="E10" s="32"/>
      <c r="F10" s="31"/>
    </row>
    <row r="11" spans="2:6" x14ac:dyDescent="0.25">
      <c r="B11" s="425" t="s">
        <v>228</v>
      </c>
      <c r="C11" s="425" t="s">
        <v>229</v>
      </c>
      <c r="D11" s="97" t="s">
        <v>230</v>
      </c>
      <c r="E11" s="97" t="s">
        <v>231</v>
      </c>
      <c r="F11" s="425" t="s">
        <v>0</v>
      </c>
    </row>
    <row r="12" spans="2:6" ht="25.5" x14ac:dyDescent="0.25">
      <c r="B12" s="425"/>
      <c r="C12" s="425"/>
      <c r="D12" s="97" t="s">
        <v>232</v>
      </c>
      <c r="E12" s="354" t="s">
        <v>233</v>
      </c>
      <c r="F12" s="425"/>
    </row>
    <row r="13" spans="2:6" x14ac:dyDescent="0.25">
      <c r="B13" s="76">
        <v>51</v>
      </c>
      <c r="C13" s="77" t="s">
        <v>130</v>
      </c>
      <c r="D13" s="78">
        <f>SUM(D14+D17+D19)</f>
        <v>19383.75</v>
      </c>
      <c r="E13" s="78">
        <f>SUM(E14+E17+E19)</f>
        <v>0</v>
      </c>
      <c r="F13" s="78">
        <f>SUM(F14+F17+F19)</f>
        <v>19383.75</v>
      </c>
    </row>
    <row r="14" spans="2:6" x14ac:dyDescent="0.25">
      <c r="B14" s="81">
        <v>511</v>
      </c>
      <c r="C14" s="82" t="s">
        <v>234</v>
      </c>
      <c r="D14" s="80">
        <f>SUM(D15:D16)</f>
        <v>16800</v>
      </c>
      <c r="E14" s="80">
        <f>SUM(E15:E16)</f>
        <v>0</v>
      </c>
      <c r="F14" s="80">
        <f>SUM(F15:F16)</f>
        <v>16800</v>
      </c>
    </row>
    <row r="15" spans="2:6" x14ac:dyDescent="0.25">
      <c r="B15" s="84">
        <v>51101</v>
      </c>
      <c r="C15" s="85" t="s">
        <v>235</v>
      </c>
      <c r="D15" s="86">
        <v>15900</v>
      </c>
      <c r="E15" s="86"/>
      <c r="F15" s="86">
        <f>SUM(D15:E15)</f>
        <v>15900</v>
      </c>
    </row>
    <row r="16" spans="2:6" x14ac:dyDescent="0.25">
      <c r="B16" s="84">
        <v>51103</v>
      </c>
      <c r="C16" s="87" t="s">
        <v>236</v>
      </c>
      <c r="D16" s="86">
        <v>900</v>
      </c>
      <c r="E16" s="86">
        <v>0</v>
      </c>
      <c r="F16" s="86">
        <f>SUM(D16:E16)</f>
        <v>900</v>
      </c>
    </row>
    <row r="17" spans="2:6" x14ac:dyDescent="0.25">
      <c r="B17" s="81">
        <v>514</v>
      </c>
      <c r="C17" s="77" t="s">
        <v>239</v>
      </c>
      <c r="D17" s="80">
        <f>SUM(D18)</f>
        <v>1351.5</v>
      </c>
      <c r="E17" s="80">
        <f t="shared" ref="E17:F17" si="0">SUM(E18)</f>
        <v>0</v>
      </c>
      <c r="F17" s="80">
        <f t="shared" si="0"/>
        <v>1351.5</v>
      </c>
    </row>
    <row r="18" spans="2:6" x14ac:dyDescent="0.25">
      <c r="B18" s="90">
        <v>51401</v>
      </c>
      <c r="C18" s="87" t="s">
        <v>240</v>
      </c>
      <c r="D18" s="86">
        <v>1351.5</v>
      </c>
      <c r="E18" s="86"/>
      <c r="F18" s="86">
        <f>SUM(D18:E18)</f>
        <v>1351.5</v>
      </c>
    </row>
    <row r="19" spans="2:6" x14ac:dyDescent="0.25">
      <c r="B19" s="81">
        <v>515</v>
      </c>
      <c r="C19" s="91" t="s">
        <v>241</v>
      </c>
      <c r="D19" s="80">
        <f>SUM(D20:D20)</f>
        <v>1232.25</v>
      </c>
      <c r="E19" s="80">
        <f>SUM(E20:E20)</f>
        <v>0</v>
      </c>
      <c r="F19" s="80">
        <f>SUM(F20:F20)</f>
        <v>1232.25</v>
      </c>
    </row>
    <row r="20" spans="2:6" x14ac:dyDescent="0.25">
      <c r="B20" s="90">
        <v>51501</v>
      </c>
      <c r="C20" s="87" t="s">
        <v>240</v>
      </c>
      <c r="D20" s="86">
        <v>1232.25</v>
      </c>
      <c r="E20" s="86"/>
      <c r="F20" s="86">
        <f>SUM(D20:E20)</f>
        <v>1232.25</v>
      </c>
    </row>
    <row r="21" spans="2:6" x14ac:dyDescent="0.25">
      <c r="B21" s="81">
        <v>54</v>
      </c>
      <c r="C21" s="91" t="s">
        <v>286</v>
      </c>
      <c r="D21" s="80">
        <f>SUM(D22)</f>
        <v>3175</v>
      </c>
      <c r="E21" s="80">
        <f>SUM(E22)</f>
        <v>0</v>
      </c>
      <c r="F21" s="80">
        <f>SUM(F22)</f>
        <v>3175</v>
      </c>
    </row>
    <row r="22" spans="2:6" x14ac:dyDescent="0.25">
      <c r="B22" s="81">
        <v>541</v>
      </c>
      <c r="C22" s="247" t="s">
        <v>287</v>
      </c>
      <c r="D22" s="248">
        <f>SUM(D23:D26)</f>
        <v>3175</v>
      </c>
      <c r="E22" s="248">
        <f>SUM(E23:E26)</f>
        <v>0</v>
      </c>
      <c r="F22" s="248">
        <f>SUM(F23:F26)</f>
        <v>3175</v>
      </c>
    </row>
    <row r="23" spans="2:6" x14ac:dyDescent="0.25">
      <c r="B23" s="90">
        <v>54101</v>
      </c>
      <c r="C23" s="250" t="s">
        <v>246</v>
      </c>
      <c r="D23" s="251">
        <v>2800</v>
      </c>
      <c r="E23" s="251"/>
      <c r="F23" s="251">
        <f>SUM(D23:E23)</f>
        <v>2800</v>
      </c>
    </row>
    <row r="24" spans="2:6" x14ac:dyDescent="0.25">
      <c r="B24" s="90">
        <v>54105</v>
      </c>
      <c r="C24" s="250" t="s">
        <v>249</v>
      </c>
      <c r="D24" s="251">
        <v>55</v>
      </c>
      <c r="E24" s="251"/>
      <c r="F24" s="251">
        <f>SUM(D24:E24)</f>
        <v>55</v>
      </c>
    </row>
    <row r="25" spans="2:6" x14ac:dyDescent="0.25">
      <c r="B25" s="90">
        <v>54114</v>
      </c>
      <c r="C25" s="250" t="s">
        <v>253</v>
      </c>
      <c r="D25" s="251">
        <v>300</v>
      </c>
      <c r="E25" s="251"/>
      <c r="F25" s="251">
        <f>SUM(D25:E25)</f>
        <v>300</v>
      </c>
    </row>
    <row r="26" spans="2:6" x14ac:dyDescent="0.25">
      <c r="B26" s="90">
        <v>54115</v>
      </c>
      <c r="C26" s="250" t="s">
        <v>254</v>
      </c>
      <c r="D26" s="251">
        <v>20</v>
      </c>
      <c r="E26" s="251"/>
      <c r="F26" s="251">
        <f>SUM(D26:E26)</f>
        <v>20</v>
      </c>
    </row>
    <row r="27" spans="2:6" x14ac:dyDescent="0.25">
      <c r="B27" s="90"/>
      <c r="C27" s="250"/>
      <c r="D27" s="251"/>
      <c r="E27" s="251"/>
      <c r="F27" s="251"/>
    </row>
    <row r="28" spans="2:6" x14ac:dyDescent="0.25">
      <c r="B28" s="90"/>
      <c r="C28" s="247" t="s">
        <v>70</v>
      </c>
      <c r="D28" s="248">
        <f>SUM(D13+D21)</f>
        <v>22558.75</v>
      </c>
      <c r="E28" s="248">
        <f>SUM(E13+E21)</f>
        <v>0</v>
      </c>
      <c r="F28" s="248">
        <f>SUM(D28:E28)</f>
        <v>22558.75</v>
      </c>
    </row>
    <row r="29" spans="2:6" x14ac:dyDescent="0.25">
      <c r="B29" s="90"/>
      <c r="C29" s="250"/>
      <c r="D29" s="251"/>
      <c r="E29" s="251"/>
      <c r="F29" s="251"/>
    </row>
    <row r="30" spans="2:6" x14ac:dyDescent="0.25">
      <c r="B30" s="81"/>
      <c r="C30" s="247" t="s">
        <v>61</v>
      </c>
      <c r="D30" s="248">
        <f>SUM(D13+D21)</f>
        <v>22558.75</v>
      </c>
      <c r="E30" s="248">
        <f>SUM(E13+E21)</f>
        <v>0</v>
      </c>
      <c r="F30" s="248">
        <f>SUM(F13+F21)</f>
        <v>22558.75</v>
      </c>
    </row>
    <row r="31" spans="2:6" x14ac:dyDescent="0.25">
      <c r="B31" s="81"/>
      <c r="C31" s="247" t="s">
        <v>62</v>
      </c>
      <c r="D31" s="248">
        <f>SUM(D14+D17+D19+D22)</f>
        <v>22558.75</v>
      </c>
      <c r="E31" s="248">
        <f>SUM(E14+E17+E19+E22)</f>
        <v>0</v>
      </c>
      <c r="F31" s="248">
        <f>SUM(F14+F17+F19+F22)</f>
        <v>22558.75</v>
      </c>
    </row>
    <row r="32" spans="2:6" x14ac:dyDescent="0.25">
      <c r="B32" s="81"/>
      <c r="C32" s="247" t="s">
        <v>63</v>
      </c>
      <c r="D32" s="248">
        <f>SUM(D15+D16+D18+D20+D23+D24+D25+D26)</f>
        <v>22558.75</v>
      </c>
      <c r="E32" s="248">
        <f>SUM(E15+E16+E18+E20+E23+E24+E25+E26)</f>
        <v>0</v>
      </c>
      <c r="F32" s="248">
        <f>SUM(F15+F16+F18+F20+F23+F24+F25+F26)</f>
        <v>22558.75</v>
      </c>
    </row>
    <row r="33" spans="3:6" x14ac:dyDescent="0.25">
      <c r="C33" s="249"/>
      <c r="D33" s="249"/>
      <c r="E33" s="249"/>
      <c r="F33" s="249"/>
    </row>
  </sheetData>
  <mergeCells count="10">
    <mergeCell ref="B9:F9"/>
    <mergeCell ref="B11:B12"/>
    <mergeCell ref="C11:C12"/>
    <mergeCell ref="F11:F12"/>
    <mergeCell ref="B3:F3"/>
    <mergeCell ref="B4:F4"/>
    <mergeCell ref="B5:F5"/>
    <mergeCell ref="B6:F6"/>
    <mergeCell ref="B8:F8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F58"/>
  <sheetViews>
    <sheetView workbookViewId="0">
      <pane ySplit="10" topLeftCell="A26" activePane="bottomLeft" state="frozen"/>
      <selection pane="bottomLeft" activeCell="J37" sqref="J37"/>
    </sheetView>
  </sheetViews>
  <sheetFormatPr baseColWidth="10" defaultRowHeight="15" x14ac:dyDescent="0.25"/>
  <cols>
    <col min="1" max="1" width="11.42578125" style="72"/>
    <col min="2" max="2" width="9.5703125" style="72" customWidth="1"/>
    <col min="3" max="3" width="44.42578125" style="72" customWidth="1"/>
    <col min="4" max="4" width="15.42578125" style="72" customWidth="1"/>
    <col min="5" max="5" width="16.5703125" style="72" customWidth="1"/>
    <col min="6" max="6" width="14" style="72" customWidth="1"/>
    <col min="7" max="16384" width="11.42578125" style="72"/>
  </cols>
  <sheetData>
    <row r="2" spans="2:6" ht="15.75" x14ac:dyDescent="0.25">
      <c r="B2" s="426" t="s">
        <v>407</v>
      </c>
      <c r="C2" s="426"/>
      <c r="D2" s="426"/>
      <c r="E2" s="426"/>
      <c r="F2" s="426"/>
    </row>
    <row r="3" spans="2:6" ht="15.75" x14ac:dyDescent="0.25">
      <c r="B3" s="426" t="s">
        <v>223</v>
      </c>
      <c r="C3" s="426"/>
      <c r="D3" s="426"/>
      <c r="E3" s="426"/>
      <c r="F3" s="426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225</v>
      </c>
      <c r="C5" s="427"/>
      <c r="D5" s="427"/>
      <c r="E5" s="427"/>
      <c r="F5" s="427"/>
    </row>
    <row r="6" spans="2:6" ht="15.75" x14ac:dyDescent="0.25">
      <c r="B6" s="427" t="s">
        <v>226</v>
      </c>
      <c r="C6" s="427"/>
      <c r="D6" s="427"/>
      <c r="E6" s="427"/>
      <c r="F6" s="427"/>
    </row>
    <row r="7" spans="2:6" ht="15.75" x14ac:dyDescent="0.25">
      <c r="B7" s="428" t="s">
        <v>288</v>
      </c>
      <c r="C7" s="428"/>
      <c r="D7" s="428"/>
      <c r="E7" s="428"/>
      <c r="F7" s="428"/>
    </row>
    <row r="8" spans="2:6" ht="15.75" thickBot="1" x14ac:dyDescent="0.3">
      <c r="B8" s="31"/>
      <c r="C8" s="31"/>
      <c r="D8" s="31"/>
      <c r="E8" s="32" t="s">
        <v>289</v>
      </c>
      <c r="F8" s="31"/>
    </row>
    <row r="9" spans="2:6" x14ac:dyDescent="0.25">
      <c r="B9" s="421" t="s">
        <v>228</v>
      </c>
      <c r="C9" s="430" t="s">
        <v>229</v>
      </c>
      <c r="D9" s="240" t="s">
        <v>230</v>
      </c>
      <c r="E9" s="242" t="s">
        <v>231</v>
      </c>
      <c r="F9" s="432" t="s">
        <v>0</v>
      </c>
    </row>
    <row r="10" spans="2:6" ht="26.25" thickBot="1" x14ac:dyDescent="0.3">
      <c r="B10" s="422"/>
      <c r="C10" s="431"/>
      <c r="D10" s="241" t="s">
        <v>232</v>
      </c>
      <c r="E10" s="360" t="s">
        <v>233</v>
      </c>
      <c r="F10" s="433"/>
    </row>
    <row r="11" spans="2:6" x14ac:dyDescent="0.25">
      <c r="B11" s="76">
        <v>51</v>
      </c>
      <c r="C11" s="252" t="s">
        <v>130</v>
      </c>
      <c r="D11" s="253">
        <f>SUM(D12+D15+D17+D19)</f>
        <v>60906.5</v>
      </c>
      <c r="E11" s="253">
        <f>SUM(E12+E15+E17+E19)</f>
        <v>20925</v>
      </c>
      <c r="F11" s="253">
        <f>SUM(F12+F15+F17+F19)</f>
        <v>80581.5</v>
      </c>
    </row>
    <row r="12" spans="2:6" x14ac:dyDescent="0.25">
      <c r="B12" s="81">
        <v>511</v>
      </c>
      <c r="C12" s="254" t="s">
        <v>234</v>
      </c>
      <c r="D12" s="248">
        <f>SUM(D13:D14)</f>
        <v>37310</v>
      </c>
      <c r="E12" s="248">
        <f>SUM(E13:E14)</f>
        <v>18000</v>
      </c>
      <c r="F12" s="248">
        <f>SUM(F13:F14)</f>
        <v>54060</v>
      </c>
    </row>
    <row r="13" spans="2:6" x14ac:dyDescent="0.25">
      <c r="B13" s="84">
        <v>51101</v>
      </c>
      <c r="C13" s="255" t="s">
        <v>235</v>
      </c>
      <c r="D13" s="251">
        <v>34440</v>
      </c>
      <c r="E13" s="251">
        <v>18000</v>
      </c>
      <c r="F13" s="251">
        <f>SUM(D13:E13)</f>
        <v>52440</v>
      </c>
    </row>
    <row r="14" spans="2:6" x14ac:dyDescent="0.25">
      <c r="B14" s="84">
        <v>51103</v>
      </c>
      <c r="C14" s="250" t="s">
        <v>236</v>
      </c>
      <c r="D14" s="251">
        <v>2870</v>
      </c>
      <c r="E14" s="251">
        <v>0</v>
      </c>
      <c r="F14" s="251">
        <v>1620</v>
      </c>
    </row>
    <row r="15" spans="2:6" x14ac:dyDescent="0.25">
      <c r="B15" s="81">
        <v>514</v>
      </c>
      <c r="C15" s="252" t="s">
        <v>239</v>
      </c>
      <c r="D15" s="248">
        <f>SUM(D16:D16)</f>
        <v>2927.4</v>
      </c>
      <c r="E15" s="248">
        <f>SUM(E16:E16)</f>
        <v>1530</v>
      </c>
      <c r="F15" s="248">
        <f>SUM(F16:F16)</f>
        <v>4457.3999999999996</v>
      </c>
    </row>
    <row r="16" spans="2:6" x14ac:dyDescent="0.25">
      <c r="B16" s="90">
        <v>51401</v>
      </c>
      <c r="C16" s="250" t="s">
        <v>240</v>
      </c>
      <c r="D16" s="251">
        <v>2927.4</v>
      </c>
      <c r="E16" s="251">
        <v>1530</v>
      </c>
      <c r="F16" s="251">
        <f>SUM(D16:E16)</f>
        <v>4457.3999999999996</v>
      </c>
    </row>
    <row r="17" spans="2:6" x14ac:dyDescent="0.25">
      <c r="B17" s="81">
        <v>515</v>
      </c>
      <c r="C17" s="247" t="s">
        <v>241</v>
      </c>
      <c r="D17" s="248">
        <f>SUM(D18:D18)</f>
        <v>2669.1</v>
      </c>
      <c r="E17" s="248">
        <f>SUM(E18:E18)</f>
        <v>1395</v>
      </c>
      <c r="F17" s="248">
        <f>SUM(F18:F18)</f>
        <v>4064.1</v>
      </c>
    </row>
    <row r="18" spans="2:6" x14ac:dyDescent="0.25">
      <c r="B18" s="90">
        <v>51501</v>
      </c>
      <c r="C18" s="250" t="s">
        <v>240</v>
      </c>
      <c r="D18" s="251">
        <v>2669.1</v>
      </c>
      <c r="E18" s="251">
        <v>1395</v>
      </c>
      <c r="F18" s="251">
        <f>SUM(D18:E18)</f>
        <v>4064.1</v>
      </c>
    </row>
    <row r="19" spans="2:6" x14ac:dyDescent="0.25">
      <c r="B19" s="81">
        <v>516</v>
      </c>
      <c r="C19" s="247" t="s">
        <v>290</v>
      </c>
      <c r="D19" s="248">
        <f>SUM(D20)</f>
        <v>18000</v>
      </c>
      <c r="E19" s="248">
        <f>SUM(E20)</f>
        <v>0</v>
      </c>
      <c r="F19" s="248">
        <f>SUM(F20)</f>
        <v>18000</v>
      </c>
    </row>
    <row r="20" spans="2:6" x14ac:dyDescent="0.25">
      <c r="B20" s="90">
        <v>51601</v>
      </c>
      <c r="C20" s="250" t="s">
        <v>291</v>
      </c>
      <c r="D20" s="251">
        <v>18000</v>
      </c>
      <c r="E20" s="251">
        <v>0</v>
      </c>
      <c r="F20" s="251">
        <f>SUM(D20:E20)</f>
        <v>18000</v>
      </c>
    </row>
    <row r="21" spans="2:6" x14ac:dyDescent="0.25">
      <c r="B21" s="81">
        <v>54</v>
      </c>
      <c r="C21" s="247" t="s">
        <v>286</v>
      </c>
      <c r="D21" s="248">
        <f>SUM(D22+D34+D43+D46)</f>
        <v>95422.080000000002</v>
      </c>
      <c r="E21" s="248">
        <f>SUM(E22+E34+E43+E46)</f>
        <v>63449.520000000004</v>
      </c>
      <c r="F21" s="248">
        <f>SUM(F22+F34+F43+F46)</f>
        <v>158871.6</v>
      </c>
    </row>
    <row r="22" spans="2:6" x14ac:dyDescent="0.25">
      <c r="B22" s="81">
        <v>541</v>
      </c>
      <c r="C22" s="247" t="s">
        <v>245</v>
      </c>
      <c r="D22" s="248">
        <f>SUM(D23:D33)</f>
        <v>50672.46</v>
      </c>
      <c r="E22" s="248">
        <f>SUM(E23:E33)</f>
        <v>37333.910000000003</v>
      </c>
      <c r="F22" s="248">
        <f>SUM(F23:F33)</f>
        <v>88006.37</v>
      </c>
    </row>
    <row r="23" spans="2:6" x14ac:dyDescent="0.25">
      <c r="B23" s="90">
        <v>54101</v>
      </c>
      <c r="C23" s="250" t="s">
        <v>292</v>
      </c>
      <c r="D23" s="251">
        <v>7950.99</v>
      </c>
      <c r="E23" s="251">
        <v>3000</v>
      </c>
      <c r="F23" s="251">
        <f>SUM(D23:E23)</f>
        <v>10950.99</v>
      </c>
    </row>
    <row r="24" spans="2:6" x14ac:dyDescent="0.25">
      <c r="B24" s="90">
        <v>54104</v>
      </c>
      <c r="C24" s="250" t="s">
        <v>248</v>
      </c>
      <c r="D24" s="251">
        <v>3000</v>
      </c>
      <c r="E24" s="251">
        <v>4136.8100000000004</v>
      </c>
      <c r="F24" s="251">
        <f>SUM(D24:E24)</f>
        <v>7136.81</v>
      </c>
    </row>
    <row r="25" spans="2:6" x14ac:dyDescent="0.25">
      <c r="B25" s="90">
        <v>54105</v>
      </c>
      <c r="C25" s="250" t="s">
        <v>249</v>
      </c>
      <c r="D25" s="251">
        <v>250</v>
      </c>
      <c r="E25" s="251">
        <v>0</v>
      </c>
      <c r="F25" s="251">
        <f>SUM(D25:E25)</f>
        <v>250</v>
      </c>
    </row>
    <row r="26" spans="2:6" x14ac:dyDescent="0.25">
      <c r="B26" s="90">
        <v>54107</v>
      </c>
      <c r="C26" s="250" t="s">
        <v>293</v>
      </c>
      <c r="D26" s="251">
        <v>5000</v>
      </c>
      <c r="E26" s="251">
        <v>0</v>
      </c>
      <c r="F26" s="251">
        <f>+D26</f>
        <v>5000</v>
      </c>
    </row>
    <row r="27" spans="2:6" x14ac:dyDescent="0.25">
      <c r="B27" s="90">
        <v>54109</v>
      </c>
      <c r="C27" s="250" t="s">
        <v>294</v>
      </c>
      <c r="D27" s="251">
        <v>0</v>
      </c>
      <c r="E27" s="251">
        <v>2500</v>
      </c>
      <c r="F27" s="251">
        <f t="shared" ref="F27:F33" si="0">SUM(D27:E27)</f>
        <v>2500</v>
      </c>
    </row>
    <row r="28" spans="2:6" x14ac:dyDescent="0.25">
      <c r="B28" s="90">
        <v>54111</v>
      </c>
      <c r="C28" s="250" t="s">
        <v>251</v>
      </c>
      <c r="D28" s="251">
        <v>11000</v>
      </c>
      <c r="E28" s="251">
        <v>8243.1</v>
      </c>
      <c r="F28" s="251">
        <f t="shared" si="0"/>
        <v>19243.099999999999</v>
      </c>
    </row>
    <row r="29" spans="2:6" x14ac:dyDescent="0.25">
      <c r="B29" s="90">
        <v>54112</v>
      </c>
      <c r="C29" s="250" t="s">
        <v>252</v>
      </c>
      <c r="D29" s="251">
        <v>12105</v>
      </c>
      <c r="E29" s="251">
        <v>9000</v>
      </c>
      <c r="F29" s="251">
        <f t="shared" si="0"/>
        <v>21105</v>
      </c>
    </row>
    <row r="30" spans="2:6" x14ac:dyDescent="0.25">
      <c r="B30" s="90">
        <v>54114</v>
      </c>
      <c r="C30" s="250" t="s">
        <v>253</v>
      </c>
      <c r="D30" s="251">
        <v>250</v>
      </c>
      <c r="E30" s="251">
        <v>0</v>
      </c>
      <c r="F30" s="251">
        <f t="shared" si="0"/>
        <v>250</v>
      </c>
    </row>
    <row r="31" spans="2:6" x14ac:dyDescent="0.25">
      <c r="B31" s="90">
        <v>54118</v>
      </c>
      <c r="C31" s="250" t="s">
        <v>295</v>
      </c>
      <c r="D31" s="251">
        <v>6000</v>
      </c>
      <c r="E31" s="251">
        <v>2354</v>
      </c>
      <c r="F31" s="251">
        <f t="shared" si="0"/>
        <v>8354</v>
      </c>
    </row>
    <row r="32" spans="2:6" x14ac:dyDescent="0.25">
      <c r="B32" s="90">
        <v>54119</v>
      </c>
      <c r="C32" s="250" t="s">
        <v>255</v>
      </c>
      <c r="D32" s="251">
        <v>500</v>
      </c>
      <c r="E32" s="251">
        <v>4100</v>
      </c>
      <c r="F32" s="251">
        <f t="shared" si="0"/>
        <v>4600</v>
      </c>
    </row>
    <row r="33" spans="2:6" x14ac:dyDescent="0.25">
      <c r="B33" s="90">
        <v>54199</v>
      </c>
      <c r="C33" s="250" t="s">
        <v>256</v>
      </c>
      <c r="D33" s="251">
        <v>4616.47</v>
      </c>
      <c r="E33" s="251">
        <v>4000</v>
      </c>
      <c r="F33" s="251">
        <f t="shared" si="0"/>
        <v>8616.4700000000012</v>
      </c>
    </row>
    <row r="34" spans="2:6" x14ac:dyDescent="0.25">
      <c r="B34" s="81">
        <v>543</v>
      </c>
      <c r="C34" s="247" t="s">
        <v>257</v>
      </c>
      <c r="D34" s="248">
        <f>SUM(D35:D42)</f>
        <v>32749.620000000003</v>
      </c>
      <c r="E34" s="248">
        <f>SUM(E35:E42)</f>
        <v>22615.61</v>
      </c>
      <c r="F34" s="248">
        <f>SUM(F35:F42)</f>
        <v>55365.23</v>
      </c>
    </row>
    <row r="35" spans="2:6" x14ac:dyDescent="0.25">
      <c r="B35" s="90">
        <v>54302</v>
      </c>
      <c r="C35" s="250" t="s">
        <v>296</v>
      </c>
      <c r="D35" s="251">
        <v>2000</v>
      </c>
      <c r="E35" s="251">
        <v>4000</v>
      </c>
      <c r="F35" s="251">
        <f t="shared" ref="F35:F42" si="1">SUM(D35:E35)</f>
        <v>6000</v>
      </c>
    </row>
    <row r="36" spans="2:6" x14ac:dyDescent="0.25">
      <c r="B36" s="90">
        <v>54303</v>
      </c>
      <c r="C36" s="250" t="s">
        <v>259</v>
      </c>
      <c r="D36" s="251">
        <v>2500</v>
      </c>
      <c r="E36" s="251">
        <v>3615.61</v>
      </c>
      <c r="F36" s="251">
        <f t="shared" si="1"/>
        <v>6115.6100000000006</v>
      </c>
    </row>
    <row r="37" spans="2:6" x14ac:dyDescent="0.25">
      <c r="B37" s="90">
        <v>54304</v>
      </c>
      <c r="C37" s="250" t="s">
        <v>297</v>
      </c>
      <c r="D37" s="251">
        <v>2000</v>
      </c>
      <c r="E37" s="251">
        <v>3000</v>
      </c>
      <c r="F37" s="251">
        <f t="shared" si="1"/>
        <v>5000</v>
      </c>
    </row>
    <row r="38" spans="2:6" x14ac:dyDescent="0.25">
      <c r="B38" s="92">
        <v>54313</v>
      </c>
      <c r="C38" s="256" t="s">
        <v>261</v>
      </c>
      <c r="D38" s="257">
        <v>1000</v>
      </c>
      <c r="E38" s="257">
        <v>1000</v>
      </c>
      <c r="F38" s="251">
        <f t="shared" si="1"/>
        <v>2000</v>
      </c>
    </row>
    <row r="39" spans="2:6" x14ac:dyDescent="0.25">
      <c r="B39" s="92">
        <v>54314</v>
      </c>
      <c r="C39" s="256" t="s">
        <v>262</v>
      </c>
      <c r="D39" s="257">
        <v>10249.620000000001</v>
      </c>
      <c r="E39" s="257">
        <v>0</v>
      </c>
      <c r="F39" s="251">
        <f t="shared" si="1"/>
        <v>10249.620000000001</v>
      </c>
    </row>
    <row r="40" spans="2:6" x14ac:dyDescent="0.25">
      <c r="B40" s="92">
        <v>54316</v>
      </c>
      <c r="C40" s="256" t="s">
        <v>298</v>
      </c>
      <c r="D40" s="257">
        <v>5000</v>
      </c>
      <c r="E40" s="257">
        <v>4000</v>
      </c>
      <c r="F40" s="257">
        <f t="shared" si="1"/>
        <v>9000</v>
      </c>
    </row>
    <row r="41" spans="2:6" x14ac:dyDescent="0.25">
      <c r="B41" s="92">
        <v>54317</v>
      </c>
      <c r="C41" s="256" t="s">
        <v>6</v>
      </c>
      <c r="D41" s="257">
        <v>8000</v>
      </c>
      <c r="E41" s="257">
        <v>5000</v>
      </c>
      <c r="F41" s="257">
        <f t="shared" si="1"/>
        <v>13000</v>
      </c>
    </row>
    <row r="42" spans="2:6" x14ac:dyDescent="0.25">
      <c r="B42" s="92">
        <v>54399</v>
      </c>
      <c r="C42" s="256" t="s">
        <v>263</v>
      </c>
      <c r="D42" s="257">
        <v>2000</v>
      </c>
      <c r="E42" s="257">
        <v>2000</v>
      </c>
      <c r="F42" s="257">
        <f t="shared" si="1"/>
        <v>4000</v>
      </c>
    </row>
    <row r="43" spans="2:6" x14ac:dyDescent="0.25">
      <c r="B43" s="76">
        <v>544</v>
      </c>
      <c r="C43" s="252" t="s">
        <v>264</v>
      </c>
      <c r="D43" s="253">
        <f>SUM(D44:D45)</f>
        <v>10000</v>
      </c>
      <c r="E43" s="253">
        <f>SUM(E44:E45)</f>
        <v>3500</v>
      </c>
      <c r="F43" s="253">
        <f>SUM(F44:F45)</f>
        <v>13500</v>
      </c>
    </row>
    <row r="44" spans="2:6" x14ac:dyDescent="0.25">
      <c r="B44" s="92">
        <v>54402</v>
      </c>
      <c r="C44" s="256" t="s">
        <v>266</v>
      </c>
      <c r="D44" s="257">
        <v>5000</v>
      </c>
      <c r="E44" s="257">
        <v>2000</v>
      </c>
      <c r="F44" s="251">
        <f>SUM(D44:E44)</f>
        <v>7000</v>
      </c>
    </row>
    <row r="45" spans="2:6" x14ac:dyDescent="0.25">
      <c r="B45" s="90">
        <v>54404</v>
      </c>
      <c r="C45" s="250" t="s">
        <v>299</v>
      </c>
      <c r="D45" s="251">
        <v>5000</v>
      </c>
      <c r="E45" s="251">
        <v>1500</v>
      </c>
      <c r="F45" s="251">
        <f>SUM(D45:E45)</f>
        <v>6500</v>
      </c>
    </row>
    <row r="46" spans="2:6" x14ac:dyDescent="0.25">
      <c r="B46" s="81">
        <v>545</v>
      </c>
      <c r="C46" s="247" t="s">
        <v>268</v>
      </c>
      <c r="D46" s="248">
        <f>SUM(D47:D48)</f>
        <v>2000</v>
      </c>
      <c r="E46" s="248">
        <f>SUM(E47:E48)</f>
        <v>0</v>
      </c>
      <c r="F46" s="248">
        <f>SUM(F47:F48)</f>
        <v>2000</v>
      </c>
    </row>
    <row r="47" spans="2:6" x14ac:dyDescent="0.25">
      <c r="B47" s="90">
        <v>54503</v>
      </c>
      <c r="C47" s="250" t="s">
        <v>300</v>
      </c>
      <c r="D47" s="251">
        <v>500</v>
      </c>
      <c r="E47" s="251">
        <v>0</v>
      </c>
      <c r="F47" s="251">
        <f>SUM(D47:E47)</f>
        <v>500</v>
      </c>
    </row>
    <row r="48" spans="2:6" x14ac:dyDescent="0.25">
      <c r="B48" s="92">
        <v>54599</v>
      </c>
      <c r="C48" s="256" t="s">
        <v>270</v>
      </c>
      <c r="D48" s="257">
        <v>1500</v>
      </c>
      <c r="E48" s="257">
        <v>0</v>
      </c>
      <c r="F48" s="257">
        <f>SUM(D48:E48)</f>
        <v>1500</v>
      </c>
    </row>
    <row r="49" spans="2:6" x14ac:dyDescent="0.25">
      <c r="B49" s="81">
        <v>61</v>
      </c>
      <c r="C49" s="247" t="s">
        <v>280</v>
      </c>
      <c r="D49" s="248">
        <f t="shared" ref="D49" si="2">SUM(D50:D50)</f>
        <v>0</v>
      </c>
      <c r="E49" s="248">
        <f>SUM(E50:E50)</f>
        <v>4000</v>
      </c>
      <c r="F49" s="248">
        <f>SUM(F50:F50)</f>
        <v>4000</v>
      </c>
    </row>
    <row r="50" spans="2:6" x14ac:dyDescent="0.25">
      <c r="B50" s="81">
        <v>611</v>
      </c>
      <c r="C50" s="247" t="s">
        <v>281</v>
      </c>
      <c r="D50" s="248">
        <f>SUM(D51:D52)</f>
        <v>0</v>
      </c>
      <c r="E50" s="248">
        <f>SUM(E51:E52)</f>
        <v>4000</v>
      </c>
      <c r="F50" s="248">
        <f>SUM(F51:F52)</f>
        <v>4000</v>
      </c>
    </row>
    <row r="51" spans="2:6" x14ac:dyDescent="0.25">
      <c r="B51" s="90">
        <v>61102</v>
      </c>
      <c r="C51" s="250" t="s">
        <v>396</v>
      </c>
      <c r="D51" s="251"/>
      <c r="E51" s="251">
        <v>2000</v>
      </c>
      <c r="F51" s="251">
        <f>SUM(D51:E51)</f>
        <v>2000</v>
      </c>
    </row>
    <row r="52" spans="2:6" x14ac:dyDescent="0.25">
      <c r="B52" s="90">
        <v>61106</v>
      </c>
      <c r="C52" s="250" t="s">
        <v>301</v>
      </c>
      <c r="D52" s="251">
        <v>0</v>
      </c>
      <c r="E52" s="251">
        <v>2000</v>
      </c>
      <c r="F52" s="251">
        <f>SUM(D52:E52)</f>
        <v>2000</v>
      </c>
    </row>
    <row r="53" spans="2:6" x14ac:dyDescent="0.25">
      <c r="B53" s="90"/>
      <c r="C53" s="250"/>
      <c r="D53" s="251"/>
      <c r="E53" s="251"/>
      <c r="F53" s="251"/>
    </row>
    <row r="54" spans="2:6" x14ac:dyDescent="0.25">
      <c r="B54" s="90"/>
      <c r="C54" s="247" t="s">
        <v>70</v>
      </c>
      <c r="D54" s="248">
        <f>D11+D21+D49</f>
        <v>156328.58000000002</v>
      </c>
      <c r="E54" s="248">
        <f>E11+E21+E49</f>
        <v>88374.52</v>
      </c>
      <c r="F54" s="248">
        <f>SUM(D54:E54)</f>
        <v>244703.10000000003</v>
      </c>
    </row>
    <row r="55" spans="2:6" x14ac:dyDescent="0.25">
      <c r="B55" s="90"/>
      <c r="C55" s="87"/>
      <c r="D55" s="86"/>
      <c r="E55" s="86"/>
      <c r="F55" s="86"/>
    </row>
    <row r="56" spans="2:6" x14ac:dyDescent="0.25">
      <c r="B56" s="81"/>
      <c r="C56" s="91" t="s">
        <v>61</v>
      </c>
      <c r="D56" s="80">
        <f>SUM(D11+D21+D49)</f>
        <v>156328.58000000002</v>
      </c>
      <c r="E56" s="80">
        <f>SUM(E11+E21+E49)</f>
        <v>88374.52</v>
      </c>
      <c r="F56" s="80">
        <f>SUM(F11+F21+F49)</f>
        <v>243453.1</v>
      </c>
    </row>
    <row r="57" spans="2:6" x14ac:dyDescent="0.25">
      <c r="B57" s="81"/>
      <c r="C57" s="91" t="s">
        <v>62</v>
      </c>
      <c r="D57" s="80">
        <f>SUM(D12+D15+D17+D19+D22+D34+D43+D46+D50)</f>
        <v>156328.57999999999</v>
      </c>
      <c r="E57" s="80">
        <f>SUM(E12+E15+E17+E19+E22+E34+E43+E46+E50)</f>
        <v>88374.52</v>
      </c>
      <c r="F57" s="80">
        <f>SUM(F12+F15+F17+F19+F22+F34+F43+F46+F50)</f>
        <v>243453.1</v>
      </c>
    </row>
    <row r="58" spans="2:6" x14ac:dyDescent="0.25">
      <c r="B58" s="81"/>
      <c r="C58" s="91" t="s">
        <v>63</v>
      </c>
      <c r="D58" s="80">
        <f>SUM(D13+D14+D16+D18+D20+D23+D24+D25+D26+D27+D28+D29+D30+D31+D32+D33+D35+D36+D37+D38+D39+D40+D41+D42+D44+D45+D47+D48+D51+D52)</f>
        <v>156328.58000000002</v>
      </c>
      <c r="E58" s="80">
        <f>SUM(E13+E14+E16+E18+E20+E23+E24+E25+E27+E28+E29+E30+E31+E32+E33+E35+E36+E37+E38+E39+E40+E41+E42+E44+E45+E47+E51+E52)</f>
        <v>88374.52</v>
      </c>
      <c r="F58" s="80">
        <f>SUM(F13+F14+F16+F18+F20+F23+F24+F25+F26+F27+F28+F29+F30+F31+F32+F33+F35+F36+F37+F38+F39+F40+F41+F42+F44+F45+F47+F48+F51+F52)</f>
        <v>243453.09999999998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F34"/>
  <sheetViews>
    <sheetView workbookViewId="0">
      <pane ySplit="10" topLeftCell="A11" activePane="bottomLeft" state="frozen"/>
      <selection pane="bottomLeft" activeCell="H26" sqref="H26"/>
    </sheetView>
  </sheetViews>
  <sheetFormatPr baseColWidth="10" defaultRowHeight="15" x14ac:dyDescent="0.25"/>
  <cols>
    <col min="1" max="1" width="5.42578125" style="30" customWidth="1"/>
    <col min="2" max="2" width="8.140625" style="30" customWidth="1"/>
    <col min="3" max="3" width="41.140625" style="30" customWidth="1"/>
    <col min="4" max="4" width="16" style="30" customWidth="1"/>
    <col min="5" max="5" width="17" style="30" customWidth="1"/>
    <col min="6" max="6" width="13.28515625" style="30" customWidth="1"/>
    <col min="7" max="16384" width="11.42578125" style="30"/>
  </cols>
  <sheetData>
    <row r="2" spans="2:6" ht="15.75" x14ac:dyDescent="0.25">
      <c r="B2" s="426" t="s">
        <v>407</v>
      </c>
      <c r="C2" s="426"/>
      <c r="D2" s="426"/>
      <c r="E2" s="426"/>
      <c r="F2" s="426"/>
    </row>
    <row r="3" spans="2:6" ht="15.75" x14ac:dyDescent="0.25">
      <c r="B3" s="426" t="s">
        <v>223</v>
      </c>
      <c r="C3" s="426"/>
      <c r="D3" s="426"/>
      <c r="E3" s="426"/>
      <c r="F3" s="426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225</v>
      </c>
      <c r="C5" s="427"/>
      <c r="D5" s="427"/>
      <c r="E5" s="427"/>
      <c r="F5" s="427"/>
    </row>
    <row r="6" spans="2:6" ht="15.75" x14ac:dyDescent="0.25">
      <c r="B6" s="427" t="s">
        <v>226</v>
      </c>
      <c r="C6" s="427"/>
      <c r="D6" s="427"/>
      <c r="E6" s="427"/>
      <c r="F6" s="427"/>
    </row>
    <row r="7" spans="2:6" ht="15.75" x14ac:dyDescent="0.25">
      <c r="B7" s="428" t="s">
        <v>302</v>
      </c>
      <c r="C7" s="428"/>
      <c r="D7" s="428"/>
      <c r="E7" s="428"/>
      <c r="F7" s="428"/>
    </row>
    <row r="8" spans="2:6" ht="15.75" thickBot="1" x14ac:dyDescent="0.3">
      <c r="B8" s="31"/>
      <c r="C8" s="31"/>
      <c r="D8" s="31"/>
      <c r="E8" s="32"/>
      <c r="F8" s="31"/>
    </row>
    <row r="9" spans="2:6" x14ac:dyDescent="0.25">
      <c r="B9" s="421" t="s">
        <v>228</v>
      </c>
      <c r="C9" s="423" t="s">
        <v>229</v>
      </c>
      <c r="D9" s="348" t="s">
        <v>230</v>
      </c>
      <c r="E9" s="350" t="s">
        <v>231</v>
      </c>
      <c r="F9" s="425" t="s">
        <v>0</v>
      </c>
    </row>
    <row r="10" spans="2:6" ht="15.75" thickBot="1" x14ac:dyDescent="0.3">
      <c r="B10" s="422"/>
      <c r="C10" s="424"/>
      <c r="D10" s="349" t="s">
        <v>232</v>
      </c>
      <c r="E10" s="353" t="s">
        <v>233</v>
      </c>
      <c r="F10" s="425"/>
    </row>
    <row r="11" spans="2:6" x14ac:dyDescent="0.25">
      <c r="B11" s="76">
        <v>51</v>
      </c>
      <c r="C11" s="105" t="s">
        <v>130</v>
      </c>
      <c r="D11" s="99">
        <f>SUM(D12+D15+D17)</f>
        <v>8820</v>
      </c>
      <c r="E11" s="99">
        <f>SUM(E12+E15+E17)</f>
        <v>8370</v>
      </c>
      <c r="F11" s="99">
        <f>SUM(F12+F15+F17)</f>
        <v>17190</v>
      </c>
    </row>
    <row r="12" spans="2:6" x14ac:dyDescent="0.25">
      <c r="B12" s="81">
        <v>511</v>
      </c>
      <c r="C12" s="113" t="s">
        <v>234</v>
      </c>
      <c r="D12" s="101">
        <f>SUM(D13:D14)</f>
        <v>7650</v>
      </c>
      <c r="E12" s="101">
        <f>SUM(E13:E14)</f>
        <v>7200</v>
      </c>
      <c r="F12" s="101">
        <f>SUM(F13:F14)</f>
        <v>14850</v>
      </c>
    </row>
    <row r="13" spans="2:6" x14ac:dyDescent="0.25">
      <c r="B13" s="84">
        <v>51101</v>
      </c>
      <c r="C13" s="102" t="s">
        <v>235</v>
      </c>
      <c r="D13" s="103">
        <v>7200</v>
      </c>
      <c r="E13" s="103">
        <v>7200</v>
      </c>
      <c r="F13" s="103">
        <f>SUM(D13:E13)</f>
        <v>14400</v>
      </c>
    </row>
    <row r="14" spans="2:6" x14ac:dyDescent="0.25">
      <c r="B14" s="84">
        <v>51103</v>
      </c>
      <c r="C14" s="104" t="s">
        <v>236</v>
      </c>
      <c r="D14" s="103">
        <v>450</v>
      </c>
      <c r="E14" s="103">
        <v>0</v>
      </c>
      <c r="F14" s="103">
        <f>SUM(D14:E14)</f>
        <v>450</v>
      </c>
    </row>
    <row r="15" spans="2:6" x14ac:dyDescent="0.25">
      <c r="B15" s="81">
        <v>514</v>
      </c>
      <c r="C15" s="105" t="s">
        <v>239</v>
      </c>
      <c r="D15" s="101">
        <f>SUM(D16:D16)</f>
        <v>612</v>
      </c>
      <c r="E15" s="101">
        <f>SUM(E16:E16)</f>
        <v>612</v>
      </c>
      <c r="F15" s="101">
        <f>SUM(F16:F16)</f>
        <v>1224</v>
      </c>
    </row>
    <row r="16" spans="2:6" x14ac:dyDescent="0.25">
      <c r="B16" s="90">
        <v>51401</v>
      </c>
      <c r="C16" s="104" t="s">
        <v>240</v>
      </c>
      <c r="D16" s="103">
        <v>612</v>
      </c>
      <c r="E16" s="103">
        <v>612</v>
      </c>
      <c r="F16" s="103">
        <f>SUM(D16:E16)</f>
        <v>1224</v>
      </c>
    </row>
    <row r="17" spans="2:6" x14ac:dyDescent="0.25">
      <c r="B17" s="81">
        <v>515</v>
      </c>
      <c r="C17" s="106" t="s">
        <v>241</v>
      </c>
      <c r="D17" s="101">
        <f>SUM(D18:D18)</f>
        <v>558</v>
      </c>
      <c r="E17" s="101">
        <f>SUM(E18:E18)</f>
        <v>558</v>
      </c>
      <c r="F17" s="101">
        <f>SUM(F18:F18)</f>
        <v>1116</v>
      </c>
    </row>
    <row r="18" spans="2:6" x14ac:dyDescent="0.25">
      <c r="B18" s="90">
        <v>51501</v>
      </c>
      <c r="C18" s="104" t="s">
        <v>240</v>
      </c>
      <c r="D18" s="103">
        <v>558</v>
      </c>
      <c r="E18" s="103">
        <v>558</v>
      </c>
      <c r="F18" s="103">
        <f>SUM(D18:E18)</f>
        <v>1116</v>
      </c>
    </row>
    <row r="19" spans="2:6" x14ac:dyDescent="0.25">
      <c r="B19" s="81">
        <v>54</v>
      </c>
      <c r="C19" s="106" t="s">
        <v>286</v>
      </c>
      <c r="D19" s="101">
        <f>SUM(D20)</f>
        <v>285</v>
      </c>
      <c r="E19" s="101">
        <f>SUM(E20)</f>
        <v>0</v>
      </c>
      <c r="F19" s="101">
        <f>SUM(F20)</f>
        <v>285</v>
      </c>
    </row>
    <row r="20" spans="2:6" x14ac:dyDescent="0.25">
      <c r="B20" s="81">
        <v>541</v>
      </c>
      <c r="C20" s="106" t="s">
        <v>245</v>
      </c>
      <c r="D20" s="101">
        <f>SUM(D21:D24)</f>
        <v>285</v>
      </c>
      <c r="E20" s="101">
        <f>SUM(E21:E24)</f>
        <v>0</v>
      </c>
      <c r="F20" s="101">
        <f>SUM(F21:F24)</f>
        <v>285</v>
      </c>
    </row>
    <row r="21" spans="2:6" x14ac:dyDescent="0.25">
      <c r="B21" s="107">
        <v>54105</v>
      </c>
      <c r="C21" s="351" t="s">
        <v>249</v>
      </c>
      <c r="D21" s="103">
        <v>60</v>
      </c>
      <c r="E21" s="103">
        <v>0</v>
      </c>
      <c r="F21" s="103">
        <f>SUM(D21:E21)</f>
        <v>60</v>
      </c>
    </row>
    <row r="22" spans="2:6" x14ac:dyDescent="0.25">
      <c r="B22" s="107">
        <v>54114</v>
      </c>
      <c r="C22" s="351" t="s">
        <v>253</v>
      </c>
      <c r="D22" s="103">
        <v>50</v>
      </c>
      <c r="E22" s="103">
        <v>0</v>
      </c>
      <c r="F22" s="103">
        <f>SUM(D22:E22)</f>
        <v>50</v>
      </c>
    </row>
    <row r="23" spans="2:6" x14ac:dyDescent="0.25">
      <c r="B23" s="107">
        <v>54115</v>
      </c>
      <c r="C23" s="351" t="s">
        <v>254</v>
      </c>
      <c r="D23" s="103">
        <v>75</v>
      </c>
      <c r="E23" s="103">
        <v>0</v>
      </c>
      <c r="F23" s="103">
        <f>SUM(D23:E23)</f>
        <v>75</v>
      </c>
    </row>
    <row r="24" spans="2:6" x14ac:dyDescent="0.25">
      <c r="B24" s="90">
        <v>54199</v>
      </c>
      <c r="C24" s="111" t="s">
        <v>256</v>
      </c>
      <c r="D24" s="112">
        <v>100</v>
      </c>
      <c r="E24" s="112">
        <v>0</v>
      </c>
      <c r="F24" s="112">
        <f>SUM(D24:E24)</f>
        <v>100</v>
      </c>
    </row>
    <row r="25" spans="2:6" x14ac:dyDescent="0.25">
      <c r="B25" s="81">
        <v>61</v>
      </c>
      <c r="C25" s="108" t="s">
        <v>133</v>
      </c>
      <c r="D25" s="109">
        <f>SUM(D26:D26)</f>
        <v>500</v>
      </c>
      <c r="E25" s="109">
        <f>SUM(E26:E26)</f>
        <v>0</v>
      </c>
      <c r="F25" s="109">
        <f>SUM(F26:F26)</f>
        <v>500</v>
      </c>
    </row>
    <row r="26" spans="2:6" x14ac:dyDescent="0.25">
      <c r="B26" s="96">
        <v>611</v>
      </c>
      <c r="C26" s="108" t="s">
        <v>281</v>
      </c>
      <c r="D26" s="109">
        <f>SUM(D27:D27)</f>
        <v>500</v>
      </c>
      <c r="E26" s="109">
        <f>SUM(E27:E27)</f>
        <v>0</v>
      </c>
      <c r="F26" s="109">
        <f t="shared" ref="F26" si="0">SUM(F27)</f>
        <v>500</v>
      </c>
    </row>
    <row r="27" spans="2:6" x14ac:dyDescent="0.25">
      <c r="B27" s="110">
        <v>61101</v>
      </c>
      <c r="C27" s="111" t="s">
        <v>282</v>
      </c>
      <c r="D27" s="112">
        <v>500</v>
      </c>
      <c r="E27" s="112">
        <v>0</v>
      </c>
      <c r="F27" s="112">
        <f>SUM(D27:E27)</f>
        <v>500</v>
      </c>
    </row>
    <row r="28" spans="2:6" x14ac:dyDescent="0.25">
      <c r="B28" s="110"/>
      <c r="C28" s="111"/>
      <c r="D28" s="112"/>
      <c r="E28" s="112"/>
      <c r="F28" s="112"/>
    </row>
    <row r="29" spans="2:6" x14ac:dyDescent="0.25">
      <c r="B29" s="110"/>
      <c r="C29" s="108" t="s">
        <v>70</v>
      </c>
      <c r="D29" s="109">
        <f>D11+D19+D25</f>
        <v>9605</v>
      </c>
      <c r="E29" s="109">
        <f>E11+E19+E25</f>
        <v>8370</v>
      </c>
      <c r="F29" s="109">
        <f>SUM(D29:E29)</f>
        <v>17975</v>
      </c>
    </row>
    <row r="30" spans="2:6" x14ac:dyDescent="0.25">
      <c r="B30" s="110"/>
      <c r="C30" s="111"/>
      <c r="D30" s="112"/>
      <c r="E30" s="112"/>
      <c r="F30" s="112"/>
    </row>
    <row r="31" spans="2:6" x14ac:dyDescent="0.25">
      <c r="B31" s="96"/>
      <c r="C31" s="108" t="s">
        <v>61</v>
      </c>
      <c r="D31" s="109">
        <f>SUM(D11+D19+D25)</f>
        <v>9605</v>
      </c>
      <c r="E31" s="109">
        <f>SUM(E11+E19+E25)</f>
        <v>8370</v>
      </c>
      <c r="F31" s="109">
        <f>SUM(F11+F19+F25)</f>
        <v>17975</v>
      </c>
    </row>
    <row r="32" spans="2:6" x14ac:dyDescent="0.25">
      <c r="B32" s="96"/>
      <c r="C32" s="108" t="s">
        <v>62</v>
      </c>
      <c r="D32" s="109">
        <f>SUM(D12+D15+D17+D20+D26)</f>
        <v>9605</v>
      </c>
      <c r="E32" s="109">
        <f>SUM(E12+E15+E17+E20+E26)</f>
        <v>8370</v>
      </c>
      <c r="F32" s="109">
        <f>SUM(F12+F15+F17+F20+F26)</f>
        <v>17975</v>
      </c>
    </row>
    <row r="33" spans="2:6" x14ac:dyDescent="0.25">
      <c r="B33" s="96"/>
      <c r="C33" s="108" t="s">
        <v>63</v>
      </c>
      <c r="D33" s="109">
        <f>SUM(D13+D14+D16+D18+D21+D22+D23+D24+D27)</f>
        <v>9605</v>
      </c>
      <c r="E33" s="109">
        <f>SUM(E13+E14+E16+E18+E21+E22+E23+E24+E27)</f>
        <v>8370</v>
      </c>
      <c r="F33" s="109">
        <f>SUM(F13+F14+F16+F18+F21+F22+F23+F24+F27)</f>
        <v>17975</v>
      </c>
    </row>
    <row r="34" spans="2:6" x14ac:dyDescent="0.25">
      <c r="C34" s="42"/>
      <c r="D34" s="42"/>
      <c r="E34" s="42"/>
      <c r="F34" s="42"/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F36"/>
  <sheetViews>
    <sheetView workbookViewId="0">
      <pane ySplit="9" topLeftCell="A10" activePane="bottomLeft" state="frozen"/>
      <selection pane="bottomLeft" activeCell="E30" sqref="E30"/>
    </sheetView>
  </sheetViews>
  <sheetFormatPr baseColWidth="10" defaultRowHeight="15" x14ac:dyDescent="0.25"/>
  <cols>
    <col min="1" max="1" width="11.42578125" style="72"/>
    <col min="2" max="2" width="9.85546875" style="72" customWidth="1"/>
    <col min="3" max="3" width="44.7109375" style="72" customWidth="1"/>
    <col min="4" max="4" width="14" style="72" customWidth="1"/>
    <col min="5" max="5" width="16.42578125" style="72" customWidth="1"/>
    <col min="6" max="16384" width="11.42578125" style="72"/>
  </cols>
  <sheetData>
    <row r="2" spans="2:6" ht="15.75" x14ac:dyDescent="0.25">
      <c r="B2" s="426" t="s">
        <v>407</v>
      </c>
      <c r="C2" s="426"/>
      <c r="D2" s="426"/>
      <c r="E2" s="426"/>
      <c r="F2" s="426"/>
    </row>
    <row r="3" spans="2:6" ht="15.75" x14ac:dyDescent="0.25">
      <c r="B3" s="426" t="s">
        <v>223</v>
      </c>
      <c r="C3" s="426"/>
      <c r="D3" s="426"/>
      <c r="E3" s="426"/>
      <c r="F3" s="426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225</v>
      </c>
      <c r="C5" s="427"/>
      <c r="D5" s="427"/>
      <c r="E5" s="427"/>
      <c r="F5" s="427"/>
    </row>
    <row r="6" spans="2:6" ht="15.75" x14ac:dyDescent="0.25">
      <c r="B6" s="427" t="s">
        <v>226</v>
      </c>
      <c r="C6" s="427"/>
      <c r="D6" s="427"/>
      <c r="E6" s="427"/>
      <c r="F6" s="427"/>
    </row>
    <row r="7" spans="2:6" ht="16.5" thickBot="1" x14ac:dyDescent="0.3">
      <c r="B7" s="428" t="s">
        <v>303</v>
      </c>
      <c r="C7" s="428"/>
      <c r="D7" s="428"/>
      <c r="E7" s="428"/>
      <c r="F7" s="428"/>
    </row>
    <row r="8" spans="2:6" x14ac:dyDescent="0.25">
      <c r="B8" s="421" t="s">
        <v>228</v>
      </c>
      <c r="C8" s="434" t="s">
        <v>229</v>
      </c>
      <c r="D8" s="348" t="s">
        <v>230</v>
      </c>
      <c r="E8" s="350" t="s">
        <v>231</v>
      </c>
      <c r="F8" s="436" t="s">
        <v>0</v>
      </c>
    </row>
    <row r="9" spans="2:6" ht="26.25" thickBot="1" x14ac:dyDescent="0.3">
      <c r="B9" s="422"/>
      <c r="C9" s="435"/>
      <c r="D9" s="349" t="s">
        <v>232</v>
      </c>
      <c r="E9" s="353" t="s">
        <v>233</v>
      </c>
      <c r="F9" s="437"/>
    </row>
    <row r="10" spans="2:6" x14ac:dyDescent="0.25">
      <c r="B10" s="76">
        <v>51</v>
      </c>
      <c r="C10" s="252" t="s">
        <v>130</v>
      </c>
      <c r="D10" s="253">
        <f>SUM(D11+D14+D16)</f>
        <v>16407.25</v>
      </c>
      <c r="E10" s="253">
        <f>SUM(E11+E14+E16)</f>
        <v>14717.25</v>
      </c>
      <c r="F10" s="253">
        <f>SUM(F11+F14+F16)</f>
        <v>31124.5</v>
      </c>
    </row>
    <row r="11" spans="2:6" x14ac:dyDescent="0.25">
      <c r="B11" s="81">
        <v>511</v>
      </c>
      <c r="C11" s="254" t="s">
        <v>234</v>
      </c>
      <c r="D11" s="248">
        <f>SUM(D12:D13)</f>
        <v>14350</v>
      </c>
      <c r="E11" s="248">
        <f>SUM(E12:E13)</f>
        <v>12660</v>
      </c>
      <c r="F11" s="248">
        <f>SUM(F12:F13)</f>
        <v>27010</v>
      </c>
    </row>
    <row r="12" spans="2:6" x14ac:dyDescent="0.25">
      <c r="B12" s="84">
        <v>51101</v>
      </c>
      <c r="C12" s="255" t="s">
        <v>235</v>
      </c>
      <c r="D12" s="251">
        <v>12660</v>
      </c>
      <c r="E12" s="251">
        <v>12660</v>
      </c>
      <c r="F12" s="251">
        <f>+D12+E12</f>
        <v>25320</v>
      </c>
    </row>
    <row r="13" spans="2:6" x14ac:dyDescent="0.25">
      <c r="B13" s="84">
        <v>51103</v>
      </c>
      <c r="C13" s="250" t="s">
        <v>236</v>
      </c>
      <c r="D13" s="251">
        <v>1690</v>
      </c>
      <c r="E13" s="251">
        <v>0</v>
      </c>
      <c r="F13" s="251">
        <f>SUM(D13:E13)</f>
        <v>1690</v>
      </c>
    </row>
    <row r="14" spans="2:6" x14ac:dyDescent="0.25">
      <c r="B14" s="81">
        <v>514</v>
      </c>
      <c r="C14" s="252" t="s">
        <v>239</v>
      </c>
      <c r="D14" s="248">
        <f>SUM(D15:D15)</f>
        <v>1076.0999999999999</v>
      </c>
      <c r="E14" s="248">
        <f>SUM(E15:E15)</f>
        <v>1076.0999999999999</v>
      </c>
      <c r="F14" s="248">
        <f>SUM(F15:F15)</f>
        <v>2152.1999999999998</v>
      </c>
    </row>
    <row r="15" spans="2:6" x14ac:dyDescent="0.25">
      <c r="B15" s="90">
        <v>51401</v>
      </c>
      <c r="C15" s="250" t="s">
        <v>240</v>
      </c>
      <c r="D15" s="251">
        <v>1076.0999999999999</v>
      </c>
      <c r="E15" s="251">
        <v>1076.0999999999999</v>
      </c>
      <c r="F15" s="251">
        <f>SUM(D15:E15)</f>
        <v>2152.1999999999998</v>
      </c>
    </row>
    <row r="16" spans="2:6" x14ac:dyDescent="0.25">
      <c r="B16" s="81">
        <v>515</v>
      </c>
      <c r="C16" s="247" t="s">
        <v>241</v>
      </c>
      <c r="D16" s="248">
        <f>SUM(D17:D17)</f>
        <v>981.15</v>
      </c>
      <c r="E16" s="248">
        <f>SUM(E17:E17)</f>
        <v>981.15</v>
      </c>
      <c r="F16" s="248">
        <f>SUM(F17:F17)</f>
        <v>1962.3</v>
      </c>
    </row>
    <row r="17" spans="2:6" x14ac:dyDescent="0.25">
      <c r="B17" s="90">
        <v>51501</v>
      </c>
      <c r="C17" s="250" t="s">
        <v>240</v>
      </c>
      <c r="D17" s="251">
        <v>981.15</v>
      </c>
      <c r="E17" s="251">
        <v>981.15</v>
      </c>
      <c r="F17" s="251">
        <f>SUM(D17:E17)</f>
        <v>1962.3</v>
      </c>
    </row>
    <row r="18" spans="2:6" x14ac:dyDescent="0.25">
      <c r="B18" s="81">
        <v>54</v>
      </c>
      <c r="C18" s="247" t="s">
        <v>286</v>
      </c>
      <c r="D18" s="248">
        <f>SUM(D19+D23+D25)</f>
        <v>1797.6</v>
      </c>
      <c r="E18" s="248">
        <f>SUM(E19+E23+E25)</f>
        <v>0</v>
      </c>
      <c r="F18" s="248">
        <f>SUM(F19+F23+F25)</f>
        <v>1797.6</v>
      </c>
    </row>
    <row r="19" spans="2:6" x14ac:dyDescent="0.25">
      <c r="B19" s="81">
        <v>541</v>
      </c>
      <c r="C19" s="247" t="s">
        <v>245</v>
      </c>
      <c r="D19" s="248">
        <f>SUM(D20:D22)</f>
        <v>697.6</v>
      </c>
      <c r="E19" s="248">
        <f>SUM(E20:E22)</f>
        <v>0</v>
      </c>
      <c r="F19" s="248">
        <f>SUM(F20:F22)</f>
        <v>697.6</v>
      </c>
    </row>
    <row r="20" spans="2:6" x14ac:dyDescent="0.25">
      <c r="B20" s="90">
        <v>54105</v>
      </c>
      <c r="C20" s="250" t="s">
        <v>249</v>
      </c>
      <c r="D20" s="251">
        <v>600.6</v>
      </c>
      <c r="E20" s="251">
        <v>0</v>
      </c>
      <c r="F20" s="251">
        <f>SUM(D20:E20)</f>
        <v>600.6</v>
      </c>
    </row>
    <row r="21" spans="2:6" x14ac:dyDescent="0.25">
      <c r="B21" s="90">
        <v>54114</v>
      </c>
      <c r="C21" s="250" t="s">
        <v>253</v>
      </c>
      <c r="D21" s="251">
        <v>34.5</v>
      </c>
      <c r="E21" s="251">
        <v>0</v>
      </c>
      <c r="F21" s="251">
        <f>SUM(D21:E21)</f>
        <v>34.5</v>
      </c>
    </row>
    <row r="22" spans="2:6" x14ac:dyDescent="0.25">
      <c r="B22" s="90">
        <v>54115</v>
      </c>
      <c r="C22" s="250" t="s">
        <v>254</v>
      </c>
      <c r="D22" s="251">
        <v>62.5</v>
      </c>
      <c r="E22" s="251">
        <v>0</v>
      </c>
      <c r="F22" s="251">
        <f>SUM(D22:E22)</f>
        <v>62.5</v>
      </c>
    </row>
    <row r="23" spans="2:6" x14ac:dyDescent="0.25">
      <c r="B23" s="81">
        <v>543</v>
      </c>
      <c r="C23" s="247" t="s">
        <v>257</v>
      </c>
      <c r="D23" s="248">
        <f>SUM(D24:D24)</f>
        <v>600</v>
      </c>
      <c r="E23" s="248">
        <f>SUM(E24:E24)</f>
        <v>0</v>
      </c>
      <c r="F23" s="248">
        <f>SUM(F24:F24)</f>
        <v>600</v>
      </c>
    </row>
    <row r="24" spans="2:6" x14ac:dyDescent="0.25">
      <c r="B24" s="90">
        <v>54313</v>
      </c>
      <c r="C24" s="250" t="s">
        <v>261</v>
      </c>
      <c r="D24" s="251">
        <v>600</v>
      </c>
      <c r="E24" s="251"/>
      <c r="F24" s="251">
        <f>SUM(D24:E24)</f>
        <v>600</v>
      </c>
    </row>
    <row r="25" spans="2:6" x14ac:dyDescent="0.25">
      <c r="B25" s="81">
        <v>545</v>
      </c>
      <c r="C25" s="247" t="s">
        <v>268</v>
      </c>
      <c r="D25" s="248">
        <f>SUM(D26:D26)</f>
        <v>500</v>
      </c>
      <c r="E25" s="248">
        <f>SUM(E26:E26)</f>
        <v>0</v>
      </c>
      <c r="F25" s="248">
        <f>SUM(F26:F26)</f>
        <v>500</v>
      </c>
    </row>
    <row r="26" spans="2:6" x14ac:dyDescent="0.25">
      <c r="B26" s="90">
        <v>54503</v>
      </c>
      <c r="C26" s="250" t="s">
        <v>300</v>
      </c>
      <c r="D26" s="251">
        <v>500</v>
      </c>
      <c r="E26" s="251"/>
      <c r="F26" s="251">
        <f>SUM(D26:E26)</f>
        <v>500</v>
      </c>
    </row>
    <row r="27" spans="2:6" x14ac:dyDescent="0.25">
      <c r="B27" s="81">
        <v>61</v>
      </c>
      <c r="C27" s="247" t="s">
        <v>133</v>
      </c>
      <c r="D27" s="248">
        <f>SUM(D28:D28)</f>
        <v>350</v>
      </c>
      <c r="E27" s="248">
        <f t="shared" ref="E27:F27" si="0">SUM(E28:E28)</f>
        <v>2000</v>
      </c>
      <c r="F27" s="248">
        <f t="shared" si="0"/>
        <v>2350</v>
      </c>
    </row>
    <row r="28" spans="2:6" x14ac:dyDescent="0.25">
      <c r="B28" s="81">
        <v>611</v>
      </c>
      <c r="C28" s="247" t="s">
        <v>281</v>
      </c>
      <c r="D28" s="248">
        <f>SUM(D29:D31)</f>
        <v>350</v>
      </c>
      <c r="E28" s="248">
        <f>SUM(E29:E31)</f>
        <v>2000</v>
      </c>
      <c r="F28" s="248">
        <f>SUM(F29:F31)</f>
        <v>2350</v>
      </c>
    </row>
    <row r="29" spans="2:6" x14ac:dyDescent="0.25">
      <c r="B29" s="90">
        <v>61101</v>
      </c>
      <c r="C29" s="250" t="s">
        <v>304</v>
      </c>
      <c r="D29" s="251">
        <v>350</v>
      </c>
      <c r="E29" s="251"/>
      <c r="F29" s="251">
        <f>SUM(D29:E29)</f>
        <v>350</v>
      </c>
    </row>
    <row r="30" spans="2:6" x14ac:dyDescent="0.25">
      <c r="B30" s="90">
        <v>61104</v>
      </c>
      <c r="C30" s="250" t="s">
        <v>351</v>
      </c>
      <c r="D30" s="251"/>
      <c r="E30" s="251">
        <v>2000</v>
      </c>
      <c r="F30" s="251">
        <f>SUM(D30:E30)</f>
        <v>2000</v>
      </c>
    </row>
    <row r="31" spans="2:6" x14ac:dyDescent="0.25">
      <c r="B31" s="90"/>
      <c r="C31" s="250"/>
      <c r="D31" s="251"/>
      <c r="E31" s="251"/>
      <c r="F31" s="251"/>
    </row>
    <row r="32" spans="2:6" x14ac:dyDescent="0.25">
      <c r="B32" s="90"/>
      <c r="C32" s="247" t="s">
        <v>70</v>
      </c>
      <c r="D32" s="248">
        <f>SUM(D10+D18+D27)</f>
        <v>18554.849999999999</v>
      </c>
      <c r="E32" s="248">
        <f>SUM(E10+E18+E27)</f>
        <v>16717.25</v>
      </c>
      <c r="F32" s="248">
        <f>SUM(D32:E32)</f>
        <v>35272.1</v>
      </c>
    </row>
    <row r="33" spans="2:6" x14ac:dyDescent="0.25">
      <c r="B33" s="90"/>
      <c r="C33" s="250"/>
      <c r="D33" s="251"/>
      <c r="E33" s="251"/>
      <c r="F33" s="251"/>
    </row>
    <row r="34" spans="2:6" x14ac:dyDescent="0.25">
      <c r="B34" s="81"/>
      <c r="C34" s="247" t="s">
        <v>61</v>
      </c>
      <c r="D34" s="248">
        <f>SUM(D10+D18+D27)</f>
        <v>18554.849999999999</v>
      </c>
      <c r="E34" s="248">
        <f>SUM(E10+E18+E27)</f>
        <v>16717.25</v>
      </c>
      <c r="F34" s="248">
        <f>SUM(F10+F18+F27)</f>
        <v>35272.1</v>
      </c>
    </row>
    <row r="35" spans="2:6" x14ac:dyDescent="0.25">
      <c r="B35" s="81"/>
      <c r="C35" s="247" t="s">
        <v>62</v>
      </c>
      <c r="D35" s="248">
        <f>SUM(D11+D14+D16+D19+D23+D25+D28)</f>
        <v>18554.849999999999</v>
      </c>
      <c r="E35" s="248">
        <f>SUM(E11+E14+E16+E19+E23+E25+E28)</f>
        <v>16717.25</v>
      </c>
      <c r="F35" s="248">
        <f>SUM(F11+F14+F16+F19+F23+F25+F28)</f>
        <v>35272.1</v>
      </c>
    </row>
    <row r="36" spans="2:6" x14ac:dyDescent="0.25">
      <c r="B36" s="81"/>
      <c r="C36" s="247" t="s">
        <v>63</v>
      </c>
      <c r="D36" s="248">
        <f>SUM(D12+D13+D15+D17+D20+D21+D22+D24+D26+D29+D30)</f>
        <v>18554.849999999999</v>
      </c>
      <c r="E36" s="248">
        <f>SUM(E12+E13+E15+E17+E20+E21+E22+E24+E26+E29+E30)</f>
        <v>16717.25</v>
      </c>
      <c r="F36" s="248">
        <f>SUM(F12+F13+F15+F17+F20+F21+F22+F24+F26+F29+F30)</f>
        <v>35272.1</v>
      </c>
    </row>
  </sheetData>
  <mergeCells count="9">
    <mergeCell ref="B8:B9"/>
    <mergeCell ref="C8:C9"/>
    <mergeCell ref="F8:F9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0"/>
  <sheetViews>
    <sheetView workbookViewId="0">
      <pane ySplit="7" topLeftCell="A56" activePane="bottomLeft" state="frozen"/>
      <selection pane="bottomLeft" activeCell="C59" sqref="C59"/>
    </sheetView>
  </sheetViews>
  <sheetFormatPr baseColWidth="10" defaultRowHeight="15.75" x14ac:dyDescent="0.25"/>
  <cols>
    <col min="1" max="1" width="10.140625" style="284" customWidth="1"/>
    <col min="2" max="2" width="12.5703125" style="284" customWidth="1"/>
    <col min="3" max="3" width="59.5703125" style="284" customWidth="1"/>
    <col min="4" max="4" width="19.5703125" style="284" customWidth="1"/>
    <col min="5" max="5" width="17" style="284" customWidth="1"/>
    <col min="6" max="6" width="18.42578125" style="284" customWidth="1"/>
    <col min="7" max="16384" width="11.42578125" style="284"/>
  </cols>
  <sheetData>
    <row r="1" spans="2:6" ht="16.5" thickBot="1" x14ac:dyDescent="0.3">
      <c r="B1" s="303"/>
      <c r="C1" s="304"/>
      <c r="D1" s="303"/>
      <c r="E1" s="303"/>
      <c r="F1" s="303"/>
    </row>
    <row r="2" spans="2:6" ht="17.25" thickTop="1" thickBot="1" x14ac:dyDescent="0.3">
      <c r="B2" s="394" t="s">
        <v>64</v>
      </c>
      <c r="C2" s="394"/>
      <c r="D2" s="394"/>
      <c r="E2" s="394"/>
      <c r="F2" s="395"/>
    </row>
    <row r="3" spans="2:6" ht="17.25" thickTop="1" thickBot="1" x14ac:dyDescent="0.3">
      <c r="B3" s="396" t="s">
        <v>65</v>
      </c>
      <c r="C3" s="394"/>
      <c r="D3" s="394"/>
      <c r="E3" s="394"/>
      <c r="F3" s="395"/>
    </row>
    <row r="4" spans="2:6" ht="17.25" thickTop="1" thickBot="1" x14ac:dyDescent="0.3">
      <c r="B4" s="396" t="s">
        <v>66</v>
      </c>
      <c r="C4" s="394"/>
      <c r="D4" s="394"/>
      <c r="E4" s="394"/>
      <c r="F4" s="395"/>
    </row>
    <row r="5" spans="2:6" ht="17.25" thickTop="1" thickBot="1" x14ac:dyDescent="0.3">
      <c r="B5" s="396" t="s">
        <v>409</v>
      </c>
      <c r="C5" s="394"/>
      <c r="D5" s="394"/>
      <c r="E5" s="394"/>
      <c r="F5" s="395"/>
    </row>
    <row r="6" spans="2:6" ht="16.5" thickTop="1" x14ac:dyDescent="0.25">
      <c r="B6" s="183"/>
      <c r="C6" s="184"/>
      <c r="D6" s="185"/>
      <c r="E6" s="185"/>
      <c r="F6" s="186"/>
    </row>
    <row r="7" spans="2:6" ht="44.25" customHeight="1" x14ac:dyDescent="0.25">
      <c r="B7" s="305" t="s">
        <v>67</v>
      </c>
      <c r="C7" s="305" t="s">
        <v>68</v>
      </c>
      <c r="D7" s="305" t="s">
        <v>431</v>
      </c>
      <c r="E7" s="305" t="s">
        <v>69</v>
      </c>
      <c r="F7" s="305" t="s">
        <v>70</v>
      </c>
    </row>
    <row r="8" spans="2:6" x14ac:dyDescent="0.25">
      <c r="B8" s="306">
        <v>11</v>
      </c>
      <c r="C8" s="307" t="s">
        <v>71</v>
      </c>
      <c r="D8" s="308"/>
      <c r="E8" s="309">
        <f>SUM(E9)</f>
        <v>52555</v>
      </c>
      <c r="F8" s="308"/>
    </row>
    <row r="9" spans="2:6" x14ac:dyDescent="0.25">
      <c r="B9" s="306">
        <v>118</v>
      </c>
      <c r="C9" s="307" t="s">
        <v>72</v>
      </c>
      <c r="D9" s="308"/>
      <c r="E9" s="309">
        <f>SUM(E10:E14)</f>
        <v>52555</v>
      </c>
      <c r="F9" s="308"/>
    </row>
    <row r="10" spans="2:6" x14ac:dyDescent="0.25">
      <c r="B10" s="310">
        <v>11801</v>
      </c>
      <c r="C10" s="311" t="s">
        <v>73</v>
      </c>
      <c r="D10" s="308"/>
      <c r="E10" s="312">
        <f>+'formato de ingresos'!P10</f>
        <v>9100</v>
      </c>
      <c r="F10" s="308"/>
    </row>
    <row r="11" spans="2:6" x14ac:dyDescent="0.25">
      <c r="B11" s="310">
        <v>11802</v>
      </c>
      <c r="C11" s="311" t="s">
        <v>74</v>
      </c>
      <c r="D11" s="308"/>
      <c r="E11" s="308">
        <f>+'formato de ingresos'!P11</f>
        <v>1800</v>
      </c>
      <c r="F11" s="308"/>
    </row>
    <row r="12" spans="2:6" x14ac:dyDescent="0.25">
      <c r="B12" s="310">
        <v>11804</v>
      </c>
      <c r="C12" s="311" t="s">
        <v>75</v>
      </c>
      <c r="D12" s="308"/>
      <c r="E12" s="308">
        <f>+'formato de ingresos'!P12</f>
        <v>40500</v>
      </c>
      <c r="F12" s="308"/>
    </row>
    <row r="13" spans="2:6" x14ac:dyDescent="0.25">
      <c r="B13" s="310">
        <v>11810</v>
      </c>
      <c r="C13" s="311" t="s">
        <v>76</v>
      </c>
      <c r="D13" s="308"/>
      <c r="E13" s="308">
        <f>+'formato de ingresos'!P13</f>
        <v>126</v>
      </c>
      <c r="F13" s="308"/>
    </row>
    <row r="14" spans="2:6" x14ac:dyDescent="0.25">
      <c r="B14" s="310">
        <v>11818</v>
      </c>
      <c r="C14" s="311" t="s">
        <v>77</v>
      </c>
      <c r="D14" s="308"/>
      <c r="E14" s="308">
        <f>+'formato de ingresos'!P14</f>
        <v>1029</v>
      </c>
      <c r="F14" s="308"/>
    </row>
    <row r="15" spans="2:6" x14ac:dyDescent="0.25">
      <c r="B15" s="306">
        <v>12</v>
      </c>
      <c r="C15" s="307" t="s">
        <v>78</v>
      </c>
      <c r="D15" s="308"/>
      <c r="E15" s="309">
        <f>SUM(E16+E31)</f>
        <v>1355315.67</v>
      </c>
      <c r="F15" s="308"/>
    </row>
    <row r="16" spans="2:6" x14ac:dyDescent="0.25">
      <c r="B16" s="306">
        <v>121</v>
      </c>
      <c r="C16" s="307" t="s">
        <v>79</v>
      </c>
      <c r="D16" s="308"/>
      <c r="E16" s="309">
        <f>SUM(E17:E30)</f>
        <v>1330515.67</v>
      </c>
      <c r="F16" s="308"/>
    </row>
    <row r="17" spans="2:6" x14ac:dyDescent="0.25">
      <c r="B17" s="310">
        <v>12105</v>
      </c>
      <c r="C17" s="311" t="s">
        <v>80</v>
      </c>
      <c r="D17" s="308"/>
      <c r="E17" s="308">
        <f>+'formato de ingresos'!P17</f>
        <v>18858.150000000001</v>
      </c>
      <c r="F17" s="308"/>
    </row>
    <row r="18" spans="2:6" ht="15" customHeight="1" x14ac:dyDescent="0.25">
      <c r="B18" s="310">
        <v>12106</v>
      </c>
      <c r="C18" s="311" t="s">
        <v>81</v>
      </c>
      <c r="D18" s="308"/>
      <c r="E18" s="308">
        <f>+'formato de ingresos'!P18</f>
        <v>732.90000000000009</v>
      </c>
      <c r="F18" s="308"/>
    </row>
    <row r="19" spans="2:6" x14ac:dyDescent="0.25">
      <c r="B19" s="310">
        <v>12107</v>
      </c>
      <c r="C19" s="311" t="s">
        <v>82</v>
      </c>
      <c r="D19" s="308"/>
      <c r="E19" s="308">
        <f>+'formato de ingresos'!P19</f>
        <v>8000</v>
      </c>
      <c r="F19" s="308"/>
    </row>
    <row r="20" spans="2:6" x14ac:dyDescent="0.25">
      <c r="B20" s="310">
        <v>12108</v>
      </c>
      <c r="C20" s="311" t="s">
        <v>83</v>
      </c>
      <c r="D20" s="308"/>
      <c r="E20" s="308">
        <f>+'formato de ingresos'!P20</f>
        <v>131472.48000000004</v>
      </c>
      <c r="F20" s="308"/>
    </row>
    <row r="21" spans="2:6" x14ac:dyDescent="0.25">
      <c r="B21" s="310">
        <v>1210901</v>
      </c>
      <c r="C21" s="311" t="s">
        <v>84</v>
      </c>
      <c r="D21" s="308"/>
      <c r="E21" s="308">
        <f>+'formato de ingresos'!P21</f>
        <v>445799.03999999986</v>
      </c>
      <c r="F21" s="308"/>
    </row>
    <row r="22" spans="2:6" x14ac:dyDescent="0.25">
      <c r="B22" s="310">
        <v>1210902</v>
      </c>
      <c r="C22" s="311" t="s">
        <v>56</v>
      </c>
      <c r="D22" s="308"/>
      <c r="E22" s="308">
        <f>+'formato de ingresos'!P22</f>
        <v>3521.8799999999992</v>
      </c>
      <c r="F22" s="308"/>
    </row>
    <row r="23" spans="2:6" x14ac:dyDescent="0.25">
      <c r="B23" s="310">
        <v>1210903</v>
      </c>
      <c r="C23" s="311" t="s">
        <v>57</v>
      </c>
      <c r="D23" s="308"/>
      <c r="E23" s="308">
        <f>+'formato de ingresos'!P23</f>
        <v>5115</v>
      </c>
      <c r="F23" s="308"/>
    </row>
    <row r="24" spans="2:6" x14ac:dyDescent="0.25">
      <c r="B24" s="310">
        <v>12110</v>
      </c>
      <c r="C24" s="311" t="s">
        <v>85</v>
      </c>
      <c r="D24" s="308"/>
      <c r="E24" s="308">
        <f>+'formato de ingresos'!P24</f>
        <v>274.32000000000005</v>
      </c>
      <c r="F24" s="308"/>
    </row>
    <row r="25" spans="2:6" x14ac:dyDescent="0.25">
      <c r="B25" s="310">
        <v>12111</v>
      </c>
      <c r="C25" s="311" t="s">
        <v>86</v>
      </c>
      <c r="D25" s="308"/>
      <c r="E25" s="308">
        <f>+'formato de ingresos'!P25</f>
        <v>8137.56</v>
      </c>
      <c r="F25" s="308"/>
    </row>
    <row r="26" spans="2:6" x14ac:dyDescent="0.25">
      <c r="B26" s="310">
        <v>12112</v>
      </c>
      <c r="C26" s="311" t="s">
        <v>87</v>
      </c>
      <c r="D26" s="308"/>
      <c r="E26" s="308">
        <f>+'formato de ingresos'!P26</f>
        <v>130995</v>
      </c>
      <c r="F26" s="308"/>
    </row>
    <row r="27" spans="2:6" x14ac:dyDescent="0.25">
      <c r="B27" s="310">
        <v>12114</v>
      </c>
      <c r="C27" s="311" t="s">
        <v>88</v>
      </c>
      <c r="D27" s="308"/>
      <c r="E27" s="308">
        <f>+'formato de ingresos'!P27</f>
        <v>67425.38</v>
      </c>
      <c r="F27" s="308"/>
    </row>
    <row r="28" spans="2:6" x14ac:dyDescent="0.25">
      <c r="B28" s="310">
        <v>12117</v>
      </c>
      <c r="C28" s="311" t="s">
        <v>89</v>
      </c>
      <c r="D28" s="308"/>
      <c r="E28" s="308">
        <f>+'formato de ingresos'!P28</f>
        <v>76608.960000000006</v>
      </c>
      <c r="F28" s="308"/>
    </row>
    <row r="29" spans="2:6" x14ac:dyDescent="0.25">
      <c r="B29" s="310">
        <v>12118</v>
      </c>
      <c r="C29" s="311" t="s">
        <v>90</v>
      </c>
      <c r="D29" s="308"/>
      <c r="E29" s="308">
        <f>+'formato de ingresos'!P29</f>
        <v>433260</v>
      </c>
      <c r="F29" s="308"/>
    </row>
    <row r="30" spans="2:6" x14ac:dyDescent="0.25">
      <c r="B30" s="313">
        <v>12119</v>
      </c>
      <c r="C30" s="314" t="s">
        <v>18</v>
      </c>
      <c r="D30" s="308"/>
      <c r="E30" s="308">
        <f>+'formato de ingresos'!P30</f>
        <v>315</v>
      </c>
      <c r="F30" s="308"/>
    </row>
    <row r="31" spans="2:6" x14ac:dyDescent="0.25">
      <c r="B31" s="306">
        <v>122</v>
      </c>
      <c r="C31" s="307" t="s">
        <v>91</v>
      </c>
      <c r="D31" s="308"/>
      <c r="E31" s="309">
        <f>SUM(E32)</f>
        <v>24800</v>
      </c>
      <c r="F31" s="308"/>
    </row>
    <row r="32" spans="2:6" x14ac:dyDescent="0.25">
      <c r="B32" s="310">
        <v>12210</v>
      </c>
      <c r="C32" s="311" t="s">
        <v>92</v>
      </c>
      <c r="D32" s="308"/>
      <c r="E32" s="308">
        <f>+'formato de ingresos'!P32</f>
        <v>24800</v>
      </c>
      <c r="F32" s="308"/>
    </row>
    <row r="33" spans="2:6" x14ac:dyDescent="0.25">
      <c r="B33" s="306">
        <v>14</v>
      </c>
      <c r="C33" s="307" t="s">
        <v>60</v>
      </c>
      <c r="D33" s="309"/>
      <c r="E33" s="309">
        <f>SUM(E34)</f>
        <v>1150</v>
      </c>
      <c r="F33" s="309"/>
    </row>
    <row r="34" spans="2:6" x14ac:dyDescent="0.25">
      <c r="B34" s="306">
        <v>142</v>
      </c>
      <c r="C34" s="307" t="s">
        <v>58</v>
      </c>
      <c r="D34" s="309"/>
      <c r="E34" s="309">
        <f>SUM(E35)</f>
        <v>1150</v>
      </c>
      <c r="F34" s="309"/>
    </row>
    <row r="35" spans="2:6" x14ac:dyDescent="0.25">
      <c r="B35" s="310">
        <v>14201</v>
      </c>
      <c r="C35" s="311" t="s">
        <v>59</v>
      </c>
      <c r="D35" s="308"/>
      <c r="E35" s="308">
        <f>+'formato de ingresos'!P35</f>
        <v>1150</v>
      </c>
      <c r="F35" s="308"/>
    </row>
    <row r="36" spans="2:6" x14ac:dyDescent="0.25">
      <c r="B36" s="306">
        <v>15</v>
      </c>
      <c r="C36" s="307" t="s">
        <v>93</v>
      </c>
      <c r="D36" s="308"/>
      <c r="E36" s="309">
        <f>SUM(E37+E44+E46)</f>
        <v>30414.95</v>
      </c>
      <c r="F36" s="308"/>
    </row>
    <row r="37" spans="2:6" x14ac:dyDescent="0.25">
      <c r="B37" s="306">
        <v>153</v>
      </c>
      <c r="C37" s="307" t="s">
        <v>94</v>
      </c>
      <c r="D37" s="308"/>
      <c r="E37" s="309">
        <f>SUM(E38:E43)</f>
        <v>6214.9500000000007</v>
      </c>
      <c r="F37" s="308"/>
    </row>
    <row r="38" spans="2:6" x14ac:dyDescent="0.25">
      <c r="B38" s="310">
        <v>15301</v>
      </c>
      <c r="C38" s="311" t="s">
        <v>95</v>
      </c>
      <c r="D38" s="308"/>
      <c r="E38" s="308">
        <f>+'formato de ingresos'!P38</f>
        <v>2350</v>
      </c>
      <c r="F38" s="308"/>
    </row>
    <row r="39" spans="2:6" x14ac:dyDescent="0.25">
      <c r="B39" s="310">
        <v>15302</v>
      </c>
      <c r="C39" s="311" t="s">
        <v>96</v>
      </c>
      <c r="D39" s="308"/>
      <c r="E39" s="308">
        <f>+'formato de ingresos'!P39</f>
        <v>2500</v>
      </c>
      <c r="F39" s="308"/>
    </row>
    <row r="40" spans="2:6" x14ac:dyDescent="0.25">
      <c r="B40" s="310">
        <v>15310</v>
      </c>
      <c r="C40" s="311" t="s">
        <v>97</v>
      </c>
      <c r="D40" s="308"/>
      <c r="E40" s="308">
        <f>+'formato de ingresos'!P40</f>
        <v>157.30000000000001</v>
      </c>
      <c r="F40" s="308"/>
    </row>
    <row r="41" spans="2:6" x14ac:dyDescent="0.25">
      <c r="B41" s="310">
        <v>15312</v>
      </c>
      <c r="C41" s="311" t="s">
        <v>98</v>
      </c>
      <c r="D41" s="308"/>
      <c r="E41" s="308">
        <f>+'formato de ingresos'!P41</f>
        <v>719.76</v>
      </c>
      <c r="F41" s="308"/>
    </row>
    <row r="42" spans="2:6" x14ac:dyDescent="0.25">
      <c r="B42" s="310">
        <v>15313</v>
      </c>
      <c r="C42" s="311" t="s">
        <v>99</v>
      </c>
      <c r="D42" s="308"/>
      <c r="E42" s="308">
        <f>+'formato de ingresos'!P42</f>
        <v>225</v>
      </c>
      <c r="F42" s="308"/>
    </row>
    <row r="43" spans="2:6" x14ac:dyDescent="0.25">
      <c r="B43" s="310">
        <v>15314</v>
      </c>
      <c r="C43" s="311" t="s">
        <v>100</v>
      </c>
      <c r="D43" s="308"/>
      <c r="E43" s="308">
        <f>+'formato de ingresos'!P43</f>
        <v>262.89000000000004</v>
      </c>
      <c r="F43" s="308"/>
    </row>
    <row r="44" spans="2:6" x14ac:dyDescent="0.25">
      <c r="B44" s="306">
        <v>154</v>
      </c>
      <c r="C44" s="307" t="s">
        <v>101</v>
      </c>
      <c r="D44" s="308"/>
      <c r="E44" s="309">
        <f>SUM(E45)</f>
        <v>17000</v>
      </c>
      <c r="F44" s="308"/>
    </row>
    <row r="45" spans="2:6" x14ac:dyDescent="0.25">
      <c r="B45" s="310">
        <v>15402</v>
      </c>
      <c r="C45" s="311" t="s">
        <v>102</v>
      </c>
      <c r="D45" s="308"/>
      <c r="E45" s="308">
        <f>+'formato de ingresos'!P45</f>
        <v>17000</v>
      </c>
      <c r="F45" s="308"/>
    </row>
    <row r="46" spans="2:6" x14ac:dyDescent="0.25">
      <c r="B46" s="306">
        <v>157</v>
      </c>
      <c r="C46" s="307" t="s">
        <v>103</v>
      </c>
      <c r="D46" s="308"/>
      <c r="E46" s="309">
        <f>SUM(E47)</f>
        <v>7200</v>
      </c>
      <c r="F46" s="308"/>
    </row>
    <row r="47" spans="2:6" ht="16.5" thickBot="1" x14ac:dyDescent="0.3">
      <c r="B47" s="315">
        <v>15799</v>
      </c>
      <c r="C47" s="316" t="s">
        <v>104</v>
      </c>
      <c r="D47" s="317"/>
      <c r="E47" s="317">
        <f>+'formato de ingresos'!P47</f>
        <v>7200</v>
      </c>
      <c r="F47" s="317"/>
    </row>
    <row r="48" spans="2:6" ht="17.25" thickTop="1" thickBot="1" x14ac:dyDescent="0.3">
      <c r="B48" s="318"/>
      <c r="C48" s="319" t="s">
        <v>105</v>
      </c>
      <c r="D48" s="320"/>
      <c r="E48" s="321">
        <f>+E8+E15+E33+E36</f>
        <v>1439435.6199999999</v>
      </c>
      <c r="F48" s="322">
        <f>SUM(D48:E48)</f>
        <v>1439435.6199999999</v>
      </c>
    </row>
    <row r="49" spans="2:6" ht="16.5" thickTop="1" x14ac:dyDescent="0.25">
      <c r="B49" s="323">
        <v>16</v>
      </c>
      <c r="C49" s="324" t="s">
        <v>106</v>
      </c>
      <c r="D49" s="325">
        <f>SUM(D51)</f>
        <v>707422.66</v>
      </c>
      <c r="E49" s="325">
        <f>E50</f>
        <v>0</v>
      </c>
      <c r="F49" s="325">
        <f>SUM(D49:E49)</f>
        <v>707422.66</v>
      </c>
    </row>
    <row r="50" spans="2:6" ht="31.5" x14ac:dyDescent="0.25">
      <c r="B50" s="323">
        <v>162</v>
      </c>
      <c r="C50" s="324" t="s">
        <v>107</v>
      </c>
      <c r="D50" s="325">
        <f>SUM(D51)</f>
        <v>707422.66</v>
      </c>
      <c r="E50" s="325"/>
      <c r="F50" s="325"/>
    </row>
    <row r="51" spans="2:6" ht="30.75" x14ac:dyDescent="0.25">
      <c r="B51" s="310">
        <v>16201</v>
      </c>
      <c r="C51" s="311" t="s">
        <v>108</v>
      </c>
      <c r="D51" s="308">
        <f>58951.89*11+58951.87</f>
        <v>707422.66</v>
      </c>
      <c r="E51" s="308"/>
      <c r="F51" s="308"/>
    </row>
    <row r="52" spans="2:6" x14ac:dyDescent="0.25">
      <c r="B52" s="306">
        <v>22</v>
      </c>
      <c r="C52" s="307" t="s">
        <v>109</v>
      </c>
      <c r="D52" s="309">
        <f>SUM(D53)</f>
        <v>2832752.4299999997</v>
      </c>
      <c r="E52" s="309">
        <f>SUM(E53)</f>
        <v>0</v>
      </c>
      <c r="F52" s="325">
        <f>SUM(D52:E52)</f>
        <v>2832752.4299999997</v>
      </c>
    </row>
    <row r="53" spans="2:6" ht="31.5" x14ac:dyDescent="0.25">
      <c r="B53" s="306">
        <v>222</v>
      </c>
      <c r="C53" s="307" t="s">
        <v>110</v>
      </c>
      <c r="D53" s="309">
        <f>SUM(D54:D55)</f>
        <v>2832752.4299999997</v>
      </c>
      <c r="E53" s="309">
        <f>SUM(E54)</f>
        <v>0</v>
      </c>
      <c r="F53" s="309"/>
    </row>
    <row r="54" spans="2:6" ht="30.75" x14ac:dyDescent="0.25">
      <c r="B54" s="310">
        <v>22201</v>
      </c>
      <c r="C54" s="311" t="s">
        <v>432</v>
      </c>
      <c r="D54" s="308">
        <f>176855.65*11+176855.61</f>
        <v>2122267.7599999998</v>
      </c>
      <c r="E54" s="308"/>
      <c r="F54" s="308"/>
    </row>
    <row r="55" spans="2:6" ht="33" customHeight="1" x14ac:dyDescent="0.25">
      <c r="B55" s="310">
        <v>22202</v>
      </c>
      <c r="C55" s="311" t="s">
        <v>433</v>
      </c>
      <c r="D55" s="308">
        <f>59207.05*11+59207.12</f>
        <v>710484.67</v>
      </c>
      <c r="E55" s="308"/>
      <c r="F55" s="308"/>
    </row>
    <row r="56" spans="2:6" x14ac:dyDescent="0.25">
      <c r="B56" s="306">
        <v>32</v>
      </c>
      <c r="C56" s="307" t="s">
        <v>3</v>
      </c>
      <c r="D56" s="309">
        <f>SUM(D57+D65)</f>
        <v>513871.01</v>
      </c>
      <c r="E56" s="309">
        <f>SUM(E57+E65)</f>
        <v>265564.67</v>
      </c>
      <c r="F56" s="309">
        <f>SUM(D56:E56)</f>
        <v>779435.67999999993</v>
      </c>
    </row>
    <row r="57" spans="2:6" x14ac:dyDescent="0.25">
      <c r="B57" s="306">
        <v>321</v>
      </c>
      <c r="C57" s="307" t="s">
        <v>111</v>
      </c>
      <c r="D57" s="309">
        <f>SUM(D58:D64)</f>
        <v>291662.94</v>
      </c>
      <c r="E57" s="309">
        <f>SUM(E58:E64)</f>
        <v>28564.670000000002</v>
      </c>
      <c r="F57" s="309"/>
    </row>
    <row r="58" spans="2:6" x14ac:dyDescent="0.25">
      <c r="B58" s="310">
        <v>32101</v>
      </c>
      <c r="C58" s="311" t="s">
        <v>112</v>
      </c>
      <c r="D58" s="308">
        <v>0</v>
      </c>
      <c r="E58" s="362">
        <v>200</v>
      </c>
      <c r="F58" s="308"/>
    </row>
    <row r="59" spans="2:6" ht="30.75" customHeight="1" x14ac:dyDescent="0.25">
      <c r="B59" s="310">
        <v>32102</v>
      </c>
      <c r="C59" s="311" t="s">
        <v>113</v>
      </c>
      <c r="D59" s="308">
        <v>0</v>
      </c>
      <c r="E59" s="347">
        <v>22535.360000000001</v>
      </c>
      <c r="F59" s="308"/>
    </row>
    <row r="60" spans="2:6" ht="18.75" customHeight="1" x14ac:dyDescent="0.25">
      <c r="B60" s="310">
        <v>32102</v>
      </c>
      <c r="C60" s="311" t="s">
        <v>387</v>
      </c>
      <c r="D60" s="308">
        <v>0</v>
      </c>
      <c r="E60" s="347">
        <v>5829.31</v>
      </c>
      <c r="F60" s="308"/>
    </row>
    <row r="61" spans="2:6" x14ac:dyDescent="0.25">
      <c r="B61" s="310">
        <v>32102</v>
      </c>
      <c r="C61" s="311" t="s">
        <v>114</v>
      </c>
      <c r="D61" s="347">
        <v>927.72</v>
      </c>
      <c r="E61" s="308">
        <v>0</v>
      </c>
      <c r="F61" s="309"/>
    </row>
    <row r="62" spans="2:6" x14ac:dyDescent="0.25">
      <c r="B62" s="310">
        <v>32102</v>
      </c>
      <c r="C62" s="311" t="s">
        <v>115</v>
      </c>
      <c r="D62" s="347">
        <v>6461.82</v>
      </c>
      <c r="E62" s="308">
        <v>0</v>
      </c>
      <c r="F62" s="309"/>
    </row>
    <row r="63" spans="2:6" x14ac:dyDescent="0.25">
      <c r="B63" s="310">
        <v>32102</v>
      </c>
      <c r="C63" s="311" t="s">
        <v>116</v>
      </c>
      <c r="D63" s="347">
        <v>231677.48</v>
      </c>
      <c r="E63" s="308">
        <v>0</v>
      </c>
      <c r="F63" s="308"/>
    </row>
    <row r="64" spans="2:6" ht="18" customHeight="1" x14ac:dyDescent="0.25">
      <c r="B64" s="310">
        <v>32102</v>
      </c>
      <c r="C64" s="311" t="s">
        <v>117</v>
      </c>
      <c r="D64" s="347">
        <v>52595.92</v>
      </c>
      <c r="E64" s="308">
        <v>0</v>
      </c>
      <c r="F64" s="308"/>
    </row>
    <row r="65" spans="2:6" ht="17.25" customHeight="1" x14ac:dyDescent="0.25">
      <c r="B65" s="306">
        <v>322</v>
      </c>
      <c r="C65" s="307" t="s">
        <v>2</v>
      </c>
      <c r="D65" s="309">
        <f>+D66</f>
        <v>222208.06999999998</v>
      </c>
      <c r="E65" s="309">
        <f>SUM(E66)</f>
        <v>237000</v>
      </c>
      <c r="F65" s="309"/>
    </row>
    <row r="66" spans="2:6" ht="20.25" customHeight="1" x14ac:dyDescent="0.25">
      <c r="B66" s="310">
        <v>32201</v>
      </c>
      <c r="C66" s="311" t="s">
        <v>2</v>
      </c>
      <c r="D66" s="312">
        <f>55552.02+166656.05</f>
        <v>222208.06999999998</v>
      </c>
      <c r="E66" s="308">
        <f>+'formato de ingresos'!P50</f>
        <v>237000</v>
      </c>
      <c r="F66" s="308"/>
    </row>
    <row r="67" spans="2:6" ht="16.5" customHeight="1" x14ac:dyDescent="0.25">
      <c r="B67" s="329"/>
      <c r="C67" s="330"/>
      <c r="D67" s="312"/>
      <c r="E67" s="308"/>
      <c r="F67" s="308"/>
    </row>
    <row r="68" spans="2:6" ht="15.75" customHeight="1" x14ac:dyDescent="0.25">
      <c r="B68" s="397" t="s">
        <v>118</v>
      </c>
      <c r="C68" s="398"/>
      <c r="D68" s="309">
        <f>D49+D52+D56</f>
        <v>4054046.0999999996</v>
      </c>
      <c r="E68" s="309">
        <f>SUM(E8+E15+E36+E33+E49+E52+E56)</f>
        <v>1705000.2899999998</v>
      </c>
      <c r="F68" s="309">
        <f>F48+F49+F52+F56</f>
        <v>5759046.3899999987</v>
      </c>
    </row>
    <row r="69" spans="2:6" x14ac:dyDescent="0.25">
      <c r="B69" s="326"/>
      <c r="C69" s="327" t="s">
        <v>119</v>
      </c>
      <c r="D69" s="309">
        <f>D49+D52+D56</f>
        <v>4054046.0999999996</v>
      </c>
      <c r="E69" s="309">
        <f>+E9+E16+E34+E31+E37+E44+E46+E50+E53+E57+E65</f>
        <v>1705000.2899999998</v>
      </c>
      <c r="F69" s="309">
        <f>F48+F49+F52+F56+F65</f>
        <v>5759046.3899999987</v>
      </c>
    </row>
    <row r="70" spans="2:6" x14ac:dyDescent="0.25">
      <c r="B70" s="391"/>
      <c r="C70" s="392"/>
      <c r="D70" s="393"/>
      <c r="E70" s="328">
        <f>+E10+E11+E12+E13+E14+E17+E18+E19+E20+E21+E22+E23+E24+E25+E26+E27+E28+E29+E30+E32+E35+E38+E39+E40+E41+E42+E43+E45+E51+E47+E54+E58+E59+E60+E61+E62+E63+E64+E66</f>
        <v>1705000.29</v>
      </c>
      <c r="F70" s="309">
        <f>F69</f>
        <v>5759046.3899999987</v>
      </c>
    </row>
  </sheetData>
  <mergeCells count="6">
    <mergeCell ref="B70:D70"/>
    <mergeCell ref="B2:F2"/>
    <mergeCell ref="B3:F3"/>
    <mergeCell ref="B4:F4"/>
    <mergeCell ref="B5:F5"/>
    <mergeCell ref="B68:C68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G37"/>
  <sheetViews>
    <sheetView workbookViewId="0">
      <pane ySplit="10" topLeftCell="A14" activePane="bottomLeft" state="frozen"/>
      <selection pane="bottomLeft" activeCell="F18" sqref="F18"/>
    </sheetView>
  </sheetViews>
  <sheetFormatPr baseColWidth="10" defaultRowHeight="15" x14ac:dyDescent="0.25"/>
  <cols>
    <col min="1" max="1" width="5.28515625" style="30" customWidth="1"/>
    <col min="2" max="2" width="9.5703125" style="30" customWidth="1"/>
    <col min="3" max="3" width="45.5703125" style="30" customWidth="1"/>
    <col min="4" max="4" width="13.5703125" style="30" customWidth="1"/>
    <col min="5" max="5" width="16.5703125" style="30" customWidth="1"/>
    <col min="6" max="6" width="12.85546875" style="30" customWidth="1"/>
    <col min="7" max="16384" width="11.42578125" style="30"/>
  </cols>
  <sheetData>
    <row r="2" spans="2:6" ht="15.75" x14ac:dyDescent="0.25">
      <c r="B2" s="426" t="s">
        <v>407</v>
      </c>
      <c r="C2" s="426"/>
      <c r="D2" s="426"/>
      <c r="E2" s="426"/>
      <c r="F2" s="426"/>
    </row>
    <row r="3" spans="2:6" ht="15.75" x14ac:dyDescent="0.25">
      <c r="B3" s="426" t="s">
        <v>223</v>
      </c>
      <c r="C3" s="426"/>
      <c r="D3" s="426"/>
      <c r="E3" s="426"/>
      <c r="F3" s="426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225</v>
      </c>
      <c r="C5" s="427"/>
      <c r="D5" s="427"/>
      <c r="E5" s="427"/>
      <c r="F5" s="427"/>
    </row>
    <row r="6" spans="2:6" ht="15.75" x14ac:dyDescent="0.25">
      <c r="B6" s="427" t="s">
        <v>226</v>
      </c>
      <c r="C6" s="427"/>
      <c r="D6" s="427"/>
      <c r="E6" s="427"/>
      <c r="F6" s="427"/>
    </row>
    <row r="7" spans="2:6" ht="15.75" x14ac:dyDescent="0.25">
      <c r="B7" s="429" t="s">
        <v>305</v>
      </c>
      <c r="C7" s="429"/>
      <c r="D7" s="429"/>
      <c r="E7" s="429"/>
      <c r="F7" s="429"/>
    </row>
    <row r="8" spans="2:6" ht="15.75" thickBot="1" x14ac:dyDescent="0.3">
      <c r="B8" s="31"/>
      <c r="C8" s="31"/>
      <c r="D8" s="31"/>
      <c r="E8" s="32"/>
      <c r="F8" s="31"/>
    </row>
    <row r="9" spans="2:6" x14ac:dyDescent="0.25">
      <c r="B9" s="421" t="s">
        <v>228</v>
      </c>
      <c r="C9" s="423" t="s">
        <v>229</v>
      </c>
      <c r="D9" s="73" t="s">
        <v>230</v>
      </c>
      <c r="E9" s="74" t="s">
        <v>231</v>
      </c>
      <c r="F9" s="436" t="s">
        <v>0</v>
      </c>
    </row>
    <row r="10" spans="2:6" ht="26.25" thickBot="1" x14ac:dyDescent="0.3">
      <c r="B10" s="422"/>
      <c r="C10" s="424"/>
      <c r="D10" s="75" t="s">
        <v>232</v>
      </c>
      <c r="E10" s="353" t="s">
        <v>233</v>
      </c>
      <c r="F10" s="437"/>
    </row>
    <row r="11" spans="2:6" x14ac:dyDescent="0.25">
      <c r="B11" s="76">
        <v>51</v>
      </c>
      <c r="C11" s="105" t="s">
        <v>130</v>
      </c>
      <c r="D11" s="99">
        <f>SUM(D12+D15+D17)</f>
        <v>11595</v>
      </c>
      <c r="E11" s="99">
        <f>SUM(E12+E15+E17)</f>
        <v>7440</v>
      </c>
      <c r="F11" s="99">
        <f>SUM(F12+F15+F17)</f>
        <v>19035</v>
      </c>
    </row>
    <row r="12" spans="2:6" x14ac:dyDescent="0.25">
      <c r="B12" s="81">
        <v>511</v>
      </c>
      <c r="C12" s="113" t="s">
        <v>234</v>
      </c>
      <c r="D12" s="101">
        <f>SUM(D13:D14)</f>
        <v>10100</v>
      </c>
      <c r="E12" s="101">
        <f>SUM(E13:E14)</f>
        <v>6400</v>
      </c>
      <c r="F12" s="101">
        <f>SUM(F13:F14)</f>
        <v>16500</v>
      </c>
    </row>
    <row r="13" spans="2:6" x14ac:dyDescent="0.25">
      <c r="B13" s="84">
        <v>51101</v>
      </c>
      <c r="C13" s="102" t="s">
        <v>235</v>
      </c>
      <c r="D13" s="103">
        <v>9200</v>
      </c>
      <c r="E13" s="103">
        <v>6400</v>
      </c>
      <c r="F13" s="103">
        <f>SUM(D13:E13)</f>
        <v>15600</v>
      </c>
    </row>
    <row r="14" spans="2:6" x14ac:dyDescent="0.25">
      <c r="B14" s="84">
        <v>51103</v>
      </c>
      <c r="C14" s="104" t="s">
        <v>236</v>
      </c>
      <c r="D14" s="103">
        <v>900</v>
      </c>
      <c r="E14" s="103">
        <v>0</v>
      </c>
      <c r="F14" s="103">
        <f>SUM(D14:E14)</f>
        <v>900</v>
      </c>
    </row>
    <row r="15" spans="2:6" x14ac:dyDescent="0.25">
      <c r="B15" s="81">
        <v>514</v>
      </c>
      <c r="C15" s="105" t="s">
        <v>239</v>
      </c>
      <c r="D15" s="101">
        <f>SUM(D16:D16)</f>
        <v>782</v>
      </c>
      <c r="E15" s="101">
        <f>SUM(E16:E16)</f>
        <v>544</v>
      </c>
      <c r="F15" s="101">
        <f>SUM(F16:F16)</f>
        <v>1326</v>
      </c>
    </row>
    <row r="16" spans="2:6" x14ac:dyDescent="0.25">
      <c r="B16" s="90">
        <v>51401</v>
      </c>
      <c r="C16" s="104" t="s">
        <v>240</v>
      </c>
      <c r="D16" s="103">
        <v>782</v>
      </c>
      <c r="E16" s="103">
        <v>544</v>
      </c>
      <c r="F16" s="103">
        <f>SUM(D16:E16)</f>
        <v>1326</v>
      </c>
    </row>
    <row r="17" spans="2:7" x14ac:dyDescent="0.25">
      <c r="B17" s="81">
        <v>515</v>
      </c>
      <c r="C17" s="106" t="s">
        <v>241</v>
      </c>
      <c r="D17" s="101">
        <f>SUM(D18:D18)</f>
        <v>713</v>
      </c>
      <c r="E17" s="101">
        <f>SUM(E18:E18)</f>
        <v>496</v>
      </c>
      <c r="F17" s="101">
        <f>SUM(F18:F18)</f>
        <v>1209</v>
      </c>
    </row>
    <row r="18" spans="2:7" x14ac:dyDescent="0.25">
      <c r="B18" s="90">
        <v>51501</v>
      </c>
      <c r="C18" s="104" t="s">
        <v>240</v>
      </c>
      <c r="D18" s="103">
        <v>713</v>
      </c>
      <c r="E18" s="103">
        <v>496</v>
      </c>
      <c r="F18" s="103">
        <f>SUM(D18:E18)</f>
        <v>1209</v>
      </c>
    </row>
    <row r="19" spans="2:7" x14ac:dyDescent="0.25">
      <c r="B19" s="81">
        <v>54</v>
      </c>
      <c r="C19" s="106" t="s">
        <v>286</v>
      </c>
      <c r="D19" s="101">
        <f>SUM(D20+D24+D26)</f>
        <v>2285</v>
      </c>
      <c r="E19" s="101">
        <f>SUM(E20+E24+E26)</f>
        <v>0</v>
      </c>
      <c r="F19" s="101">
        <f>SUM(F20+F24+F26)</f>
        <v>2285</v>
      </c>
    </row>
    <row r="20" spans="2:7" x14ac:dyDescent="0.25">
      <c r="B20" s="81">
        <v>541</v>
      </c>
      <c r="C20" s="106" t="s">
        <v>245</v>
      </c>
      <c r="D20" s="101">
        <f>SUM(D21:D23)</f>
        <v>685</v>
      </c>
      <c r="E20" s="101">
        <f>SUM(E21:E23)</f>
        <v>0</v>
      </c>
      <c r="F20" s="101">
        <f>SUM(F21:F23)</f>
        <v>685</v>
      </c>
    </row>
    <row r="21" spans="2:7" x14ac:dyDescent="0.25">
      <c r="B21" s="90">
        <v>54105</v>
      </c>
      <c r="C21" s="104" t="s">
        <v>249</v>
      </c>
      <c r="D21" s="103">
        <v>200</v>
      </c>
      <c r="E21" s="103">
        <v>0</v>
      </c>
      <c r="F21" s="103">
        <f>SUM(D21:E21)</f>
        <v>200</v>
      </c>
    </row>
    <row r="22" spans="2:7" x14ac:dyDescent="0.25">
      <c r="B22" s="90">
        <v>54114</v>
      </c>
      <c r="C22" s="104" t="s">
        <v>253</v>
      </c>
      <c r="D22" s="103">
        <v>125</v>
      </c>
      <c r="E22" s="103">
        <v>0</v>
      </c>
      <c r="F22" s="103">
        <f>SUM(D22:E22)</f>
        <v>125</v>
      </c>
    </row>
    <row r="23" spans="2:7" x14ac:dyDescent="0.25">
      <c r="B23" s="90">
        <v>54199</v>
      </c>
      <c r="C23" s="104" t="s">
        <v>256</v>
      </c>
      <c r="D23" s="103">
        <v>360</v>
      </c>
      <c r="E23" s="103">
        <v>0</v>
      </c>
      <c r="F23" s="103">
        <f>SUM(D23:E23)</f>
        <v>360</v>
      </c>
    </row>
    <row r="24" spans="2:7" x14ac:dyDescent="0.25">
      <c r="B24" s="76">
        <v>544</v>
      </c>
      <c r="C24" s="105" t="s">
        <v>264</v>
      </c>
      <c r="D24" s="99">
        <f>SUM(D25:D25)</f>
        <v>100</v>
      </c>
      <c r="E24" s="99">
        <f>SUM(E25:E25)</f>
        <v>0</v>
      </c>
      <c r="F24" s="99">
        <f>SUM(F25:F25)</f>
        <v>100</v>
      </c>
    </row>
    <row r="25" spans="2:7" x14ac:dyDescent="0.25">
      <c r="B25" s="90">
        <v>54401</v>
      </c>
      <c r="C25" s="104" t="s">
        <v>265</v>
      </c>
      <c r="D25" s="103">
        <v>100</v>
      </c>
      <c r="E25" s="103"/>
      <c r="F25" s="103">
        <f>SUM(D25:E25)</f>
        <v>100</v>
      </c>
    </row>
    <row r="26" spans="2:7" x14ac:dyDescent="0.25">
      <c r="B26" s="81">
        <v>545</v>
      </c>
      <c r="C26" s="106" t="s">
        <v>306</v>
      </c>
      <c r="D26" s="101">
        <f>SUM(D27:D27)</f>
        <v>1500</v>
      </c>
      <c r="E26" s="101">
        <f>SUM(E27:E27)</f>
        <v>0</v>
      </c>
      <c r="F26" s="101">
        <f>SUM(F27:F27)</f>
        <v>1500</v>
      </c>
    </row>
    <row r="27" spans="2:7" x14ac:dyDescent="0.25">
      <c r="B27" s="90">
        <v>54503</v>
      </c>
      <c r="C27" s="104" t="s">
        <v>300</v>
      </c>
      <c r="D27" s="103">
        <v>1500</v>
      </c>
      <c r="E27" s="103"/>
      <c r="F27" s="103">
        <f>SUM(D27:E27)</f>
        <v>1500</v>
      </c>
    </row>
    <row r="28" spans="2:7" x14ac:dyDescent="0.25">
      <c r="B28" s="81">
        <v>61</v>
      </c>
      <c r="C28" s="108" t="s">
        <v>280</v>
      </c>
      <c r="D28" s="109">
        <f>SUM(D29)</f>
        <v>650</v>
      </c>
      <c r="E28" s="109">
        <f t="shared" ref="E28" si="0">SUM(E29)</f>
        <v>0</v>
      </c>
      <c r="F28" s="109">
        <f>SUM(F29)</f>
        <v>650</v>
      </c>
      <c r="G28" s="42"/>
    </row>
    <row r="29" spans="2:7" x14ac:dyDescent="0.25">
      <c r="B29" s="81">
        <v>611</v>
      </c>
      <c r="C29" s="108" t="s">
        <v>281</v>
      </c>
      <c r="D29" s="109">
        <f>SUM(D30:D32)</f>
        <v>650</v>
      </c>
      <c r="E29" s="109">
        <f>SUM(E30:E32)</f>
        <v>0</v>
      </c>
      <c r="F29" s="109">
        <f>SUM(F30:F32)</f>
        <v>650</v>
      </c>
      <c r="G29" s="42"/>
    </row>
    <row r="30" spans="2:7" x14ac:dyDescent="0.25">
      <c r="B30" s="90">
        <v>61101</v>
      </c>
      <c r="C30" s="111" t="s">
        <v>282</v>
      </c>
      <c r="D30" s="112">
        <v>450</v>
      </c>
      <c r="E30" s="112">
        <v>0</v>
      </c>
      <c r="F30" s="112">
        <f>SUM(D30:E30)</f>
        <v>450</v>
      </c>
      <c r="G30" s="42"/>
    </row>
    <row r="31" spans="2:7" x14ac:dyDescent="0.25">
      <c r="B31" s="110">
        <v>61104</v>
      </c>
      <c r="C31" s="111" t="s">
        <v>320</v>
      </c>
      <c r="D31" s="112">
        <v>200</v>
      </c>
      <c r="E31" s="112">
        <v>0</v>
      </c>
      <c r="F31" s="112">
        <f>SUM(D31:E31)</f>
        <v>200</v>
      </c>
      <c r="G31" s="42"/>
    </row>
    <row r="32" spans="2:7" x14ac:dyDescent="0.25">
      <c r="B32" s="90"/>
      <c r="C32" s="111"/>
      <c r="D32" s="112"/>
      <c r="E32" s="112"/>
      <c r="F32" s="112"/>
      <c r="G32" s="42"/>
    </row>
    <row r="33" spans="2:7" x14ac:dyDescent="0.25">
      <c r="B33" s="90"/>
      <c r="C33" s="108" t="s">
        <v>70</v>
      </c>
      <c r="D33" s="109">
        <f>SUM(D11+D19+D28)</f>
        <v>14530</v>
      </c>
      <c r="E33" s="109">
        <f>SUM(E11+E19+E28)</f>
        <v>7440</v>
      </c>
      <c r="F33" s="109">
        <f>SUM(D33:E33)</f>
        <v>21970</v>
      </c>
      <c r="G33" s="42"/>
    </row>
    <row r="34" spans="2:7" x14ac:dyDescent="0.25">
      <c r="B34" s="90"/>
      <c r="C34" s="111"/>
      <c r="D34" s="112"/>
      <c r="E34" s="112"/>
      <c r="F34" s="112"/>
      <c r="G34" s="42"/>
    </row>
    <row r="35" spans="2:7" x14ac:dyDescent="0.25">
      <c r="B35" s="81"/>
      <c r="C35" s="258" t="s">
        <v>61</v>
      </c>
      <c r="D35" s="259">
        <f>SUM(D11++D19+D28)</f>
        <v>14530</v>
      </c>
      <c r="E35" s="259">
        <f>SUM(E11++E19+E28)</f>
        <v>7440</v>
      </c>
      <c r="F35" s="259">
        <f>SUM(F11++F19+F28)</f>
        <v>21970</v>
      </c>
      <c r="G35" s="42"/>
    </row>
    <row r="36" spans="2:7" x14ac:dyDescent="0.25">
      <c r="B36" s="81"/>
      <c r="C36" s="258" t="s">
        <v>62</v>
      </c>
      <c r="D36" s="259">
        <f>SUM(D12+D15+D17+D20+D24+D26+D29)</f>
        <v>14530</v>
      </c>
      <c r="E36" s="259">
        <f>SUM(E12+E15+E17+E20+E24+E26+E30)</f>
        <v>7440</v>
      </c>
      <c r="F36" s="259">
        <f>SUM(F12+F15+F17+F20+F24+F26+F29)</f>
        <v>21970</v>
      </c>
      <c r="G36" s="42"/>
    </row>
    <row r="37" spans="2:7" x14ac:dyDescent="0.25">
      <c r="B37" s="81"/>
      <c r="C37" s="258" t="s">
        <v>63</v>
      </c>
      <c r="D37" s="259">
        <f>SUM(D13+D14+D16+D18+D21+D22+D23+D25+D27+D30+D31)</f>
        <v>14530</v>
      </c>
      <c r="E37" s="259">
        <f>SUM(E13+E14+E16+E18+E21+E22+E23+E25+E27+E30)</f>
        <v>7440</v>
      </c>
      <c r="F37" s="259">
        <f>SUM(F13+F14+F16+F18+F21+F22+F23+F25+F27+F30+F31)</f>
        <v>21970</v>
      </c>
      <c r="G37" s="42"/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F40"/>
  <sheetViews>
    <sheetView workbookViewId="0">
      <selection activeCell="D29" sqref="D29"/>
    </sheetView>
  </sheetViews>
  <sheetFormatPr baseColWidth="10" defaultRowHeight="15" x14ac:dyDescent="0.25"/>
  <cols>
    <col min="1" max="1" width="8.140625" style="19" customWidth="1"/>
    <col min="2" max="2" width="7.7109375" style="19" customWidth="1"/>
    <col min="3" max="3" width="45.85546875" style="19" customWidth="1"/>
    <col min="4" max="4" width="14.5703125" style="19" customWidth="1"/>
    <col min="5" max="5" width="16.42578125" style="19" customWidth="1"/>
    <col min="6" max="16384" width="11.42578125" style="19"/>
  </cols>
  <sheetData>
    <row r="2" spans="2:6" ht="15.75" x14ac:dyDescent="0.25">
      <c r="B2" s="387" t="s">
        <v>407</v>
      </c>
      <c r="C2" s="387"/>
      <c r="D2" s="387"/>
      <c r="E2" s="387"/>
      <c r="F2" s="387"/>
    </row>
    <row r="3" spans="2:6" ht="15.75" x14ac:dyDescent="0.25">
      <c r="B3" s="387" t="s">
        <v>223</v>
      </c>
      <c r="C3" s="387"/>
      <c r="D3" s="387"/>
      <c r="E3" s="387"/>
      <c r="F3" s="387"/>
    </row>
    <row r="4" spans="2:6" ht="15.75" x14ac:dyDescent="0.25">
      <c r="B4" s="444" t="s">
        <v>224</v>
      </c>
      <c r="C4" s="444"/>
      <c r="D4" s="444"/>
      <c r="E4" s="444"/>
      <c r="F4" s="444"/>
    </row>
    <row r="5" spans="2:6" ht="15.75" x14ac:dyDescent="0.25">
      <c r="B5" s="444" t="s">
        <v>225</v>
      </c>
      <c r="C5" s="444"/>
      <c r="D5" s="444"/>
      <c r="E5" s="444"/>
      <c r="F5" s="444"/>
    </row>
    <row r="6" spans="2:6" ht="15.75" x14ac:dyDescent="0.25">
      <c r="B6" s="444" t="s">
        <v>226</v>
      </c>
      <c r="C6" s="444"/>
      <c r="D6" s="444"/>
      <c r="E6" s="444"/>
      <c r="F6" s="444"/>
    </row>
    <row r="7" spans="2:6" ht="15.75" x14ac:dyDescent="0.25">
      <c r="B7" s="445" t="s">
        <v>307</v>
      </c>
      <c r="C7" s="445"/>
      <c r="D7" s="445"/>
      <c r="E7" s="445"/>
      <c r="F7" s="445"/>
    </row>
    <row r="8" spans="2:6" ht="15.75" thickBot="1" x14ac:dyDescent="0.3">
      <c r="B8" s="33"/>
      <c r="C8" s="33"/>
      <c r="D8" s="33"/>
      <c r="E8" s="34"/>
      <c r="F8" s="33"/>
    </row>
    <row r="9" spans="2:6" x14ac:dyDescent="0.25">
      <c r="B9" s="438" t="s">
        <v>228</v>
      </c>
      <c r="C9" s="440" t="s">
        <v>229</v>
      </c>
      <c r="D9" s="58" t="s">
        <v>230</v>
      </c>
      <c r="E9" s="333" t="s">
        <v>231</v>
      </c>
      <c r="F9" s="442" t="s">
        <v>0</v>
      </c>
    </row>
    <row r="10" spans="2:6" ht="26.25" thickBot="1" x14ac:dyDescent="0.3">
      <c r="B10" s="439"/>
      <c r="C10" s="441"/>
      <c r="D10" s="59" t="s">
        <v>232</v>
      </c>
      <c r="E10" s="334" t="s">
        <v>233</v>
      </c>
      <c r="F10" s="443"/>
    </row>
    <row r="11" spans="2:6" x14ac:dyDescent="0.25">
      <c r="B11" s="60">
        <v>51</v>
      </c>
      <c r="C11" s="61" t="s">
        <v>130</v>
      </c>
      <c r="D11" s="62">
        <f>SUM(D12+D15+D17)</f>
        <v>13514.5</v>
      </c>
      <c r="E11" s="62">
        <f>SUM(E12+E15+E17)</f>
        <v>9904.5</v>
      </c>
      <c r="F11" s="62">
        <f>SUM(F12+F15+F17)</f>
        <v>23419</v>
      </c>
    </row>
    <row r="12" spans="2:6" x14ac:dyDescent="0.25">
      <c r="B12" s="64">
        <v>511</v>
      </c>
      <c r="C12" s="65" t="s">
        <v>234</v>
      </c>
      <c r="D12" s="63">
        <f>SUM(D13:D14)</f>
        <v>11740</v>
      </c>
      <c r="E12" s="63">
        <f>SUM(E13:E14)</f>
        <v>8520</v>
      </c>
      <c r="F12" s="63">
        <f>SUM(F13:F14)</f>
        <v>20260</v>
      </c>
    </row>
    <row r="13" spans="2:6" x14ac:dyDescent="0.25">
      <c r="B13" s="66">
        <v>51101</v>
      </c>
      <c r="C13" s="67" t="s">
        <v>235</v>
      </c>
      <c r="D13" s="68">
        <v>10920</v>
      </c>
      <c r="E13" s="68">
        <v>8520</v>
      </c>
      <c r="F13" s="68">
        <f>SUM(D13:E13)</f>
        <v>19440</v>
      </c>
    </row>
    <row r="14" spans="2:6" x14ac:dyDescent="0.25">
      <c r="B14" s="66">
        <v>51103</v>
      </c>
      <c r="C14" s="69" t="s">
        <v>236</v>
      </c>
      <c r="D14" s="68">
        <v>820</v>
      </c>
      <c r="E14" s="68">
        <v>0</v>
      </c>
      <c r="F14" s="68">
        <f>SUM(D14:E14)</f>
        <v>820</v>
      </c>
    </row>
    <row r="15" spans="2:6" x14ac:dyDescent="0.25">
      <c r="B15" s="64">
        <v>514</v>
      </c>
      <c r="C15" s="61" t="s">
        <v>239</v>
      </c>
      <c r="D15" s="63">
        <f>SUM(D16:D16)</f>
        <v>928.2</v>
      </c>
      <c r="E15" s="63">
        <f>SUM(E16:E16)</f>
        <v>724.2</v>
      </c>
      <c r="F15" s="63">
        <f>SUM(F16:F16)</f>
        <v>1652.4</v>
      </c>
    </row>
    <row r="16" spans="2:6" x14ac:dyDescent="0.25">
      <c r="B16" s="70">
        <v>51401</v>
      </c>
      <c r="C16" s="69" t="s">
        <v>240</v>
      </c>
      <c r="D16" s="68">
        <v>928.2</v>
      </c>
      <c r="E16" s="68">
        <v>724.2</v>
      </c>
      <c r="F16" s="68">
        <f>SUM(D16:E16)</f>
        <v>1652.4</v>
      </c>
    </row>
    <row r="17" spans="2:6" x14ac:dyDescent="0.25">
      <c r="B17" s="64">
        <v>515</v>
      </c>
      <c r="C17" s="71" t="s">
        <v>241</v>
      </c>
      <c r="D17" s="63">
        <f>SUM(D18:D18)</f>
        <v>846.3</v>
      </c>
      <c r="E17" s="63">
        <f>SUM(E18:E18)</f>
        <v>660.3</v>
      </c>
      <c r="F17" s="63">
        <f>SUM(F18:F18)</f>
        <v>1506.6</v>
      </c>
    </row>
    <row r="18" spans="2:6" x14ac:dyDescent="0.25">
      <c r="B18" s="70">
        <v>51501</v>
      </c>
      <c r="C18" s="69" t="s">
        <v>240</v>
      </c>
      <c r="D18" s="68">
        <v>846.3</v>
      </c>
      <c r="E18" s="68">
        <v>660.3</v>
      </c>
      <c r="F18" s="68">
        <f>SUM(D18:E18)</f>
        <v>1506.6</v>
      </c>
    </row>
    <row r="19" spans="2:6" x14ac:dyDescent="0.25">
      <c r="B19" s="64">
        <v>54</v>
      </c>
      <c r="C19" s="260" t="s">
        <v>286</v>
      </c>
      <c r="D19" s="261">
        <f>SUM(D20+D28+D30)</f>
        <v>1625</v>
      </c>
      <c r="E19" s="261">
        <f>SUM(E20+E28+E30)</f>
        <v>2500</v>
      </c>
      <c r="F19" s="63">
        <f>SUM(F20+F28+F30)</f>
        <v>4125</v>
      </c>
    </row>
    <row r="20" spans="2:6" x14ac:dyDescent="0.25">
      <c r="B20" s="64">
        <v>541</v>
      </c>
      <c r="C20" s="260" t="s">
        <v>245</v>
      </c>
      <c r="D20" s="261">
        <f>SUM(D21:D27)</f>
        <v>1000</v>
      </c>
      <c r="E20" s="261">
        <f>SUM(E21:E27)</f>
        <v>2000</v>
      </c>
      <c r="F20" s="63">
        <f>SUM(F21:F27)</f>
        <v>3000</v>
      </c>
    </row>
    <row r="21" spans="2:6" x14ac:dyDescent="0.25">
      <c r="B21" s="70">
        <v>54101</v>
      </c>
      <c r="C21" s="262" t="s">
        <v>292</v>
      </c>
      <c r="D21" s="263">
        <v>500</v>
      </c>
      <c r="E21" s="263">
        <v>800</v>
      </c>
      <c r="F21" s="68">
        <f t="shared" ref="F21:F27" si="0">SUM(D21:E21)</f>
        <v>1300</v>
      </c>
    </row>
    <row r="22" spans="2:6" x14ac:dyDescent="0.25">
      <c r="B22" s="70">
        <v>54105</v>
      </c>
      <c r="C22" s="262" t="s">
        <v>249</v>
      </c>
      <c r="D22" s="263">
        <v>100</v>
      </c>
      <c r="E22" s="263">
        <v>0</v>
      </c>
      <c r="F22" s="68">
        <f t="shared" si="0"/>
        <v>100</v>
      </c>
    </row>
    <row r="23" spans="2:6" x14ac:dyDescent="0.25">
      <c r="B23" s="70">
        <v>54114</v>
      </c>
      <c r="C23" s="262" t="s">
        <v>253</v>
      </c>
      <c r="D23" s="263">
        <v>200</v>
      </c>
      <c r="E23" s="263">
        <v>0</v>
      </c>
      <c r="F23" s="68">
        <f t="shared" si="0"/>
        <v>200</v>
      </c>
    </row>
    <row r="24" spans="2:6" x14ac:dyDescent="0.25">
      <c r="B24" s="70">
        <v>54115</v>
      </c>
      <c r="C24" s="262" t="s">
        <v>254</v>
      </c>
      <c r="D24" s="263">
        <v>50</v>
      </c>
      <c r="E24" s="263">
        <v>100</v>
      </c>
      <c r="F24" s="68">
        <f t="shared" si="0"/>
        <v>150</v>
      </c>
    </row>
    <row r="25" spans="2:6" x14ac:dyDescent="0.25">
      <c r="B25" s="70">
        <v>54116</v>
      </c>
      <c r="C25" s="262" t="s">
        <v>308</v>
      </c>
      <c r="D25" s="263">
        <v>0</v>
      </c>
      <c r="E25" s="263">
        <v>100</v>
      </c>
      <c r="F25" s="68">
        <f t="shared" si="0"/>
        <v>100</v>
      </c>
    </row>
    <row r="26" spans="2:6" x14ac:dyDescent="0.25">
      <c r="B26" s="70">
        <v>54118</v>
      </c>
      <c r="C26" s="262" t="s">
        <v>295</v>
      </c>
      <c r="D26" s="263">
        <v>50</v>
      </c>
      <c r="E26" s="263">
        <v>500</v>
      </c>
      <c r="F26" s="68">
        <f t="shared" si="0"/>
        <v>550</v>
      </c>
    </row>
    <row r="27" spans="2:6" x14ac:dyDescent="0.25">
      <c r="B27" s="70">
        <v>54199</v>
      </c>
      <c r="C27" s="262" t="s">
        <v>256</v>
      </c>
      <c r="D27" s="263">
        <v>100</v>
      </c>
      <c r="E27" s="263">
        <v>500</v>
      </c>
      <c r="F27" s="68">
        <f t="shared" si="0"/>
        <v>600</v>
      </c>
    </row>
    <row r="28" spans="2:6" x14ac:dyDescent="0.25">
      <c r="B28" s="64">
        <v>543</v>
      </c>
      <c r="C28" s="260" t="s">
        <v>257</v>
      </c>
      <c r="D28" s="261">
        <f>SUM(D29:D29)</f>
        <v>125</v>
      </c>
      <c r="E28" s="261">
        <f>SUM(E29:E29)</f>
        <v>500</v>
      </c>
      <c r="F28" s="63">
        <f>SUM(F29:F29)</f>
        <v>625</v>
      </c>
    </row>
    <row r="29" spans="2:6" x14ac:dyDescent="0.25">
      <c r="B29" s="70">
        <v>54304</v>
      </c>
      <c r="C29" s="262" t="s">
        <v>297</v>
      </c>
      <c r="D29" s="263">
        <v>125</v>
      </c>
      <c r="E29" s="263">
        <v>500</v>
      </c>
      <c r="F29" s="68">
        <f>SUM(D29:E29)</f>
        <v>625</v>
      </c>
    </row>
    <row r="30" spans="2:6" ht="16.5" customHeight="1" x14ac:dyDescent="0.25">
      <c r="B30" s="64">
        <v>545</v>
      </c>
      <c r="C30" s="260" t="s">
        <v>306</v>
      </c>
      <c r="D30" s="261">
        <f>SUM(D31:D31)</f>
        <v>500</v>
      </c>
      <c r="E30" s="261">
        <f>SUM(E31:E31)</f>
        <v>0</v>
      </c>
      <c r="F30" s="63">
        <f>SUM(F31:F31)</f>
        <v>500</v>
      </c>
    </row>
    <row r="31" spans="2:6" x14ac:dyDescent="0.25">
      <c r="B31" s="70">
        <v>54503</v>
      </c>
      <c r="C31" s="262" t="s">
        <v>300</v>
      </c>
      <c r="D31" s="263">
        <v>500</v>
      </c>
      <c r="E31" s="263">
        <v>0</v>
      </c>
      <c r="F31" s="68">
        <f>SUM(D31:E31)</f>
        <v>500</v>
      </c>
    </row>
    <row r="32" spans="2:6" x14ac:dyDescent="0.25">
      <c r="B32" s="64">
        <v>61</v>
      </c>
      <c r="C32" s="260" t="s">
        <v>280</v>
      </c>
      <c r="D32" s="261">
        <f t="shared" ref="D32:F33" si="1">SUM(D33:D33)</f>
        <v>200</v>
      </c>
      <c r="E32" s="261">
        <f t="shared" si="1"/>
        <v>0</v>
      </c>
      <c r="F32" s="63">
        <f t="shared" si="1"/>
        <v>200</v>
      </c>
    </row>
    <row r="33" spans="2:6" x14ac:dyDescent="0.25">
      <c r="B33" s="64">
        <v>611</v>
      </c>
      <c r="C33" s="260" t="s">
        <v>310</v>
      </c>
      <c r="D33" s="261">
        <f t="shared" si="1"/>
        <v>200</v>
      </c>
      <c r="E33" s="261">
        <f t="shared" si="1"/>
        <v>0</v>
      </c>
      <c r="F33" s="63">
        <f t="shared" si="1"/>
        <v>200</v>
      </c>
    </row>
    <row r="34" spans="2:6" x14ac:dyDescent="0.25">
      <c r="B34" s="70">
        <v>61101</v>
      </c>
      <c r="C34" s="262" t="s">
        <v>282</v>
      </c>
      <c r="D34" s="263">
        <v>200</v>
      </c>
      <c r="E34" s="263"/>
      <c r="F34" s="68">
        <f>SUM(D34:E34)</f>
        <v>200</v>
      </c>
    </row>
    <row r="35" spans="2:6" x14ac:dyDescent="0.25">
      <c r="B35" s="70"/>
      <c r="C35" s="262"/>
      <c r="D35" s="263"/>
      <c r="E35" s="263"/>
      <c r="F35" s="68"/>
    </row>
    <row r="36" spans="2:6" x14ac:dyDescent="0.25">
      <c r="B36" s="70"/>
      <c r="C36" s="260" t="s">
        <v>70</v>
      </c>
      <c r="D36" s="261">
        <f>SUM(D11+D19+D32)</f>
        <v>15339.5</v>
      </c>
      <c r="E36" s="261">
        <f>SUM(E11+E19+E32)</f>
        <v>12404.5</v>
      </c>
      <c r="F36" s="63">
        <f>SUM(D36:E36)</f>
        <v>27744</v>
      </c>
    </row>
    <row r="37" spans="2:6" x14ac:dyDescent="0.25">
      <c r="B37" s="70"/>
      <c r="C37" s="262"/>
      <c r="D37" s="263"/>
      <c r="E37" s="263"/>
      <c r="F37" s="68"/>
    </row>
    <row r="38" spans="2:6" x14ac:dyDescent="0.25">
      <c r="B38" s="64"/>
      <c r="C38" s="71" t="s">
        <v>61</v>
      </c>
      <c r="D38" s="63">
        <f>SUM(D11+D19+D32)</f>
        <v>15339.5</v>
      </c>
      <c r="E38" s="63">
        <f>SUM(E11+E19+E32)</f>
        <v>12404.5</v>
      </c>
      <c r="F38" s="63">
        <f>SUM(F11+F19+F32)</f>
        <v>27744</v>
      </c>
    </row>
    <row r="39" spans="2:6" x14ac:dyDescent="0.25">
      <c r="B39" s="64"/>
      <c r="C39" s="71" t="s">
        <v>62</v>
      </c>
      <c r="D39" s="63">
        <f>SUM(D12+D15+D17+D20+D28+D30+D33)</f>
        <v>15339.5</v>
      </c>
      <c r="E39" s="63">
        <f>SUM(E12+E15+E17+E20+E28+E30+E33)</f>
        <v>12404.5</v>
      </c>
      <c r="F39" s="63">
        <f>SUM(F12+F15+F17+F20+F28+F30+F33)</f>
        <v>27744</v>
      </c>
    </row>
    <row r="40" spans="2:6" x14ac:dyDescent="0.25">
      <c r="B40" s="64"/>
      <c r="C40" s="71" t="s">
        <v>63</v>
      </c>
      <c r="D40" s="63">
        <f>SUM(D13+D14+D16+D18+D21+D22+D23+D24+D25+D26+D27+D29+D31+D34)</f>
        <v>15339.5</v>
      </c>
      <c r="E40" s="63">
        <f>SUM(E13+E14+E16+E18+E21+E22+E23+E24+E25+E26+E27+E29+E31+E34)</f>
        <v>12404.5</v>
      </c>
      <c r="F40" s="63">
        <f>SUM(F13+F14+F16+F18+F21+F22+F23+F24+F25+F26+F27+F29+F31+F34)</f>
        <v>27744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F39"/>
  <sheetViews>
    <sheetView workbookViewId="0">
      <pane ySplit="10" topLeftCell="A11" activePane="bottomLeft" state="frozen"/>
      <selection pane="bottomLeft" activeCell="H28" sqref="H28"/>
    </sheetView>
  </sheetViews>
  <sheetFormatPr baseColWidth="10" defaultRowHeight="15" x14ac:dyDescent="0.25"/>
  <cols>
    <col min="1" max="1" width="5" style="72" customWidth="1"/>
    <col min="2" max="2" width="8.28515625" style="72" customWidth="1"/>
    <col min="3" max="3" width="49.7109375" style="72" customWidth="1"/>
    <col min="4" max="4" width="13.5703125" style="72" customWidth="1"/>
    <col min="5" max="5" width="16.140625" style="72" customWidth="1"/>
    <col min="6" max="16384" width="11.42578125" style="72"/>
  </cols>
  <sheetData>
    <row r="2" spans="2:6" ht="15.75" x14ac:dyDescent="0.25">
      <c r="B2" s="447" t="s">
        <v>415</v>
      </c>
      <c r="C2" s="447"/>
      <c r="D2" s="447"/>
      <c r="E2" s="447"/>
      <c r="F2" s="447"/>
    </row>
    <row r="3" spans="2:6" ht="15.75" customHeight="1" x14ac:dyDescent="0.25">
      <c r="B3" s="447" t="s">
        <v>223</v>
      </c>
      <c r="C3" s="447"/>
      <c r="D3" s="447"/>
      <c r="E3" s="447"/>
      <c r="F3" s="447"/>
    </row>
    <row r="4" spans="2:6" ht="15.75" x14ac:dyDescent="0.25">
      <c r="B4" s="448" t="s">
        <v>311</v>
      </c>
      <c r="C4" s="448"/>
      <c r="D4" s="448"/>
      <c r="E4" s="448"/>
      <c r="F4" s="448"/>
    </row>
    <row r="5" spans="2:6" ht="15.75" x14ac:dyDescent="0.25">
      <c r="B5" s="448" t="s">
        <v>312</v>
      </c>
      <c r="C5" s="448"/>
      <c r="D5" s="448"/>
      <c r="E5" s="448"/>
      <c r="F5" s="448"/>
    </row>
    <row r="6" spans="2:6" ht="15.75" x14ac:dyDescent="0.25">
      <c r="B6" s="448" t="s">
        <v>313</v>
      </c>
      <c r="C6" s="448"/>
      <c r="D6" s="448"/>
      <c r="E6" s="448"/>
      <c r="F6" s="448"/>
    </row>
    <row r="7" spans="2:6" ht="15.75" x14ac:dyDescent="0.25">
      <c r="B7" s="449" t="s">
        <v>314</v>
      </c>
      <c r="C7" s="449"/>
      <c r="D7" s="449"/>
      <c r="E7" s="449"/>
      <c r="F7" s="449"/>
    </row>
    <row r="8" spans="2:6" x14ac:dyDescent="0.25">
      <c r="B8" s="149"/>
      <c r="C8" s="149"/>
      <c r="D8" s="149"/>
      <c r="E8" s="149"/>
      <c r="F8" s="149"/>
    </row>
    <row r="9" spans="2:6" x14ac:dyDescent="0.25">
      <c r="B9" s="446" t="s">
        <v>228</v>
      </c>
      <c r="C9" s="446" t="s">
        <v>229</v>
      </c>
      <c r="D9" s="150" t="s">
        <v>230</v>
      </c>
      <c r="E9" s="150" t="s">
        <v>231</v>
      </c>
      <c r="F9" s="446" t="s">
        <v>0</v>
      </c>
    </row>
    <row r="10" spans="2:6" ht="25.5" x14ac:dyDescent="0.25">
      <c r="B10" s="446"/>
      <c r="C10" s="446"/>
      <c r="D10" s="150" t="s">
        <v>232</v>
      </c>
      <c r="E10" s="359" t="s">
        <v>233</v>
      </c>
      <c r="F10" s="446"/>
    </row>
    <row r="11" spans="2:6" x14ac:dyDescent="0.25">
      <c r="B11" s="151">
        <v>51</v>
      </c>
      <c r="C11" s="152" t="s">
        <v>130</v>
      </c>
      <c r="D11" s="153">
        <f>SUM(D12+D15+D17)</f>
        <v>5681.25</v>
      </c>
      <c r="E11" s="153">
        <f>SUM(E12+E15+E17)</f>
        <v>5231.25</v>
      </c>
      <c r="F11" s="153">
        <f>SUM(F12+F15+F17)</f>
        <v>10912.5</v>
      </c>
    </row>
    <row r="12" spans="2:6" x14ac:dyDescent="0.25">
      <c r="B12" s="154">
        <v>511</v>
      </c>
      <c r="C12" s="155" t="s">
        <v>234</v>
      </c>
      <c r="D12" s="156">
        <f>SUM(D13:D14)</f>
        <v>4950</v>
      </c>
      <c r="E12" s="156">
        <f>SUM(E13:E14)</f>
        <v>4500</v>
      </c>
      <c r="F12" s="156">
        <f>SUM(F13:F14)</f>
        <v>9450</v>
      </c>
    </row>
    <row r="13" spans="2:6" x14ac:dyDescent="0.25">
      <c r="B13" s="157">
        <v>51101</v>
      </c>
      <c r="C13" s="158" t="s">
        <v>235</v>
      </c>
      <c r="D13" s="159">
        <v>4500</v>
      </c>
      <c r="E13" s="159">
        <v>4500</v>
      </c>
      <c r="F13" s="159">
        <f>SUM(D13:E13)</f>
        <v>9000</v>
      </c>
    </row>
    <row r="14" spans="2:6" x14ac:dyDescent="0.25">
      <c r="B14" s="157">
        <v>51103</v>
      </c>
      <c r="C14" s="160" t="s">
        <v>236</v>
      </c>
      <c r="D14" s="159">
        <v>450</v>
      </c>
      <c r="E14" s="161">
        <v>0</v>
      </c>
      <c r="F14" s="162">
        <f>SUM(D14:E14)</f>
        <v>450</v>
      </c>
    </row>
    <row r="15" spans="2:6" x14ac:dyDescent="0.25">
      <c r="B15" s="163">
        <v>514</v>
      </c>
      <c r="C15" s="164" t="s">
        <v>239</v>
      </c>
      <c r="D15" s="165">
        <f>SUM(D16:D16)</f>
        <v>382.5</v>
      </c>
      <c r="E15" s="165">
        <f>SUM(E16:E16)</f>
        <v>382.5</v>
      </c>
      <c r="F15" s="165">
        <f>SUM(F16:F16)</f>
        <v>765</v>
      </c>
    </row>
    <row r="16" spans="2:6" x14ac:dyDescent="0.25">
      <c r="B16" s="166">
        <v>51401</v>
      </c>
      <c r="C16" s="167" t="s">
        <v>240</v>
      </c>
      <c r="D16" s="168">
        <v>382.5</v>
      </c>
      <c r="E16" s="168">
        <v>382.5</v>
      </c>
      <c r="F16" s="168">
        <f>SUM(D16:E16)</f>
        <v>765</v>
      </c>
    </row>
    <row r="17" spans="2:6" x14ac:dyDescent="0.25">
      <c r="B17" s="163">
        <v>515</v>
      </c>
      <c r="C17" s="169" t="s">
        <v>241</v>
      </c>
      <c r="D17" s="165">
        <f>SUM(D18:D18)</f>
        <v>348.75</v>
      </c>
      <c r="E17" s="165">
        <f>SUM(E18:E18)</f>
        <v>348.75</v>
      </c>
      <c r="F17" s="165">
        <f>SUM(F18:F18)</f>
        <v>697.5</v>
      </c>
    </row>
    <row r="18" spans="2:6" x14ac:dyDescent="0.25">
      <c r="B18" s="166">
        <v>51501</v>
      </c>
      <c r="C18" s="167" t="s">
        <v>240</v>
      </c>
      <c r="D18" s="168">
        <v>348.75</v>
      </c>
      <c r="E18" s="168">
        <v>348.75</v>
      </c>
      <c r="F18" s="168">
        <f>SUM(D18:E18)</f>
        <v>697.5</v>
      </c>
    </row>
    <row r="19" spans="2:6" x14ac:dyDescent="0.25">
      <c r="B19" s="154">
        <v>54</v>
      </c>
      <c r="C19" s="170" t="s">
        <v>286</v>
      </c>
      <c r="D19" s="153">
        <f>+D20+D25+D29</f>
        <v>697</v>
      </c>
      <c r="E19" s="153">
        <f t="shared" ref="E19:F19" si="0">+E20+E25+E29</f>
        <v>0</v>
      </c>
      <c r="F19" s="153">
        <f t="shared" si="0"/>
        <v>697</v>
      </c>
    </row>
    <row r="20" spans="2:6" x14ac:dyDescent="0.25">
      <c r="B20" s="154">
        <v>541</v>
      </c>
      <c r="C20" s="170" t="s">
        <v>245</v>
      </c>
      <c r="D20" s="156">
        <f>SUM(D21:D24)</f>
        <v>525</v>
      </c>
      <c r="E20" s="156">
        <f t="shared" ref="E20:F20" si="1">SUM(E21:E24)</f>
        <v>0</v>
      </c>
      <c r="F20" s="156">
        <f t="shared" si="1"/>
        <v>525</v>
      </c>
    </row>
    <row r="21" spans="2:6" x14ac:dyDescent="0.25">
      <c r="B21" s="171">
        <v>54105</v>
      </c>
      <c r="C21" s="160" t="s">
        <v>249</v>
      </c>
      <c r="D21" s="159">
        <v>150</v>
      </c>
      <c r="E21" s="159"/>
      <c r="F21" s="159">
        <f>SUM(D21:E21)</f>
        <v>150</v>
      </c>
    </row>
    <row r="22" spans="2:6" x14ac:dyDescent="0.25">
      <c r="B22" s="171">
        <v>54114</v>
      </c>
      <c r="C22" s="160" t="s">
        <v>253</v>
      </c>
      <c r="D22" s="159">
        <v>150</v>
      </c>
      <c r="E22" s="159"/>
      <c r="F22" s="159">
        <f>SUM(D22:E22)</f>
        <v>150</v>
      </c>
    </row>
    <row r="23" spans="2:6" x14ac:dyDescent="0.25">
      <c r="B23" s="171">
        <v>54115</v>
      </c>
      <c r="C23" s="160" t="s">
        <v>254</v>
      </c>
      <c r="D23" s="159">
        <v>125</v>
      </c>
      <c r="E23" s="159"/>
      <c r="F23" s="159">
        <f>SUM(D23:E23)</f>
        <v>125</v>
      </c>
    </row>
    <row r="24" spans="2:6" x14ac:dyDescent="0.25">
      <c r="B24" s="171">
        <v>54199</v>
      </c>
      <c r="C24" s="160" t="s">
        <v>256</v>
      </c>
      <c r="D24" s="159">
        <v>100</v>
      </c>
      <c r="E24" s="159"/>
      <c r="F24" s="159">
        <f>SUM(D24:E24)</f>
        <v>100</v>
      </c>
    </row>
    <row r="25" spans="2:6" x14ac:dyDescent="0.25">
      <c r="B25" s="154">
        <v>543</v>
      </c>
      <c r="C25" s="170" t="s">
        <v>257</v>
      </c>
      <c r="D25" s="156">
        <f>SUM(D26:D28)</f>
        <v>150</v>
      </c>
      <c r="E25" s="156">
        <f>SUM(E26:E28)</f>
        <v>0</v>
      </c>
      <c r="F25" s="156">
        <f t="shared" ref="F25" si="2">SUM(F26:F28)</f>
        <v>150</v>
      </c>
    </row>
    <row r="26" spans="2:6" x14ac:dyDescent="0.25">
      <c r="B26" s="171">
        <v>54301</v>
      </c>
      <c r="C26" s="160" t="s">
        <v>258</v>
      </c>
      <c r="D26" s="159">
        <v>50</v>
      </c>
      <c r="E26" s="159"/>
      <c r="F26" s="159">
        <f t="shared" ref="F26:F30" si="3">SUM(D26:E26)</f>
        <v>50</v>
      </c>
    </row>
    <row r="27" spans="2:6" x14ac:dyDescent="0.25">
      <c r="B27" s="171">
        <v>54313</v>
      </c>
      <c r="C27" s="160" t="s">
        <v>315</v>
      </c>
      <c r="D27" s="159">
        <v>50</v>
      </c>
      <c r="E27" s="159"/>
      <c r="F27" s="159">
        <f t="shared" si="3"/>
        <v>50</v>
      </c>
    </row>
    <row r="28" spans="2:6" x14ac:dyDescent="0.25">
      <c r="B28" s="171">
        <v>54399</v>
      </c>
      <c r="C28" s="160" t="s">
        <v>316</v>
      </c>
      <c r="D28" s="159">
        <v>50</v>
      </c>
      <c r="E28" s="159"/>
      <c r="F28" s="159">
        <f t="shared" si="3"/>
        <v>50</v>
      </c>
    </row>
    <row r="29" spans="2:6" x14ac:dyDescent="0.25">
      <c r="B29" s="151">
        <v>544</v>
      </c>
      <c r="C29" s="152" t="s">
        <v>264</v>
      </c>
      <c r="D29" s="156">
        <f>SUM(D30)</f>
        <v>22</v>
      </c>
      <c r="E29" s="156">
        <v>0</v>
      </c>
      <c r="F29" s="153">
        <f t="shared" si="3"/>
        <v>22</v>
      </c>
    </row>
    <row r="30" spans="2:6" x14ac:dyDescent="0.25">
      <c r="B30" s="171">
        <v>54401</v>
      </c>
      <c r="C30" s="160" t="s">
        <v>265</v>
      </c>
      <c r="D30" s="172">
        <v>22</v>
      </c>
      <c r="E30" s="172"/>
      <c r="F30" s="173">
        <f t="shared" si="3"/>
        <v>22</v>
      </c>
    </row>
    <row r="31" spans="2:6" x14ac:dyDescent="0.25">
      <c r="B31" s="151">
        <v>61</v>
      </c>
      <c r="C31" s="152" t="s">
        <v>280</v>
      </c>
      <c r="D31" s="153">
        <f>SUM(D32)</f>
        <v>500</v>
      </c>
      <c r="E31" s="153">
        <f>SUM(E32)</f>
        <v>0</v>
      </c>
      <c r="F31" s="174">
        <f>SUM(F32)</f>
        <v>500</v>
      </c>
    </row>
    <row r="32" spans="2:6" x14ac:dyDescent="0.25">
      <c r="B32" s="151">
        <v>611</v>
      </c>
      <c r="C32" s="152" t="s">
        <v>352</v>
      </c>
      <c r="D32" s="264">
        <f>SUM(D33:D34)</f>
        <v>500</v>
      </c>
      <c r="E32" s="264">
        <f>SUM(E33:E34)</f>
        <v>0</v>
      </c>
      <c r="F32" s="174">
        <f>SUM(D32:E32)</f>
        <v>500</v>
      </c>
    </row>
    <row r="33" spans="2:6" x14ac:dyDescent="0.25">
      <c r="B33" s="171">
        <v>61101</v>
      </c>
      <c r="C33" s="160" t="s">
        <v>282</v>
      </c>
      <c r="D33" s="265">
        <v>500</v>
      </c>
      <c r="E33" s="265">
        <v>0</v>
      </c>
      <c r="F33" s="173">
        <f>SUM(D33:E33)</f>
        <v>500</v>
      </c>
    </row>
    <row r="34" spans="2:6" x14ac:dyDescent="0.25">
      <c r="B34" s="171"/>
      <c r="C34" s="160"/>
      <c r="D34" s="266"/>
      <c r="E34" s="266"/>
      <c r="F34" s="159"/>
    </row>
    <row r="35" spans="2:6" x14ac:dyDescent="0.25">
      <c r="B35" s="171"/>
      <c r="C35" s="170" t="s">
        <v>70</v>
      </c>
      <c r="D35" s="175">
        <f>SUM(D11+D19+D31)</f>
        <v>6878.25</v>
      </c>
      <c r="E35" s="175">
        <f>SUM(E11+E19)</f>
        <v>5231.25</v>
      </c>
      <c r="F35" s="175">
        <f>SUM(D35:E35)</f>
        <v>12109.5</v>
      </c>
    </row>
    <row r="36" spans="2:6" x14ac:dyDescent="0.25">
      <c r="B36" s="171"/>
      <c r="C36" s="170"/>
      <c r="D36" s="175"/>
      <c r="E36" s="175"/>
      <c r="F36" s="175"/>
    </row>
    <row r="37" spans="2:6" x14ac:dyDescent="0.25">
      <c r="B37" s="154"/>
      <c r="C37" s="170" t="s">
        <v>61</v>
      </c>
      <c r="D37" s="175">
        <f>SUM(D11+D19+D31)</f>
        <v>6878.25</v>
      </c>
      <c r="E37" s="175">
        <f>SUM(E11+E19)</f>
        <v>5231.25</v>
      </c>
      <c r="F37" s="175">
        <f>SUM(F11+F19+F31)</f>
        <v>12109.5</v>
      </c>
    </row>
    <row r="38" spans="2:6" x14ac:dyDescent="0.25">
      <c r="B38" s="154"/>
      <c r="C38" s="170" t="s">
        <v>62</v>
      </c>
      <c r="D38" s="175">
        <f>SUM(D12+D15+D17+D20+D25+D29+D32)</f>
        <v>6878.25</v>
      </c>
      <c r="E38" s="175">
        <f>SUM(E12+E15+E17+E20+E25+E29)</f>
        <v>5231.25</v>
      </c>
      <c r="F38" s="175">
        <f>SUM(F12+F15+F17+F20+F25+F29+F32)</f>
        <v>12109.5</v>
      </c>
    </row>
    <row r="39" spans="2:6" x14ac:dyDescent="0.25">
      <c r="B39" s="154"/>
      <c r="C39" s="170" t="s">
        <v>63</v>
      </c>
      <c r="D39" s="175">
        <f>SUM(D13+D14+D16+D18+D21+D22+D23+D24+D26+D27+D28+D30+D33)</f>
        <v>6878.25</v>
      </c>
      <c r="E39" s="175">
        <f>SUM(E13+E14+E16+E18+E21+E22+E23+E24+E26+E27+E28+E30)</f>
        <v>5231.25</v>
      </c>
      <c r="F39" s="175">
        <f>SUM(F13+F14+F16+F18+F21+F22+F23+F24+F26+F27+F28+F30+F33)</f>
        <v>12109.5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F41"/>
  <sheetViews>
    <sheetView workbookViewId="0">
      <pane ySplit="10" topLeftCell="A17" activePane="bottomLeft" state="frozen"/>
      <selection pane="bottomLeft" activeCell="I49" sqref="I49"/>
    </sheetView>
  </sheetViews>
  <sheetFormatPr baseColWidth="10" defaultRowHeight="15" x14ac:dyDescent="0.25"/>
  <cols>
    <col min="1" max="1" width="5.42578125" style="30" customWidth="1"/>
    <col min="2" max="2" width="9.140625" style="30" customWidth="1"/>
    <col min="3" max="3" width="42.7109375" style="30" customWidth="1"/>
    <col min="4" max="4" width="13.42578125" style="30" customWidth="1"/>
    <col min="5" max="5" width="15.85546875" style="30" customWidth="1"/>
    <col min="6" max="6" width="11.28515625" style="30" bestFit="1" customWidth="1"/>
    <col min="7" max="16384" width="11.42578125" style="30"/>
  </cols>
  <sheetData>
    <row r="2" spans="2:6" ht="15.75" x14ac:dyDescent="0.25">
      <c r="B2" s="426" t="s">
        <v>407</v>
      </c>
      <c r="C2" s="426"/>
      <c r="D2" s="426"/>
      <c r="E2" s="426"/>
      <c r="F2" s="426"/>
    </row>
    <row r="3" spans="2:6" ht="15.75" x14ac:dyDescent="0.25">
      <c r="B3" s="426" t="s">
        <v>223</v>
      </c>
      <c r="C3" s="426"/>
      <c r="D3" s="426"/>
      <c r="E3" s="426"/>
      <c r="F3" s="426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225</v>
      </c>
      <c r="C5" s="427"/>
      <c r="D5" s="427"/>
      <c r="E5" s="427"/>
      <c r="F5" s="427"/>
    </row>
    <row r="6" spans="2:6" ht="15.75" x14ac:dyDescent="0.25">
      <c r="B6" s="427" t="s">
        <v>226</v>
      </c>
      <c r="C6" s="427"/>
      <c r="D6" s="427"/>
      <c r="E6" s="427"/>
      <c r="F6" s="427"/>
    </row>
    <row r="7" spans="2:6" ht="15.75" x14ac:dyDescent="0.25">
      <c r="B7" s="428" t="s">
        <v>146</v>
      </c>
      <c r="C7" s="428"/>
      <c r="D7" s="428"/>
      <c r="E7" s="428"/>
      <c r="F7" s="428"/>
    </row>
    <row r="8" spans="2:6" x14ac:dyDescent="0.25">
      <c r="B8" s="31"/>
      <c r="C8" s="31"/>
      <c r="D8" s="31"/>
      <c r="E8" s="32"/>
      <c r="F8" s="31"/>
    </row>
    <row r="9" spans="2:6" x14ac:dyDescent="0.25">
      <c r="B9" s="450" t="s">
        <v>228</v>
      </c>
      <c r="C9" s="450" t="s">
        <v>229</v>
      </c>
      <c r="D9" s="267" t="s">
        <v>230</v>
      </c>
      <c r="E9" s="267" t="s">
        <v>231</v>
      </c>
      <c r="F9" s="451" t="s">
        <v>0</v>
      </c>
    </row>
    <row r="10" spans="2:6" ht="26.25" x14ac:dyDescent="0.25">
      <c r="B10" s="450"/>
      <c r="C10" s="450"/>
      <c r="D10" s="267" t="s">
        <v>232</v>
      </c>
      <c r="E10" s="358" t="s">
        <v>233</v>
      </c>
      <c r="F10" s="451"/>
    </row>
    <row r="11" spans="2:6" x14ac:dyDescent="0.25">
      <c r="B11" s="76">
        <v>51</v>
      </c>
      <c r="C11" s="77" t="s">
        <v>130</v>
      </c>
      <c r="D11" s="253">
        <f>SUM(D12+D15+D17+D19)</f>
        <v>40610.75</v>
      </c>
      <c r="E11" s="253">
        <f>SUM(E12+E15+E17+E19)</f>
        <v>13740.75</v>
      </c>
      <c r="F11" s="248">
        <f>SUM(F12+F15+F17+F19)</f>
        <v>54351.5</v>
      </c>
    </row>
    <row r="12" spans="2:6" x14ac:dyDescent="0.25">
      <c r="B12" s="81">
        <v>511</v>
      </c>
      <c r="C12" s="82" t="s">
        <v>234</v>
      </c>
      <c r="D12" s="248">
        <f>SUM(D13:D14)</f>
        <v>13690</v>
      </c>
      <c r="E12" s="248">
        <f>SUM(E13:E14)</f>
        <v>11820</v>
      </c>
      <c r="F12" s="248">
        <f>SUM(F13:F14)</f>
        <v>25510</v>
      </c>
    </row>
    <row r="13" spans="2:6" x14ac:dyDescent="0.25">
      <c r="B13" s="84">
        <v>51101</v>
      </c>
      <c r="C13" s="85" t="s">
        <v>235</v>
      </c>
      <c r="D13" s="251">
        <v>11820</v>
      </c>
      <c r="E13" s="251">
        <v>11820</v>
      </c>
      <c r="F13" s="251">
        <f>SUM(D13:E13)</f>
        <v>23640</v>
      </c>
    </row>
    <row r="14" spans="2:6" x14ac:dyDescent="0.25">
      <c r="B14" s="84">
        <v>51103</v>
      </c>
      <c r="C14" s="87" t="s">
        <v>236</v>
      </c>
      <c r="D14" s="251">
        <v>1870</v>
      </c>
      <c r="E14" s="251">
        <v>0</v>
      </c>
      <c r="F14" s="251">
        <f>SUM(D14:E14)</f>
        <v>1870</v>
      </c>
    </row>
    <row r="15" spans="2:6" x14ac:dyDescent="0.25">
      <c r="B15" s="114">
        <v>512</v>
      </c>
      <c r="C15" s="77" t="s">
        <v>317</v>
      </c>
      <c r="D15" s="248">
        <f>SUM(D16:D16)</f>
        <v>25000</v>
      </c>
      <c r="E15" s="248">
        <f>SUM(E16:E16)</f>
        <v>0</v>
      </c>
      <c r="F15" s="248">
        <f>SUM(F16:F16)</f>
        <v>25000</v>
      </c>
    </row>
    <row r="16" spans="2:6" x14ac:dyDescent="0.25">
      <c r="B16" s="84">
        <v>51201</v>
      </c>
      <c r="C16" s="93" t="s">
        <v>235</v>
      </c>
      <c r="D16" s="251">
        <v>25000</v>
      </c>
      <c r="E16" s="251">
        <v>0</v>
      </c>
      <c r="F16" s="251">
        <f>SUM(D16:E16)</f>
        <v>25000</v>
      </c>
    </row>
    <row r="17" spans="2:6" x14ac:dyDescent="0.25">
      <c r="B17" s="81">
        <v>514</v>
      </c>
      <c r="C17" s="77" t="s">
        <v>239</v>
      </c>
      <c r="D17" s="248">
        <f>SUM(D18:D18)</f>
        <v>1004.7</v>
      </c>
      <c r="E17" s="248">
        <f>SUM(E18:E18)</f>
        <v>1004.7</v>
      </c>
      <c r="F17" s="248">
        <f>SUM(F18:F18)</f>
        <v>2009.4</v>
      </c>
    </row>
    <row r="18" spans="2:6" x14ac:dyDescent="0.25">
      <c r="B18" s="90">
        <v>51401</v>
      </c>
      <c r="C18" s="87" t="s">
        <v>240</v>
      </c>
      <c r="D18" s="251">
        <v>1004.7</v>
      </c>
      <c r="E18" s="251">
        <v>1004.7</v>
      </c>
      <c r="F18" s="251">
        <f>SUM(D18:E18)</f>
        <v>2009.4</v>
      </c>
    </row>
    <row r="19" spans="2:6" x14ac:dyDescent="0.25">
      <c r="B19" s="81">
        <v>515</v>
      </c>
      <c r="C19" s="91" t="s">
        <v>241</v>
      </c>
      <c r="D19" s="248">
        <f>SUM(D20:D20)</f>
        <v>916.05</v>
      </c>
      <c r="E19" s="248">
        <f>SUM(E20:E20)</f>
        <v>916.05</v>
      </c>
      <c r="F19" s="248">
        <f>SUM(F20:F20)</f>
        <v>1832.1</v>
      </c>
    </row>
    <row r="20" spans="2:6" x14ac:dyDescent="0.25">
      <c r="B20" s="90">
        <v>51501</v>
      </c>
      <c r="C20" s="87" t="s">
        <v>240</v>
      </c>
      <c r="D20" s="251">
        <v>916.05</v>
      </c>
      <c r="E20" s="251">
        <v>916.05</v>
      </c>
      <c r="F20" s="251">
        <f>SUM(D20:E20)</f>
        <v>1832.1</v>
      </c>
    </row>
    <row r="21" spans="2:6" x14ac:dyDescent="0.25">
      <c r="B21" s="81">
        <v>54</v>
      </c>
      <c r="C21" s="91" t="s">
        <v>286</v>
      </c>
      <c r="D21" s="248">
        <f>SUM(D22+D30)</f>
        <v>15022.48</v>
      </c>
      <c r="E21" s="248">
        <f>SUM(E22)</f>
        <v>0</v>
      </c>
      <c r="F21" s="248">
        <f>SUM(F22+F30)</f>
        <v>15022.48</v>
      </c>
    </row>
    <row r="22" spans="2:6" x14ac:dyDescent="0.25">
      <c r="B22" s="81">
        <v>541</v>
      </c>
      <c r="C22" s="91" t="s">
        <v>245</v>
      </c>
      <c r="D22" s="248">
        <f>SUM(D23:D29)</f>
        <v>13222.48</v>
      </c>
      <c r="E22" s="248">
        <f>SUM(E23:E29)</f>
        <v>0</v>
      </c>
      <c r="F22" s="248">
        <f>SUM(F23:F29)</f>
        <v>13222.48</v>
      </c>
    </row>
    <row r="23" spans="2:6" x14ac:dyDescent="0.25">
      <c r="B23" s="90">
        <v>54101</v>
      </c>
      <c r="C23" s="87" t="s">
        <v>246</v>
      </c>
      <c r="D23" s="251">
        <v>7265.12</v>
      </c>
      <c r="E23" s="251"/>
      <c r="F23" s="251">
        <f t="shared" ref="F23:F29" si="0">SUM(D23:E23)</f>
        <v>7265.12</v>
      </c>
    </row>
    <row r="24" spans="2:6" x14ac:dyDescent="0.25">
      <c r="B24" s="90">
        <v>54104</v>
      </c>
      <c r="C24" s="104" t="s">
        <v>377</v>
      </c>
      <c r="D24" s="112">
        <v>37.44</v>
      </c>
      <c r="E24" s="109"/>
      <c r="F24" s="112">
        <f>D24</f>
        <v>37.44</v>
      </c>
    </row>
    <row r="25" spans="2:6" x14ac:dyDescent="0.25">
      <c r="B25" s="107">
        <v>54105</v>
      </c>
      <c r="C25" s="115" t="s">
        <v>249</v>
      </c>
      <c r="D25" s="268">
        <v>222.55</v>
      </c>
      <c r="E25" s="268"/>
      <c r="F25" s="251">
        <f t="shared" si="0"/>
        <v>222.55</v>
      </c>
    </row>
    <row r="26" spans="2:6" x14ac:dyDescent="0.25">
      <c r="B26" s="90">
        <v>54107</v>
      </c>
      <c r="C26" s="87" t="s">
        <v>318</v>
      </c>
      <c r="D26" s="251">
        <v>2742.83</v>
      </c>
      <c r="E26" s="251"/>
      <c r="F26" s="251">
        <f t="shared" si="0"/>
        <v>2742.83</v>
      </c>
    </row>
    <row r="27" spans="2:6" x14ac:dyDescent="0.25">
      <c r="B27" s="107">
        <v>54114</v>
      </c>
      <c r="C27" s="115" t="s">
        <v>253</v>
      </c>
      <c r="D27" s="268">
        <v>144.83000000000001</v>
      </c>
      <c r="E27" s="268"/>
      <c r="F27" s="251">
        <f t="shared" si="0"/>
        <v>144.83000000000001</v>
      </c>
    </row>
    <row r="28" spans="2:6" x14ac:dyDescent="0.25">
      <c r="B28" s="107">
        <v>54115</v>
      </c>
      <c r="C28" s="115" t="s">
        <v>319</v>
      </c>
      <c r="D28" s="268">
        <v>889.2</v>
      </c>
      <c r="E28" s="268"/>
      <c r="F28" s="251">
        <f t="shared" si="0"/>
        <v>889.2</v>
      </c>
    </row>
    <row r="29" spans="2:6" x14ac:dyDescent="0.25">
      <c r="B29" s="90">
        <v>54199</v>
      </c>
      <c r="C29" s="87" t="s">
        <v>256</v>
      </c>
      <c r="D29" s="251">
        <v>1920.51</v>
      </c>
      <c r="E29" s="251"/>
      <c r="F29" s="251">
        <f t="shared" si="0"/>
        <v>1920.51</v>
      </c>
    </row>
    <row r="30" spans="2:6" x14ac:dyDescent="0.25">
      <c r="B30" s="81">
        <v>543</v>
      </c>
      <c r="C30" s="106" t="s">
        <v>257</v>
      </c>
      <c r="D30" s="109">
        <f>SUM(D31:D32)</f>
        <v>1800</v>
      </c>
      <c r="E30" s="109">
        <f>SUM(E32:E32)</f>
        <v>0</v>
      </c>
      <c r="F30" s="109">
        <f>SUM(F31:F32)</f>
        <v>1800</v>
      </c>
    </row>
    <row r="31" spans="2:6" x14ac:dyDescent="0.25">
      <c r="B31" s="90">
        <v>54301</v>
      </c>
      <c r="C31" s="104" t="s">
        <v>378</v>
      </c>
      <c r="D31" s="112">
        <v>300</v>
      </c>
      <c r="E31" s="112"/>
      <c r="F31" s="112">
        <f>SUM(D31:E31)</f>
        <v>300</v>
      </c>
    </row>
    <row r="32" spans="2:6" x14ac:dyDescent="0.25">
      <c r="B32" s="90">
        <v>54313</v>
      </c>
      <c r="C32" s="104" t="s">
        <v>261</v>
      </c>
      <c r="D32" s="112">
        <v>1500</v>
      </c>
      <c r="E32" s="112"/>
      <c r="F32" s="112">
        <f>SUM(D32:E32)</f>
        <v>1500</v>
      </c>
    </row>
    <row r="33" spans="2:6" x14ac:dyDescent="0.25">
      <c r="B33" s="81">
        <v>61</v>
      </c>
      <c r="C33" s="91" t="s">
        <v>280</v>
      </c>
      <c r="D33" s="248">
        <f>SUM(D34)</f>
        <v>1320</v>
      </c>
      <c r="E33" s="248">
        <f t="shared" ref="E33:F33" si="1">SUM(E34)</f>
        <v>0</v>
      </c>
      <c r="F33" s="248">
        <f t="shared" si="1"/>
        <v>1320</v>
      </c>
    </row>
    <row r="34" spans="2:6" x14ac:dyDescent="0.25">
      <c r="B34" s="81">
        <v>611</v>
      </c>
      <c r="C34" s="91" t="s">
        <v>281</v>
      </c>
      <c r="D34" s="248">
        <f>SUM(D35:D35)</f>
        <v>1320</v>
      </c>
      <c r="E34" s="248">
        <f>SUM(E35)</f>
        <v>0</v>
      </c>
      <c r="F34" s="248">
        <f>SUM(F35:F35)</f>
        <v>1320</v>
      </c>
    </row>
    <row r="35" spans="2:6" x14ac:dyDescent="0.25">
      <c r="B35" s="90">
        <v>61101</v>
      </c>
      <c r="C35" s="87" t="s">
        <v>282</v>
      </c>
      <c r="D35" s="251">
        <v>1320</v>
      </c>
      <c r="E35" s="251">
        <v>0</v>
      </c>
      <c r="F35" s="251">
        <f>SUM(D35:E35)</f>
        <v>1320</v>
      </c>
    </row>
    <row r="36" spans="2:6" x14ac:dyDescent="0.25">
      <c r="B36" s="90"/>
      <c r="C36" s="87"/>
      <c r="D36" s="251"/>
      <c r="E36" s="251"/>
      <c r="F36" s="251"/>
    </row>
    <row r="37" spans="2:6" x14ac:dyDescent="0.25">
      <c r="B37" s="90"/>
      <c r="C37" s="91" t="s">
        <v>70</v>
      </c>
      <c r="D37" s="248">
        <f>SUM(D11+D21+D33)</f>
        <v>56953.229999999996</v>
      </c>
      <c r="E37" s="248">
        <f>SUM(E11+E21+E33)</f>
        <v>13740.75</v>
      </c>
      <c r="F37" s="248">
        <f>SUM(D37:E37)</f>
        <v>70693.98</v>
      </c>
    </row>
    <row r="38" spans="2:6" x14ac:dyDescent="0.25">
      <c r="B38" s="90"/>
      <c r="C38" s="87"/>
      <c r="D38" s="251"/>
      <c r="E38" s="251"/>
      <c r="F38" s="251"/>
    </row>
    <row r="39" spans="2:6" x14ac:dyDescent="0.25">
      <c r="B39" s="81"/>
      <c r="C39" s="91" t="s">
        <v>61</v>
      </c>
      <c r="D39" s="248">
        <f>SUM(D11+D21+D33)</f>
        <v>56953.229999999996</v>
      </c>
      <c r="E39" s="248">
        <f>SUM(E11+E21+E33)</f>
        <v>13740.75</v>
      </c>
      <c r="F39" s="248">
        <f>SUM(F11+F21+F33)</f>
        <v>70693.98</v>
      </c>
    </row>
    <row r="40" spans="2:6" x14ac:dyDescent="0.25">
      <c r="B40" s="81"/>
      <c r="C40" s="91" t="s">
        <v>62</v>
      </c>
      <c r="D40" s="80">
        <f>SUM(D12+D15+D17+D19+D22+D30+D34)</f>
        <v>56953.229999999996</v>
      </c>
      <c r="E40" s="80">
        <f>SUM(E12+E17+E19+E22+E34)</f>
        <v>13740.75</v>
      </c>
      <c r="F40" s="80">
        <f>SUM(F12+F15+F17+F19+F22+F30+F34)</f>
        <v>70693.98</v>
      </c>
    </row>
    <row r="41" spans="2:6" x14ac:dyDescent="0.25">
      <c r="B41" s="81"/>
      <c r="C41" s="91" t="s">
        <v>63</v>
      </c>
      <c r="D41" s="80">
        <f>SUM(D13+D14++D16+D18+D20+D23+D24+D25+D26+D27+D28+D29+D31+D32+D35)</f>
        <v>56953.23000000001</v>
      </c>
      <c r="E41" s="80">
        <f>SUM(E13+E14+E18+E20+E23+E25+E26+E27+E29)</f>
        <v>13740.75</v>
      </c>
      <c r="F41" s="80">
        <f>SUM(F13+F14+F16+F18+F20+F23+F24+F25+F26+F27+F28+F29+F31+F32+F35)</f>
        <v>70693.98000000001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F43"/>
  <sheetViews>
    <sheetView workbookViewId="0">
      <pane ySplit="10" topLeftCell="A26" activePane="bottomLeft" state="frozen"/>
      <selection pane="bottomLeft" activeCell="I38" sqref="I38"/>
    </sheetView>
  </sheetViews>
  <sheetFormatPr baseColWidth="10" defaultRowHeight="15" x14ac:dyDescent="0.25"/>
  <cols>
    <col min="1" max="1" width="3.85546875" style="30" customWidth="1"/>
    <col min="2" max="2" width="11.42578125" style="30"/>
    <col min="3" max="3" width="45.140625" style="30" customWidth="1"/>
    <col min="4" max="4" width="13.28515625" style="30" customWidth="1"/>
    <col min="5" max="5" width="15.140625" style="30" customWidth="1"/>
    <col min="6" max="6" width="13.42578125" style="30" customWidth="1"/>
    <col min="7" max="16384" width="11.42578125" style="30"/>
  </cols>
  <sheetData>
    <row r="2" spans="2:6" ht="15.75" x14ac:dyDescent="0.25">
      <c r="B2" s="428" t="s">
        <v>407</v>
      </c>
      <c r="C2" s="428"/>
      <c r="D2" s="428"/>
      <c r="E2" s="428"/>
      <c r="F2" s="428"/>
    </row>
    <row r="3" spans="2:6" ht="15.75" x14ac:dyDescent="0.25">
      <c r="B3" s="428" t="s">
        <v>223</v>
      </c>
      <c r="C3" s="428"/>
      <c r="D3" s="428"/>
      <c r="E3" s="428"/>
      <c r="F3" s="428"/>
    </row>
    <row r="4" spans="2:6" ht="15.75" x14ac:dyDescent="0.25">
      <c r="B4" s="453" t="s">
        <v>224</v>
      </c>
      <c r="C4" s="453"/>
      <c r="D4" s="453"/>
      <c r="E4" s="453"/>
      <c r="F4" s="453"/>
    </row>
    <row r="5" spans="2:6" ht="15.75" x14ac:dyDescent="0.25">
      <c r="B5" s="453" t="s">
        <v>321</v>
      </c>
      <c r="C5" s="453"/>
      <c r="D5" s="453"/>
      <c r="E5" s="453"/>
      <c r="F5" s="453"/>
    </row>
    <row r="6" spans="2:6" ht="15.75" x14ac:dyDescent="0.25">
      <c r="B6" s="453" t="s">
        <v>226</v>
      </c>
      <c r="C6" s="453"/>
      <c r="D6" s="453"/>
      <c r="E6" s="453"/>
      <c r="F6" s="453"/>
    </row>
    <row r="7" spans="2:6" ht="15.75" x14ac:dyDescent="0.25">
      <c r="B7" s="428" t="s">
        <v>322</v>
      </c>
      <c r="C7" s="428"/>
      <c r="D7" s="428"/>
      <c r="E7" s="428"/>
      <c r="F7" s="428"/>
    </row>
    <row r="8" spans="2:6" x14ac:dyDescent="0.25">
      <c r="B8" s="37"/>
      <c r="C8" s="37"/>
      <c r="D8" s="37"/>
      <c r="E8" s="38"/>
      <c r="F8" s="37"/>
    </row>
    <row r="9" spans="2:6" x14ac:dyDescent="0.25">
      <c r="B9" s="452" t="s">
        <v>228</v>
      </c>
      <c r="C9" s="452" t="s">
        <v>229</v>
      </c>
      <c r="D9" s="116" t="s">
        <v>230</v>
      </c>
      <c r="E9" s="116" t="s">
        <v>231</v>
      </c>
      <c r="F9" s="452" t="s">
        <v>0</v>
      </c>
    </row>
    <row r="10" spans="2:6" ht="25.5" x14ac:dyDescent="0.25">
      <c r="B10" s="452"/>
      <c r="C10" s="452"/>
      <c r="D10" s="116" t="s">
        <v>232</v>
      </c>
      <c r="E10" s="356" t="s">
        <v>395</v>
      </c>
      <c r="F10" s="452"/>
    </row>
    <row r="11" spans="2:6" x14ac:dyDescent="0.25">
      <c r="B11" s="117">
        <v>51</v>
      </c>
      <c r="C11" s="118" t="s">
        <v>130</v>
      </c>
      <c r="D11" s="119">
        <f>SUM(D12+D154+D15+D17)</f>
        <v>50112.78</v>
      </c>
      <c r="E11" s="119">
        <f>SUM(E12+E15+E17)</f>
        <v>30290.720000000001</v>
      </c>
      <c r="F11" s="119">
        <f>SUM(F12+F15+F17)</f>
        <v>80403.5</v>
      </c>
    </row>
    <row r="12" spans="2:6" x14ac:dyDescent="0.25">
      <c r="B12" s="120">
        <v>511</v>
      </c>
      <c r="C12" s="121" t="s">
        <v>234</v>
      </c>
      <c r="D12" s="122">
        <f>SUM(D13:D14)</f>
        <v>43758.479999999996</v>
      </c>
      <c r="E12" s="122">
        <f>SUM(E13:E14)</f>
        <v>26056.52</v>
      </c>
      <c r="F12" s="122">
        <f>SUM(F13:F14)</f>
        <v>69815</v>
      </c>
    </row>
    <row r="13" spans="2:6" x14ac:dyDescent="0.25">
      <c r="B13" s="123">
        <v>51101</v>
      </c>
      <c r="C13" s="124" t="s">
        <v>235</v>
      </c>
      <c r="D13" s="125">
        <f>+PRESUPUESTO!D13+TESORERIA!D13+CONTABILIDAD!D13</f>
        <v>39103.479999999996</v>
      </c>
      <c r="E13" s="125">
        <f>+PRESUPUESTO!E13+TESORERIA!E13+CONTABILIDAD!E13</f>
        <v>26056.52</v>
      </c>
      <c r="F13" s="125">
        <f>SUM(D13:E13)</f>
        <v>65160</v>
      </c>
    </row>
    <row r="14" spans="2:6" x14ac:dyDescent="0.25">
      <c r="B14" s="123">
        <v>51103</v>
      </c>
      <c r="C14" s="126" t="s">
        <v>236</v>
      </c>
      <c r="D14" s="125">
        <f>+PRESUPUESTO!D14+TESORERIA!D14+CONTABILIDAD!D14</f>
        <v>4655</v>
      </c>
      <c r="E14" s="125">
        <v>0</v>
      </c>
      <c r="F14" s="125">
        <f>SUM(D14:E14)</f>
        <v>4655</v>
      </c>
    </row>
    <row r="15" spans="2:6" x14ac:dyDescent="0.25">
      <c r="B15" s="120">
        <v>514</v>
      </c>
      <c r="C15" s="118" t="s">
        <v>239</v>
      </c>
      <c r="D15" s="122">
        <f>SUM(D16)</f>
        <v>3323.7900000000004</v>
      </c>
      <c r="E15" s="122">
        <f t="shared" ref="E15:F15" si="0">SUM(E16)</f>
        <v>2214.81</v>
      </c>
      <c r="F15" s="122">
        <f t="shared" si="0"/>
        <v>5538.6</v>
      </c>
    </row>
    <row r="16" spans="2:6" x14ac:dyDescent="0.25">
      <c r="B16" s="127">
        <v>51401</v>
      </c>
      <c r="C16" s="126" t="s">
        <v>240</v>
      </c>
      <c r="D16" s="125">
        <f>+PRESUPUESTO!D16+TESORERIA!D16+CONTABILIDAD!D16</f>
        <v>3323.7900000000004</v>
      </c>
      <c r="E16" s="125">
        <f>+PRESUPUESTO!E16+TESORERIA!E16+CONTABILIDAD!E16</f>
        <v>2214.81</v>
      </c>
      <c r="F16" s="125">
        <f>SUM(D16:E16)</f>
        <v>5538.6</v>
      </c>
    </row>
    <row r="17" spans="2:6" x14ac:dyDescent="0.25">
      <c r="B17" s="120">
        <v>515</v>
      </c>
      <c r="C17" s="128" t="s">
        <v>241</v>
      </c>
      <c r="D17" s="122">
        <f>SUM(D18:D18)</f>
        <v>3030.51</v>
      </c>
      <c r="E17" s="122">
        <f>SUM(E18:E18)</f>
        <v>2019.3899999999999</v>
      </c>
      <c r="F17" s="122">
        <f>SUM(F18:F18)</f>
        <v>5049.8999999999996</v>
      </c>
    </row>
    <row r="18" spans="2:6" x14ac:dyDescent="0.25">
      <c r="B18" s="127">
        <v>51501</v>
      </c>
      <c r="C18" s="126" t="s">
        <v>240</v>
      </c>
      <c r="D18" s="125">
        <f>+PRESUPUESTO!D18+TESORERIA!D18+CONTABILIDAD!D18</f>
        <v>3030.51</v>
      </c>
      <c r="E18" s="125">
        <f>+PRESUPUESTO!E18+TESORERIA!E18+CONTABILIDAD!E18</f>
        <v>2019.3899999999999</v>
      </c>
      <c r="F18" s="125">
        <f>SUM(D18:E18)</f>
        <v>5049.8999999999996</v>
      </c>
    </row>
    <row r="19" spans="2:6" x14ac:dyDescent="0.25">
      <c r="B19" s="120">
        <v>54</v>
      </c>
      <c r="C19" s="128" t="s">
        <v>286</v>
      </c>
      <c r="D19" s="122">
        <f>SUM(D20+D26+D29)</f>
        <v>8754.25</v>
      </c>
      <c r="E19" s="122">
        <f>SUM(E20+E26+E29)</f>
        <v>15583.529999999999</v>
      </c>
      <c r="F19" s="122">
        <f>SUM(F20+F26+F29)</f>
        <v>24337.78</v>
      </c>
    </row>
    <row r="20" spans="2:6" x14ac:dyDescent="0.25">
      <c r="B20" s="120">
        <v>541</v>
      </c>
      <c r="C20" s="128" t="s">
        <v>287</v>
      </c>
      <c r="D20" s="122">
        <f>SUM(D21:D25)</f>
        <v>4433.25</v>
      </c>
      <c r="E20" s="122">
        <f>SUM(E21:E25)</f>
        <v>8000</v>
      </c>
      <c r="F20" s="122">
        <f>SUM(F21:F25)</f>
        <v>12433.25</v>
      </c>
    </row>
    <row r="21" spans="2:6" x14ac:dyDescent="0.25">
      <c r="B21" s="127">
        <v>54105</v>
      </c>
      <c r="C21" s="126" t="s">
        <v>249</v>
      </c>
      <c r="D21" s="125">
        <f>+PRESUPUESTO!D21+TESORERIA!D21+CONTABILIDAD!D21</f>
        <v>1402.3</v>
      </c>
      <c r="E21" s="125">
        <f>+PRESUPUESTO!E21+TESORERIA!E21+CONTABILIDAD!E21</f>
        <v>0</v>
      </c>
      <c r="F21" s="125">
        <f t="shared" ref="F21:F25" si="1">SUM(D21:E21)</f>
        <v>1402.3</v>
      </c>
    </row>
    <row r="22" spans="2:6" x14ac:dyDescent="0.25">
      <c r="B22" s="127">
        <v>54114</v>
      </c>
      <c r="C22" s="126" t="s">
        <v>253</v>
      </c>
      <c r="D22" s="125">
        <f>+PRESUPUESTO!D22+TESORERIA!D22+CONTABILIDAD!D22</f>
        <v>844.95</v>
      </c>
      <c r="E22" s="125">
        <f>+PRESUPUESTO!E22+TESORERIA!E22+CONTABILIDAD!E22</f>
        <v>0</v>
      </c>
      <c r="F22" s="125">
        <f t="shared" si="1"/>
        <v>844.95</v>
      </c>
    </row>
    <row r="23" spans="2:6" x14ac:dyDescent="0.25">
      <c r="B23" s="127">
        <v>54115</v>
      </c>
      <c r="C23" s="126" t="s">
        <v>254</v>
      </c>
      <c r="D23" s="125">
        <f>+PRESUPUESTO!D23+TESORERIA!D23+CONTABILIDAD!D23</f>
        <v>1986</v>
      </c>
      <c r="E23" s="125">
        <f>+PRESUPUESTO!E23+TESORERIA!E23+CONTABILIDAD!E23</f>
        <v>0</v>
      </c>
      <c r="F23" s="125">
        <f t="shared" si="1"/>
        <v>1986</v>
      </c>
    </row>
    <row r="24" spans="2:6" x14ac:dyDescent="0.25">
      <c r="B24" s="127">
        <v>54118</v>
      </c>
      <c r="C24" s="126" t="s">
        <v>323</v>
      </c>
      <c r="D24" s="125">
        <f>+TESORERIA!D24</f>
        <v>200</v>
      </c>
      <c r="E24" s="125">
        <f>+TESORERIA!E24</f>
        <v>0</v>
      </c>
      <c r="F24" s="125">
        <f t="shared" si="1"/>
        <v>200</v>
      </c>
    </row>
    <row r="25" spans="2:6" x14ac:dyDescent="0.25">
      <c r="B25" s="127">
        <v>54121</v>
      </c>
      <c r="C25" s="126" t="s">
        <v>324</v>
      </c>
      <c r="D25" s="125">
        <f>+TESORERIA!D25</f>
        <v>0</v>
      </c>
      <c r="E25" s="125">
        <f>+TESORERIA!E25</f>
        <v>8000</v>
      </c>
      <c r="F25" s="125">
        <f t="shared" si="1"/>
        <v>8000</v>
      </c>
    </row>
    <row r="26" spans="2:6" x14ac:dyDescent="0.25">
      <c r="B26" s="120">
        <v>543</v>
      </c>
      <c r="C26" s="128" t="s">
        <v>257</v>
      </c>
      <c r="D26" s="139">
        <f>SUM(D27:D28)</f>
        <v>3500</v>
      </c>
      <c r="E26" s="139">
        <f>SUM(E27:E28)</f>
        <v>7583.53</v>
      </c>
      <c r="F26" s="122">
        <f>SUM(F27:F28)</f>
        <v>11083.529999999999</v>
      </c>
    </row>
    <row r="27" spans="2:6" x14ac:dyDescent="0.25">
      <c r="B27" s="127">
        <v>54301</v>
      </c>
      <c r="C27" s="126" t="s">
        <v>258</v>
      </c>
      <c r="D27" s="140">
        <f>+TESORERIA!D27</f>
        <v>2500</v>
      </c>
      <c r="E27" s="140">
        <f>+TESORERIA!E27</f>
        <v>7583.53</v>
      </c>
      <c r="F27" s="125">
        <f>SUM(D27:E27)</f>
        <v>10083.529999999999</v>
      </c>
    </row>
    <row r="28" spans="2:6" x14ac:dyDescent="0.25">
      <c r="B28" s="127">
        <v>54313</v>
      </c>
      <c r="C28" s="126" t="s">
        <v>261</v>
      </c>
      <c r="D28" s="140">
        <f>+TESORERIA!D28</f>
        <v>1000</v>
      </c>
      <c r="E28" s="140">
        <f>+TESORERIA!E28</f>
        <v>0</v>
      </c>
      <c r="F28" s="125">
        <f>SUM(D28:E28)</f>
        <v>1000</v>
      </c>
    </row>
    <row r="29" spans="2:6" x14ac:dyDescent="0.25">
      <c r="B29" s="117">
        <v>544</v>
      </c>
      <c r="C29" s="118" t="s">
        <v>264</v>
      </c>
      <c r="D29" s="269">
        <f>SUM(D30:D30)</f>
        <v>821</v>
      </c>
      <c r="E29" s="269">
        <f>SUM(E30:E30)</f>
        <v>0</v>
      </c>
      <c r="F29" s="119">
        <f>SUM(F30:F30)</f>
        <v>821</v>
      </c>
    </row>
    <row r="30" spans="2:6" x14ac:dyDescent="0.25">
      <c r="B30" s="127">
        <v>54401</v>
      </c>
      <c r="C30" s="126" t="s">
        <v>265</v>
      </c>
      <c r="D30" s="140">
        <f>+TESORERIA!D30+CONTABILIDAD!D25</f>
        <v>821</v>
      </c>
      <c r="E30" s="140">
        <f>+TESORERIA!E30+CONTABILIDAD!E25</f>
        <v>0</v>
      </c>
      <c r="F30" s="125">
        <f>SUM(D30:E30)</f>
        <v>821</v>
      </c>
    </row>
    <row r="31" spans="2:6" x14ac:dyDescent="0.25">
      <c r="B31" s="120">
        <v>55</v>
      </c>
      <c r="C31" s="128" t="s">
        <v>132</v>
      </c>
      <c r="D31" s="139">
        <f>SUM(D32)</f>
        <v>900</v>
      </c>
      <c r="E31" s="139">
        <f t="shared" ref="E31:F31" si="2">SUM(E32)</f>
        <v>200</v>
      </c>
      <c r="F31" s="122">
        <f t="shared" si="2"/>
        <v>1100</v>
      </c>
    </row>
    <row r="32" spans="2:6" x14ac:dyDescent="0.25">
      <c r="B32" s="120">
        <v>556</v>
      </c>
      <c r="C32" s="128" t="s">
        <v>271</v>
      </c>
      <c r="D32" s="139">
        <f>SUM(D33:D33)</f>
        <v>900</v>
      </c>
      <c r="E32" s="139">
        <f>SUM(E33:E33)</f>
        <v>200</v>
      </c>
      <c r="F32" s="122">
        <f>SUM(F33:F33)</f>
        <v>1100</v>
      </c>
    </row>
    <row r="33" spans="2:6" x14ac:dyDescent="0.25">
      <c r="B33" s="127">
        <v>55603</v>
      </c>
      <c r="C33" s="126" t="s">
        <v>325</v>
      </c>
      <c r="D33" s="140">
        <f>+TESORERIA!D33</f>
        <v>900</v>
      </c>
      <c r="E33" s="140">
        <f>+TESORERIA!E33</f>
        <v>200</v>
      </c>
      <c r="F33" s="125">
        <f>SUM(D33:E33)</f>
        <v>1100</v>
      </c>
    </row>
    <row r="34" spans="2:6" x14ac:dyDescent="0.25">
      <c r="B34" s="96">
        <v>61</v>
      </c>
      <c r="C34" s="108" t="s">
        <v>280</v>
      </c>
      <c r="D34" s="109">
        <f>SUM(D35)</f>
        <v>1350</v>
      </c>
      <c r="E34" s="109">
        <f t="shared" ref="E34:F34" si="3">SUM(E35)</f>
        <v>0</v>
      </c>
      <c r="F34" s="109">
        <f t="shared" si="3"/>
        <v>1350</v>
      </c>
    </row>
    <row r="35" spans="2:6" x14ac:dyDescent="0.25">
      <c r="B35" s="96">
        <v>611</v>
      </c>
      <c r="C35" s="108" t="s">
        <v>330</v>
      </c>
      <c r="D35" s="109">
        <f>SUM(D36:D37)</f>
        <v>1350</v>
      </c>
      <c r="E35" s="109">
        <f>SUM(E37:E37)</f>
        <v>0</v>
      </c>
      <c r="F35" s="109">
        <f>SUM(F36:F37)</f>
        <v>1350</v>
      </c>
    </row>
    <row r="36" spans="2:6" x14ac:dyDescent="0.25">
      <c r="B36" s="110">
        <v>61101</v>
      </c>
      <c r="C36" s="111" t="s">
        <v>416</v>
      </c>
      <c r="D36" s="112">
        <f>+PRESUPUESTO!D26</f>
        <v>800</v>
      </c>
      <c r="E36" s="109">
        <v>0</v>
      </c>
      <c r="F36" s="112">
        <f>SUM(D36:E36)</f>
        <v>800</v>
      </c>
    </row>
    <row r="37" spans="2:6" x14ac:dyDescent="0.25">
      <c r="B37" s="110">
        <v>61104</v>
      </c>
      <c r="C37" s="111" t="s">
        <v>331</v>
      </c>
      <c r="D37" s="112">
        <f>+PRESUPUESTO!D27+CONTABILIDAD!D28</f>
        <v>550</v>
      </c>
      <c r="E37" s="112">
        <f>+PRESUPUESTO!E26</f>
        <v>0</v>
      </c>
      <c r="F37" s="112">
        <f>SUM(D37:E37)</f>
        <v>550</v>
      </c>
    </row>
    <row r="38" spans="2:6" x14ac:dyDescent="0.25">
      <c r="B38" s="127"/>
      <c r="C38" s="126"/>
      <c r="D38" s="140"/>
      <c r="E38" s="140"/>
      <c r="F38" s="125"/>
    </row>
    <row r="39" spans="2:6" x14ac:dyDescent="0.25">
      <c r="B39" s="127"/>
      <c r="C39" s="128" t="s">
        <v>70</v>
      </c>
      <c r="D39" s="139">
        <f>SUM(D11+D19+D31+D34)</f>
        <v>61117.03</v>
      </c>
      <c r="E39" s="139">
        <f>SUM(E11+E19+E31)</f>
        <v>46074.25</v>
      </c>
      <c r="F39" s="122">
        <f>SUM(D39:E39)</f>
        <v>107191.28</v>
      </c>
    </row>
    <row r="40" spans="2:6" x14ac:dyDescent="0.25">
      <c r="B40" s="127"/>
      <c r="C40" s="126"/>
      <c r="D40" s="125"/>
      <c r="E40" s="125"/>
      <c r="F40" s="125"/>
    </row>
    <row r="41" spans="2:6" x14ac:dyDescent="0.25">
      <c r="B41" s="120"/>
      <c r="C41" s="128" t="s">
        <v>61</v>
      </c>
      <c r="D41" s="122">
        <f>SUM(D11+D19+D31+D34)</f>
        <v>61117.03</v>
      </c>
      <c r="E41" s="122">
        <f>SUM(E11+E19+E31)</f>
        <v>46074.25</v>
      </c>
      <c r="F41" s="122">
        <f>SUM(F11+F19+F31+F34)</f>
        <v>107191.28</v>
      </c>
    </row>
    <row r="42" spans="2:6" x14ac:dyDescent="0.25">
      <c r="B42" s="120"/>
      <c r="C42" s="128" t="s">
        <v>62</v>
      </c>
      <c r="D42" s="122">
        <f>SUM(D12+D15+D17+D20+D26+D29+D32+D35)</f>
        <v>61117.03</v>
      </c>
      <c r="E42" s="122">
        <f>SUM(E12+E15+E17+E20+E26+E29+E32)</f>
        <v>46074.25</v>
      </c>
      <c r="F42" s="122">
        <f>SUM(F12+F15+F17+F20+F26+F29+F32+F35)</f>
        <v>107191.28</v>
      </c>
    </row>
    <row r="43" spans="2:6" x14ac:dyDescent="0.25">
      <c r="B43" s="120"/>
      <c r="C43" s="128" t="s">
        <v>63</v>
      </c>
      <c r="D43" s="122">
        <f>SUM(D13+D14+D16+D18+D21+D22+D23+D24+D25+D27+D28+D30+D33+D36+D37)</f>
        <v>61117.03</v>
      </c>
      <c r="E43" s="122">
        <f>SUM(E13+E14+E16+E18+E21+E22+E23+E24+E25+E27+E28+E30+E33)</f>
        <v>46074.25</v>
      </c>
      <c r="F43" s="122">
        <f>SUM(F13+F14+F16+F18+F21+F22+F23+F24+F25+F27+F28+F30+F33+F36+F37)</f>
        <v>107191.28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G33"/>
  <sheetViews>
    <sheetView workbookViewId="0">
      <pane ySplit="10" topLeftCell="A11" activePane="bottomLeft" state="frozen"/>
      <selection pane="bottomLeft" activeCell="E17" sqref="E17"/>
    </sheetView>
  </sheetViews>
  <sheetFormatPr baseColWidth="10" defaultRowHeight="15" x14ac:dyDescent="0.25"/>
  <cols>
    <col min="1" max="1" width="5" customWidth="1"/>
    <col min="2" max="2" width="8.42578125" customWidth="1"/>
    <col min="3" max="3" width="42.85546875" customWidth="1"/>
    <col min="4" max="4" width="13" customWidth="1"/>
    <col min="5" max="5" width="17" customWidth="1"/>
  </cols>
  <sheetData>
    <row r="2" spans="2:7" ht="15.75" x14ac:dyDescent="0.25">
      <c r="B2" s="455" t="s">
        <v>407</v>
      </c>
      <c r="C2" s="455"/>
      <c r="D2" s="455"/>
      <c r="E2" s="455"/>
      <c r="F2" s="455"/>
    </row>
    <row r="3" spans="2:7" ht="15.75" x14ac:dyDescent="0.25">
      <c r="B3" s="456" t="s">
        <v>223</v>
      </c>
      <c r="C3" s="456"/>
      <c r="D3" s="456"/>
      <c r="E3" s="456"/>
      <c r="F3" s="456"/>
    </row>
    <row r="4" spans="2:7" ht="15.75" x14ac:dyDescent="0.25">
      <c r="B4" s="457" t="s">
        <v>224</v>
      </c>
      <c r="C4" s="457"/>
      <c r="D4" s="457"/>
      <c r="E4" s="457"/>
      <c r="F4" s="457"/>
    </row>
    <row r="5" spans="2:7" ht="15.75" x14ac:dyDescent="0.25">
      <c r="B5" s="457" t="s">
        <v>321</v>
      </c>
      <c r="C5" s="457"/>
      <c r="D5" s="457"/>
      <c r="E5" s="457"/>
      <c r="F5" s="457"/>
    </row>
    <row r="6" spans="2:7" ht="15.75" x14ac:dyDescent="0.25">
      <c r="B6" s="457" t="s">
        <v>226</v>
      </c>
      <c r="C6" s="457"/>
      <c r="D6" s="457"/>
      <c r="E6" s="457"/>
      <c r="F6" s="457"/>
    </row>
    <row r="7" spans="2:7" ht="15.75" x14ac:dyDescent="0.25">
      <c r="B7" s="456" t="s">
        <v>326</v>
      </c>
      <c r="C7" s="456"/>
      <c r="D7" s="456"/>
      <c r="E7" s="456"/>
      <c r="F7" s="456"/>
    </row>
    <row r="8" spans="2:7" x14ac:dyDescent="0.25">
      <c r="B8" s="35"/>
      <c r="C8" s="35"/>
      <c r="D8" s="35"/>
      <c r="E8" s="36"/>
      <c r="F8" s="35"/>
    </row>
    <row r="9" spans="2:7" x14ac:dyDescent="0.25">
      <c r="B9" s="454" t="s">
        <v>228</v>
      </c>
      <c r="C9" s="454" t="s">
        <v>229</v>
      </c>
      <c r="D9" s="129" t="s">
        <v>230</v>
      </c>
      <c r="E9" s="129" t="s">
        <v>231</v>
      </c>
      <c r="F9" s="454" t="s">
        <v>0</v>
      </c>
    </row>
    <row r="10" spans="2:7" x14ac:dyDescent="0.25">
      <c r="B10" s="454"/>
      <c r="C10" s="454"/>
      <c r="D10" s="129" t="s">
        <v>232</v>
      </c>
      <c r="E10" s="357" t="s">
        <v>233</v>
      </c>
      <c r="F10" s="454"/>
    </row>
    <row r="11" spans="2:7" x14ac:dyDescent="0.25">
      <c r="B11" s="130">
        <v>51</v>
      </c>
      <c r="C11" s="131" t="s">
        <v>130</v>
      </c>
      <c r="D11" s="119">
        <f>SUM(D12+D15+D17)</f>
        <v>9679.5</v>
      </c>
      <c r="E11" s="119">
        <f>SUM(E12+E15+E17)</f>
        <v>8509.5</v>
      </c>
      <c r="F11" s="119">
        <f>SUM(F12+F15+F17)</f>
        <v>18189</v>
      </c>
    </row>
    <row r="12" spans="2:7" x14ac:dyDescent="0.25">
      <c r="B12" s="132">
        <v>511</v>
      </c>
      <c r="C12" s="133" t="s">
        <v>234</v>
      </c>
      <c r="D12" s="122">
        <f>SUM(D13:D14)</f>
        <v>8490</v>
      </c>
      <c r="E12" s="122">
        <f>SUM(E13:E14)</f>
        <v>7320</v>
      </c>
      <c r="F12" s="122">
        <f>SUM(F13:F14)</f>
        <v>15810</v>
      </c>
    </row>
    <row r="13" spans="2:7" x14ac:dyDescent="0.25">
      <c r="B13" s="134">
        <v>51101</v>
      </c>
      <c r="C13" s="135" t="s">
        <v>235</v>
      </c>
      <c r="D13" s="125">
        <v>7320</v>
      </c>
      <c r="E13" s="125">
        <v>7320</v>
      </c>
      <c r="F13" s="125">
        <f>SUM(D13:E13)</f>
        <v>14640</v>
      </c>
    </row>
    <row r="14" spans="2:7" x14ac:dyDescent="0.25">
      <c r="B14" s="134">
        <v>51103</v>
      </c>
      <c r="C14" s="136" t="s">
        <v>236</v>
      </c>
      <c r="D14" s="125">
        <v>1170</v>
      </c>
      <c r="E14" s="125">
        <v>0</v>
      </c>
      <c r="F14" s="125">
        <f>SUM(D14:E14)</f>
        <v>1170</v>
      </c>
    </row>
    <row r="15" spans="2:7" x14ac:dyDescent="0.25">
      <c r="B15" s="132">
        <v>514</v>
      </c>
      <c r="C15" s="131" t="s">
        <v>239</v>
      </c>
      <c r="D15" s="122">
        <f>SUM(D16)</f>
        <v>622.20000000000005</v>
      </c>
      <c r="E15" s="122">
        <f>SUM(E16)</f>
        <v>622.20000000000005</v>
      </c>
      <c r="F15" s="122">
        <f t="shared" ref="F15" si="0">SUM(F16)</f>
        <v>1244.4000000000001</v>
      </c>
      <c r="G15">
        <v>1188</v>
      </c>
    </row>
    <row r="16" spans="2:7" x14ac:dyDescent="0.25">
      <c r="B16" s="137">
        <v>51401</v>
      </c>
      <c r="C16" s="136" t="s">
        <v>240</v>
      </c>
      <c r="D16" s="125">
        <v>622.20000000000005</v>
      </c>
      <c r="E16" s="125">
        <v>622.20000000000005</v>
      </c>
      <c r="F16" s="125">
        <f>SUM(D16:E16)</f>
        <v>1244.4000000000001</v>
      </c>
    </row>
    <row r="17" spans="2:6" x14ac:dyDescent="0.25">
      <c r="B17" s="132">
        <v>515</v>
      </c>
      <c r="C17" s="138" t="s">
        <v>241</v>
      </c>
      <c r="D17" s="122">
        <f>SUM(D18:D18)</f>
        <v>567.29999999999995</v>
      </c>
      <c r="E17" s="122">
        <f>SUM(E18:E18)</f>
        <v>567.29999999999995</v>
      </c>
      <c r="F17" s="122">
        <f>SUM(F18:F18)</f>
        <v>1134.5999999999999</v>
      </c>
    </row>
    <row r="18" spans="2:6" x14ac:dyDescent="0.25">
      <c r="B18" s="137">
        <v>51501</v>
      </c>
      <c r="C18" s="136" t="s">
        <v>240</v>
      </c>
      <c r="D18" s="125">
        <v>567.29999999999995</v>
      </c>
      <c r="E18" s="125">
        <v>567.29999999999995</v>
      </c>
      <c r="F18" s="125">
        <f>SUM(D18:E18)</f>
        <v>1134.5999999999999</v>
      </c>
    </row>
    <row r="19" spans="2:6" x14ac:dyDescent="0.25">
      <c r="B19" s="132">
        <v>54</v>
      </c>
      <c r="C19" s="138" t="s">
        <v>286</v>
      </c>
      <c r="D19" s="139">
        <f>SUM(D20)</f>
        <v>893</v>
      </c>
      <c r="E19" s="139">
        <f>SUM(E20)</f>
        <v>0</v>
      </c>
      <c r="F19" s="139">
        <f>SUM(F20)</f>
        <v>893</v>
      </c>
    </row>
    <row r="20" spans="2:6" x14ac:dyDescent="0.25">
      <c r="B20" s="132">
        <v>541</v>
      </c>
      <c r="C20" s="138" t="s">
        <v>287</v>
      </c>
      <c r="D20" s="139">
        <f>SUM(D21:D23)</f>
        <v>893</v>
      </c>
      <c r="E20" s="139">
        <f>SUM(E21:E23)</f>
        <v>0</v>
      </c>
      <c r="F20" s="139">
        <f>SUM(F21:F23)</f>
        <v>893</v>
      </c>
    </row>
    <row r="21" spans="2:6" x14ac:dyDescent="0.25">
      <c r="B21" s="137">
        <v>54105</v>
      </c>
      <c r="C21" s="136" t="s">
        <v>249</v>
      </c>
      <c r="D21" s="140">
        <v>300</v>
      </c>
      <c r="E21" s="140">
        <v>0</v>
      </c>
      <c r="F21" s="140">
        <f>SUM(D21:E21)</f>
        <v>300</v>
      </c>
    </row>
    <row r="22" spans="2:6" x14ac:dyDescent="0.25">
      <c r="B22" s="137">
        <v>54114</v>
      </c>
      <c r="C22" s="136" t="s">
        <v>253</v>
      </c>
      <c r="D22" s="140">
        <v>93</v>
      </c>
      <c r="E22" s="140">
        <v>0</v>
      </c>
      <c r="F22" s="140">
        <f>SUM(D22:E22)</f>
        <v>93</v>
      </c>
    </row>
    <row r="23" spans="2:6" x14ac:dyDescent="0.25">
      <c r="B23" s="137">
        <v>54115</v>
      </c>
      <c r="C23" s="136" t="s">
        <v>254</v>
      </c>
      <c r="D23" s="140">
        <v>500</v>
      </c>
      <c r="E23" s="140">
        <v>0</v>
      </c>
      <c r="F23" s="140">
        <f>SUM(D23:E23)</f>
        <v>500</v>
      </c>
    </row>
    <row r="24" spans="2:6" x14ac:dyDescent="0.25">
      <c r="B24" s="96">
        <v>61</v>
      </c>
      <c r="C24" s="108" t="s">
        <v>280</v>
      </c>
      <c r="D24" s="109">
        <f>SUM(D25)</f>
        <v>1200</v>
      </c>
      <c r="E24" s="109">
        <f t="shared" ref="E24:F24" si="1">SUM(E25)</f>
        <v>0</v>
      </c>
      <c r="F24" s="109">
        <f t="shared" si="1"/>
        <v>1200</v>
      </c>
    </row>
    <row r="25" spans="2:6" x14ac:dyDescent="0.25">
      <c r="B25" s="96">
        <v>611</v>
      </c>
      <c r="C25" s="108" t="s">
        <v>330</v>
      </c>
      <c r="D25" s="109">
        <f>SUM(D26:D27)</f>
        <v>1200</v>
      </c>
      <c r="E25" s="109">
        <f>SUM(E26:E26)</f>
        <v>0</v>
      </c>
      <c r="F25" s="109">
        <f>SUM(F26:F27)</f>
        <v>1200</v>
      </c>
    </row>
    <row r="26" spans="2:6" x14ac:dyDescent="0.25">
      <c r="B26" s="110">
        <v>61101</v>
      </c>
      <c r="C26" s="111" t="s">
        <v>416</v>
      </c>
      <c r="D26" s="112">
        <v>800</v>
      </c>
      <c r="E26" s="112"/>
      <c r="F26" s="112">
        <f>SUM(D26:E26)</f>
        <v>800</v>
      </c>
    </row>
    <row r="27" spans="2:6" x14ac:dyDescent="0.25">
      <c r="B27" s="110">
        <v>61104</v>
      </c>
      <c r="C27" s="111" t="s">
        <v>417</v>
      </c>
      <c r="D27" s="112">
        <v>400</v>
      </c>
      <c r="E27" s="112"/>
      <c r="F27" s="112">
        <f>SUM(D27:E27)</f>
        <v>400</v>
      </c>
    </row>
    <row r="28" spans="2:6" x14ac:dyDescent="0.25">
      <c r="B28" s="137"/>
      <c r="C28" s="126"/>
      <c r="D28" s="125"/>
      <c r="E28" s="140"/>
      <c r="F28" s="140"/>
    </row>
    <row r="29" spans="2:6" x14ac:dyDescent="0.25">
      <c r="B29" s="137"/>
      <c r="C29" s="138" t="s">
        <v>70</v>
      </c>
      <c r="D29" s="139">
        <f>SUM(D11+D19+D24)</f>
        <v>11772.5</v>
      </c>
      <c r="E29" s="139">
        <f>SUM(E11+E19+E24)</f>
        <v>8509.5</v>
      </c>
      <c r="F29" s="139">
        <f>SUM(D29:E29)</f>
        <v>20282</v>
      </c>
    </row>
    <row r="30" spans="2:6" x14ac:dyDescent="0.25">
      <c r="B30" s="137"/>
      <c r="C30" s="136"/>
      <c r="D30" s="140"/>
      <c r="E30" s="140"/>
      <c r="F30" s="140"/>
    </row>
    <row r="31" spans="2:6" x14ac:dyDescent="0.25">
      <c r="B31" s="132"/>
      <c r="C31" s="138" t="s">
        <v>61</v>
      </c>
      <c r="D31" s="139">
        <f>SUM(D11+D19+D24)</f>
        <v>11772.5</v>
      </c>
      <c r="E31" s="139">
        <f>SUM(E11+E19+E24)</f>
        <v>8509.5</v>
      </c>
      <c r="F31" s="139">
        <f>SUM(F11+F19+F24)</f>
        <v>20282</v>
      </c>
    </row>
    <row r="32" spans="2:6" x14ac:dyDescent="0.25">
      <c r="B32" s="132"/>
      <c r="C32" s="138" t="s">
        <v>62</v>
      </c>
      <c r="D32" s="139">
        <f>SUM(D12+D15+D17+D20+D25)</f>
        <v>11772.5</v>
      </c>
      <c r="E32" s="139">
        <f>SUM(E12+E15+E17+E20+E25)</f>
        <v>8509.5</v>
      </c>
      <c r="F32" s="139">
        <f>SUM(F12+F15+F17+F20+F25)</f>
        <v>20282</v>
      </c>
    </row>
    <row r="33" spans="2:6" x14ac:dyDescent="0.25">
      <c r="B33" s="132"/>
      <c r="C33" s="138" t="s">
        <v>63</v>
      </c>
      <c r="D33" s="139">
        <f>SUM(D13+D14+D16+D18+D21+D22+D23+D26+D27)</f>
        <v>11772.5</v>
      </c>
      <c r="E33" s="139">
        <f>SUM(E13+E14+E16+E18+E21+E22+E23+E26)</f>
        <v>8509.5</v>
      </c>
      <c r="F33" s="139">
        <f>SUM(F13+F14+F16+F18+F21+F22+F23+F26+F27)</f>
        <v>20282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39"/>
  <sheetViews>
    <sheetView workbookViewId="0">
      <pane ySplit="10" topLeftCell="A11" activePane="bottomLeft" state="frozen"/>
      <selection pane="bottomLeft" activeCell="I29" sqref="I29:J29"/>
    </sheetView>
  </sheetViews>
  <sheetFormatPr baseColWidth="10" defaultRowHeight="15" x14ac:dyDescent="0.25"/>
  <cols>
    <col min="1" max="1" width="3.42578125" style="30" customWidth="1"/>
    <col min="2" max="2" width="9.7109375" style="30" customWidth="1"/>
    <col min="3" max="3" width="44.85546875" style="30" customWidth="1"/>
    <col min="4" max="4" width="13.42578125" style="30" customWidth="1"/>
    <col min="5" max="5" width="16" style="30" customWidth="1"/>
    <col min="6" max="16384" width="11.42578125" style="30"/>
  </cols>
  <sheetData>
    <row r="2" spans="2:7" ht="15.75" x14ac:dyDescent="0.25">
      <c r="B2" s="428" t="s">
        <v>407</v>
      </c>
      <c r="C2" s="428"/>
      <c r="D2" s="428"/>
      <c r="E2" s="428"/>
      <c r="F2" s="428"/>
    </row>
    <row r="3" spans="2:7" ht="15.75" x14ac:dyDescent="0.25">
      <c r="B3" s="428" t="s">
        <v>223</v>
      </c>
      <c r="C3" s="428"/>
      <c r="D3" s="428"/>
      <c r="E3" s="428"/>
      <c r="F3" s="428"/>
    </row>
    <row r="4" spans="2:7" ht="15.75" x14ac:dyDescent="0.25">
      <c r="B4" s="453" t="s">
        <v>224</v>
      </c>
      <c r="C4" s="453"/>
      <c r="D4" s="453"/>
      <c r="E4" s="453"/>
      <c r="F4" s="453"/>
    </row>
    <row r="5" spans="2:7" ht="15.75" x14ac:dyDescent="0.25">
      <c r="B5" s="453" t="s">
        <v>321</v>
      </c>
      <c r="C5" s="453"/>
      <c r="D5" s="453"/>
      <c r="E5" s="453"/>
      <c r="F5" s="453"/>
    </row>
    <row r="6" spans="2:7" ht="15.75" x14ac:dyDescent="0.25">
      <c r="B6" s="453" t="s">
        <v>226</v>
      </c>
      <c r="C6" s="453"/>
      <c r="D6" s="453"/>
      <c r="E6" s="453"/>
      <c r="F6" s="453"/>
    </row>
    <row r="7" spans="2:7" ht="15.75" x14ac:dyDescent="0.25">
      <c r="B7" s="428" t="s">
        <v>322</v>
      </c>
      <c r="C7" s="428"/>
      <c r="D7" s="428"/>
      <c r="E7" s="428"/>
      <c r="F7" s="428"/>
    </row>
    <row r="8" spans="2:7" x14ac:dyDescent="0.25">
      <c r="B8" s="37"/>
      <c r="C8" s="37"/>
      <c r="D8" s="37"/>
      <c r="E8" s="38"/>
      <c r="F8" s="37"/>
    </row>
    <row r="9" spans="2:7" x14ac:dyDescent="0.25">
      <c r="B9" s="452" t="s">
        <v>228</v>
      </c>
      <c r="C9" s="452" t="s">
        <v>229</v>
      </c>
      <c r="D9" s="116" t="s">
        <v>230</v>
      </c>
      <c r="E9" s="116" t="s">
        <v>231</v>
      </c>
      <c r="F9" s="452" t="s">
        <v>0</v>
      </c>
    </row>
    <row r="10" spans="2:7" ht="25.5" x14ac:dyDescent="0.25">
      <c r="B10" s="452"/>
      <c r="C10" s="452"/>
      <c r="D10" s="116" t="s">
        <v>232</v>
      </c>
      <c r="E10" s="356" t="s">
        <v>233</v>
      </c>
      <c r="F10" s="452"/>
    </row>
    <row r="11" spans="2:7" x14ac:dyDescent="0.25">
      <c r="B11" s="117">
        <v>51</v>
      </c>
      <c r="C11" s="118" t="s">
        <v>130</v>
      </c>
      <c r="D11" s="119">
        <f>SUM(D12+D150+D15+D17)</f>
        <v>28985.050000000003</v>
      </c>
      <c r="E11" s="119">
        <f>SUM(E12+E15+E17)</f>
        <v>11527.95</v>
      </c>
      <c r="F11" s="119">
        <f>SUM(F12+F15+F17)</f>
        <v>40513</v>
      </c>
    </row>
    <row r="12" spans="2:7" x14ac:dyDescent="0.25">
      <c r="B12" s="120">
        <v>511</v>
      </c>
      <c r="C12" s="121" t="s">
        <v>234</v>
      </c>
      <c r="D12" s="122">
        <f>SUM(D13:D14)</f>
        <v>25253.48</v>
      </c>
      <c r="E12" s="122">
        <f>SUM(E13:E14)</f>
        <v>9916.52</v>
      </c>
      <c r="F12" s="122">
        <f>SUM(F13:F14)</f>
        <v>35170</v>
      </c>
    </row>
    <row r="13" spans="2:7" x14ac:dyDescent="0.25">
      <c r="B13" s="123">
        <v>51101</v>
      </c>
      <c r="C13" s="124" t="s">
        <v>235</v>
      </c>
      <c r="D13" s="125">
        <v>22963.48</v>
      </c>
      <c r="E13" s="125">
        <v>9916.52</v>
      </c>
      <c r="F13" s="125">
        <f>SUM(D13:E13)</f>
        <v>32880</v>
      </c>
      <c r="G13" s="30">
        <v>32880</v>
      </c>
    </row>
    <row r="14" spans="2:7" x14ac:dyDescent="0.25">
      <c r="B14" s="123">
        <v>51103</v>
      </c>
      <c r="C14" s="126" t="s">
        <v>236</v>
      </c>
      <c r="D14" s="125">
        <v>2290</v>
      </c>
      <c r="E14" s="125">
        <v>0</v>
      </c>
      <c r="F14" s="125">
        <f>SUM(D14:E14)</f>
        <v>2290</v>
      </c>
    </row>
    <row r="15" spans="2:7" x14ac:dyDescent="0.25">
      <c r="B15" s="120">
        <v>514</v>
      </c>
      <c r="C15" s="118" t="s">
        <v>239</v>
      </c>
      <c r="D15" s="122">
        <f>SUM(D16)</f>
        <v>1951.9</v>
      </c>
      <c r="E15" s="122">
        <f t="shared" ref="E15:F15" si="0">SUM(E16)</f>
        <v>842.9</v>
      </c>
      <c r="F15" s="122">
        <f t="shared" si="0"/>
        <v>2794.8</v>
      </c>
    </row>
    <row r="16" spans="2:7" x14ac:dyDescent="0.25">
      <c r="B16" s="127">
        <v>51401</v>
      </c>
      <c r="C16" s="126" t="s">
        <v>240</v>
      </c>
      <c r="D16" s="125">
        <v>1951.9</v>
      </c>
      <c r="E16" s="125">
        <v>842.9</v>
      </c>
      <c r="F16" s="125">
        <f>SUM(D16:E16)</f>
        <v>2794.8</v>
      </c>
      <c r="G16" s="30">
        <v>2794.8</v>
      </c>
    </row>
    <row r="17" spans="2:7" x14ac:dyDescent="0.25">
      <c r="B17" s="120">
        <v>515</v>
      </c>
      <c r="C17" s="128" t="s">
        <v>241</v>
      </c>
      <c r="D17" s="122">
        <f>SUM(D18:D18)</f>
        <v>1779.67</v>
      </c>
      <c r="E17" s="122">
        <f>SUM(E18:E18)</f>
        <v>768.53</v>
      </c>
      <c r="F17" s="122">
        <f>SUM(F18:F18)</f>
        <v>2548.1999999999998</v>
      </c>
    </row>
    <row r="18" spans="2:7" x14ac:dyDescent="0.25">
      <c r="B18" s="127">
        <v>51501</v>
      </c>
      <c r="C18" s="126" t="s">
        <v>240</v>
      </c>
      <c r="D18" s="125">
        <v>1779.67</v>
      </c>
      <c r="E18" s="125">
        <v>768.53</v>
      </c>
      <c r="F18" s="125">
        <f>SUM(D18:E18)</f>
        <v>2548.1999999999998</v>
      </c>
      <c r="G18" s="30">
        <v>2548.1999999999998</v>
      </c>
    </row>
    <row r="19" spans="2:7" x14ac:dyDescent="0.25">
      <c r="B19" s="120">
        <v>54</v>
      </c>
      <c r="C19" s="128" t="s">
        <v>286</v>
      </c>
      <c r="D19" s="122">
        <f>SUM(D20+D26+D29)</f>
        <v>6788</v>
      </c>
      <c r="E19" s="122">
        <f>SUM(E20+E26+E29)</f>
        <v>15583.529999999999</v>
      </c>
      <c r="F19" s="122">
        <f>SUM(F20+F26+F29)</f>
        <v>22371.53</v>
      </c>
    </row>
    <row r="20" spans="2:7" x14ac:dyDescent="0.25">
      <c r="B20" s="120">
        <v>541</v>
      </c>
      <c r="C20" s="128" t="s">
        <v>287</v>
      </c>
      <c r="D20" s="122">
        <f>SUM(D21:D25)</f>
        <v>2488</v>
      </c>
      <c r="E20" s="122">
        <f>SUM(E21:E25)</f>
        <v>8000</v>
      </c>
      <c r="F20" s="122">
        <f>SUM(F21:F25)</f>
        <v>10488</v>
      </c>
    </row>
    <row r="21" spans="2:7" x14ac:dyDescent="0.25">
      <c r="B21" s="127">
        <v>54105</v>
      </c>
      <c r="C21" s="126" t="s">
        <v>249</v>
      </c>
      <c r="D21" s="125">
        <v>896.5</v>
      </c>
      <c r="E21" s="125">
        <v>0</v>
      </c>
      <c r="F21" s="125">
        <f t="shared" ref="F21:F25" si="1">SUM(D21:E21)</f>
        <v>896.5</v>
      </c>
    </row>
    <row r="22" spans="2:7" x14ac:dyDescent="0.25">
      <c r="B22" s="127">
        <v>54114</v>
      </c>
      <c r="C22" s="126" t="s">
        <v>253</v>
      </c>
      <c r="D22" s="125">
        <v>291.5</v>
      </c>
      <c r="E22" s="125">
        <v>0</v>
      </c>
      <c r="F22" s="125">
        <f t="shared" si="1"/>
        <v>291.5</v>
      </c>
    </row>
    <row r="23" spans="2:7" x14ac:dyDescent="0.25">
      <c r="B23" s="127">
        <v>54115</v>
      </c>
      <c r="C23" s="126" t="s">
        <v>254</v>
      </c>
      <c r="D23" s="125">
        <v>1100</v>
      </c>
      <c r="E23" s="125">
        <v>0</v>
      </c>
      <c r="F23" s="125">
        <f t="shared" si="1"/>
        <v>1100</v>
      </c>
    </row>
    <row r="24" spans="2:7" x14ac:dyDescent="0.25">
      <c r="B24" s="127">
        <v>54118</v>
      </c>
      <c r="C24" s="126" t="s">
        <v>323</v>
      </c>
      <c r="D24" s="125">
        <v>200</v>
      </c>
      <c r="E24" s="125">
        <v>0</v>
      </c>
      <c r="F24" s="125">
        <f t="shared" si="1"/>
        <v>200</v>
      </c>
    </row>
    <row r="25" spans="2:7" x14ac:dyDescent="0.25">
      <c r="B25" s="127">
        <v>54121</v>
      </c>
      <c r="C25" s="126" t="s">
        <v>324</v>
      </c>
      <c r="D25" s="125">
        <v>0</v>
      </c>
      <c r="E25" s="125">
        <v>8000</v>
      </c>
      <c r="F25" s="125">
        <f t="shared" si="1"/>
        <v>8000</v>
      </c>
    </row>
    <row r="26" spans="2:7" x14ac:dyDescent="0.25">
      <c r="B26" s="120">
        <v>543</v>
      </c>
      <c r="C26" s="128" t="s">
        <v>257</v>
      </c>
      <c r="D26" s="122">
        <f>SUM(D27:D28)</f>
        <v>3500</v>
      </c>
      <c r="E26" s="122">
        <f>SUM(E27:E28)</f>
        <v>7583.53</v>
      </c>
      <c r="F26" s="122">
        <f>SUM(F27:F28)</f>
        <v>11083.529999999999</v>
      </c>
    </row>
    <row r="27" spans="2:7" x14ac:dyDescent="0.25">
      <c r="B27" s="127">
        <v>54301</v>
      </c>
      <c r="C27" s="126" t="s">
        <v>258</v>
      </c>
      <c r="D27" s="140">
        <v>2500</v>
      </c>
      <c r="E27" s="125">
        <v>7583.53</v>
      </c>
      <c r="F27" s="125">
        <f>SUM(D27:E27)</f>
        <v>10083.529999999999</v>
      </c>
    </row>
    <row r="28" spans="2:7" x14ac:dyDescent="0.25">
      <c r="B28" s="127">
        <v>54313</v>
      </c>
      <c r="C28" s="126" t="s">
        <v>261</v>
      </c>
      <c r="D28" s="125">
        <v>1000</v>
      </c>
      <c r="E28" s="125">
        <v>0</v>
      </c>
      <c r="F28" s="125">
        <f>SUM(D28:E28)</f>
        <v>1000</v>
      </c>
    </row>
    <row r="29" spans="2:7" x14ac:dyDescent="0.25">
      <c r="B29" s="117">
        <v>544</v>
      </c>
      <c r="C29" s="118" t="s">
        <v>264</v>
      </c>
      <c r="D29" s="119">
        <f>SUM(D30:D30)</f>
        <v>800</v>
      </c>
      <c r="E29" s="119">
        <f>SUM(E30:E30)</f>
        <v>0</v>
      </c>
      <c r="F29" s="119">
        <f>SUM(F30:F30)</f>
        <v>800</v>
      </c>
    </row>
    <row r="30" spans="2:7" x14ac:dyDescent="0.25">
      <c r="B30" s="127">
        <v>54401</v>
      </c>
      <c r="C30" s="126" t="s">
        <v>265</v>
      </c>
      <c r="D30" s="140">
        <v>800</v>
      </c>
      <c r="E30" s="125">
        <v>0</v>
      </c>
      <c r="F30" s="125">
        <f>SUM(D30:E30)</f>
        <v>800</v>
      </c>
    </row>
    <row r="31" spans="2:7" x14ac:dyDescent="0.25">
      <c r="B31" s="120">
        <v>55</v>
      </c>
      <c r="C31" s="128" t="s">
        <v>132</v>
      </c>
      <c r="D31" s="122">
        <f>SUM(D32)</f>
        <v>900</v>
      </c>
      <c r="E31" s="122">
        <f t="shared" ref="E31:F31" si="2">SUM(E32)</f>
        <v>200</v>
      </c>
      <c r="F31" s="122">
        <f t="shared" si="2"/>
        <v>1100</v>
      </c>
    </row>
    <row r="32" spans="2:7" x14ac:dyDescent="0.25">
      <c r="B32" s="120">
        <v>556</v>
      </c>
      <c r="C32" s="128" t="s">
        <v>271</v>
      </c>
      <c r="D32" s="122">
        <f>SUM(D33:D33)</f>
        <v>900</v>
      </c>
      <c r="E32" s="122">
        <f>SUM(E33:E33)</f>
        <v>200</v>
      </c>
      <c r="F32" s="122">
        <f>SUM(F33:F33)</f>
        <v>1100</v>
      </c>
    </row>
    <row r="33" spans="2:6" x14ac:dyDescent="0.25">
      <c r="B33" s="127">
        <v>55603</v>
      </c>
      <c r="C33" s="126" t="s">
        <v>325</v>
      </c>
      <c r="D33" s="125">
        <v>900</v>
      </c>
      <c r="E33" s="125">
        <v>200</v>
      </c>
      <c r="F33" s="125">
        <f>SUM(D33:E33)</f>
        <v>1100</v>
      </c>
    </row>
    <row r="34" spans="2:6" x14ac:dyDescent="0.25">
      <c r="B34" s="127"/>
      <c r="C34" s="126"/>
      <c r="D34" s="125"/>
      <c r="E34" s="125"/>
      <c r="F34" s="125"/>
    </row>
    <row r="35" spans="2:6" x14ac:dyDescent="0.25">
      <c r="B35" s="127"/>
      <c r="C35" s="128" t="s">
        <v>70</v>
      </c>
      <c r="D35" s="122">
        <f>SUM(D11+D19+D31)</f>
        <v>36673.050000000003</v>
      </c>
      <c r="E35" s="122">
        <f>SUM(E11+E19+E31)</f>
        <v>27311.48</v>
      </c>
      <c r="F35" s="122">
        <f>SUM(D35:E35)</f>
        <v>63984.53</v>
      </c>
    </row>
    <row r="36" spans="2:6" x14ac:dyDescent="0.25">
      <c r="B36" s="127"/>
      <c r="C36" s="126"/>
      <c r="D36" s="125"/>
      <c r="E36" s="125"/>
      <c r="F36" s="125"/>
    </row>
    <row r="37" spans="2:6" x14ac:dyDescent="0.25">
      <c r="B37" s="120"/>
      <c r="C37" s="128" t="s">
        <v>61</v>
      </c>
      <c r="D37" s="122">
        <f>SUM(D11+D19+D31)</f>
        <v>36673.050000000003</v>
      </c>
      <c r="E37" s="122">
        <f>SUM(E11+E19+E31)</f>
        <v>27311.48</v>
      </c>
      <c r="F37" s="122">
        <f>SUM(F11+F19+F31)</f>
        <v>63984.53</v>
      </c>
    </row>
    <row r="38" spans="2:6" x14ac:dyDescent="0.25">
      <c r="B38" s="120"/>
      <c r="C38" s="128" t="s">
        <v>62</v>
      </c>
      <c r="D38" s="122">
        <f>SUM(D12+D15+D17+D20+D26+D29+D32)</f>
        <v>36673.050000000003</v>
      </c>
      <c r="E38" s="122">
        <f>SUM(E12+E15+E17+E20+E26+E29+E32)</f>
        <v>27311.48</v>
      </c>
      <c r="F38" s="122">
        <f>SUM(F12+F15+F17+F20+F26+F29+F32)</f>
        <v>63984.53</v>
      </c>
    </row>
    <row r="39" spans="2:6" x14ac:dyDescent="0.25">
      <c r="B39" s="120"/>
      <c r="C39" s="128" t="s">
        <v>63</v>
      </c>
      <c r="D39" s="122">
        <f>SUM(D13+D14+D16+D18+D21+D22+D23+D24+D25+D28+D30+D33)</f>
        <v>34173.050000000003</v>
      </c>
      <c r="E39" s="122">
        <f>SUM(E13+E14+E16+E18+E21+E22+E23+E24+E25+E28+E30+E33)</f>
        <v>19727.95</v>
      </c>
      <c r="F39" s="122">
        <f>SUM(F13+F14+F16+F18+F21+F22+F23+F24+F25+F28+F30+F33)</f>
        <v>53901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F34"/>
  <sheetViews>
    <sheetView workbookViewId="0">
      <pane ySplit="10" topLeftCell="A11" activePane="bottomLeft" state="frozen"/>
      <selection pane="bottomLeft" activeCell="D17" sqref="D17"/>
    </sheetView>
  </sheetViews>
  <sheetFormatPr baseColWidth="10" defaultRowHeight="15" x14ac:dyDescent="0.25"/>
  <cols>
    <col min="1" max="1" width="2.42578125" style="30" customWidth="1"/>
    <col min="2" max="2" width="8.140625" style="30" customWidth="1"/>
    <col min="3" max="3" width="42.7109375" style="30" customWidth="1"/>
    <col min="4" max="4" width="13.7109375" style="30" customWidth="1"/>
    <col min="5" max="5" width="16.28515625" style="30" customWidth="1"/>
    <col min="6" max="16384" width="11.42578125" style="30"/>
  </cols>
  <sheetData>
    <row r="2" spans="2:6" ht="15.75" x14ac:dyDescent="0.25">
      <c r="B2" s="428" t="s">
        <v>407</v>
      </c>
      <c r="C2" s="428"/>
      <c r="D2" s="428"/>
      <c r="E2" s="428"/>
      <c r="F2" s="428"/>
    </row>
    <row r="3" spans="2:6" ht="15.75" x14ac:dyDescent="0.25">
      <c r="B3" s="428" t="s">
        <v>223</v>
      </c>
      <c r="C3" s="428"/>
      <c r="D3" s="428"/>
      <c r="E3" s="428"/>
      <c r="F3" s="428"/>
    </row>
    <row r="4" spans="2:6" ht="15.75" x14ac:dyDescent="0.25">
      <c r="B4" s="453" t="s">
        <v>224</v>
      </c>
      <c r="C4" s="453"/>
      <c r="D4" s="453"/>
      <c r="E4" s="453"/>
      <c r="F4" s="453"/>
    </row>
    <row r="5" spans="2:6" ht="15.75" x14ac:dyDescent="0.25">
      <c r="B5" s="453" t="s">
        <v>321</v>
      </c>
      <c r="C5" s="453"/>
      <c r="D5" s="453"/>
      <c r="E5" s="453"/>
      <c r="F5" s="453"/>
    </row>
    <row r="6" spans="2:6" ht="15.75" x14ac:dyDescent="0.25">
      <c r="B6" s="453" t="s">
        <v>226</v>
      </c>
      <c r="C6" s="453"/>
      <c r="D6" s="453"/>
      <c r="E6" s="453"/>
      <c r="F6" s="453"/>
    </row>
    <row r="7" spans="2:6" ht="15.75" x14ac:dyDescent="0.25">
      <c r="B7" s="428" t="s">
        <v>327</v>
      </c>
      <c r="C7" s="428"/>
      <c r="D7" s="428"/>
      <c r="E7" s="428"/>
      <c r="F7" s="428"/>
    </row>
    <row r="8" spans="2:6" x14ac:dyDescent="0.25">
      <c r="B8" s="39"/>
      <c r="C8" s="39"/>
      <c r="D8" s="39"/>
      <c r="E8" s="40"/>
      <c r="F8" s="39"/>
    </row>
    <row r="9" spans="2:6" x14ac:dyDescent="0.25">
      <c r="B9" s="452" t="s">
        <v>228</v>
      </c>
      <c r="C9" s="452" t="s">
        <v>229</v>
      </c>
      <c r="D9" s="116" t="s">
        <v>230</v>
      </c>
      <c r="E9" s="116" t="s">
        <v>231</v>
      </c>
      <c r="F9" s="452" t="s">
        <v>0</v>
      </c>
    </row>
    <row r="10" spans="2:6" ht="25.5" x14ac:dyDescent="0.25">
      <c r="B10" s="452"/>
      <c r="C10" s="452"/>
      <c r="D10" s="116" t="s">
        <v>232</v>
      </c>
      <c r="E10" s="356" t="s">
        <v>233</v>
      </c>
      <c r="F10" s="452"/>
    </row>
    <row r="11" spans="2:6" x14ac:dyDescent="0.25">
      <c r="B11" s="117">
        <v>51</v>
      </c>
      <c r="C11" s="118" t="s">
        <v>130</v>
      </c>
      <c r="D11" s="119">
        <f>SUM(D12+D15+D17)</f>
        <v>11448.23</v>
      </c>
      <c r="E11" s="119">
        <f>SUM(E12+E15+E17)</f>
        <v>10253.269999999999</v>
      </c>
      <c r="F11" s="119">
        <f>SUM(F12+F15+F17)</f>
        <v>21701.5</v>
      </c>
    </row>
    <row r="12" spans="2:6" x14ac:dyDescent="0.25">
      <c r="B12" s="120">
        <v>511</v>
      </c>
      <c r="C12" s="121" t="s">
        <v>234</v>
      </c>
      <c r="D12" s="122">
        <f>SUM(D13:D14)</f>
        <v>10015</v>
      </c>
      <c r="E12" s="122">
        <f>SUM(E13:E14)</f>
        <v>8820</v>
      </c>
      <c r="F12" s="122">
        <f>SUM(F13:F14)</f>
        <v>18835</v>
      </c>
    </row>
    <row r="13" spans="2:6" x14ac:dyDescent="0.25">
      <c r="B13" s="123">
        <v>51101</v>
      </c>
      <c r="C13" s="124" t="s">
        <v>235</v>
      </c>
      <c r="D13" s="125">
        <v>8820</v>
      </c>
      <c r="E13" s="125">
        <v>8820</v>
      </c>
      <c r="F13" s="125">
        <f>SUM(D13:E13)</f>
        <v>17640</v>
      </c>
    </row>
    <row r="14" spans="2:6" x14ac:dyDescent="0.25">
      <c r="B14" s="123">
        <v>51103</v>
      </c>
      <c r="C14" s="126" t="s">
        <v>236</v>
      </c>
      <c r="D14" s="125">
        <v>1195</v>
      </c>
      <c r="E14" s="125">
        <v>0</v>
      </c>
      <c r="F14" s="125">
        <f>SUM(D14:E14)</f>
        <v>1195</v>
      </c>
    </row>
    <row r="15" spans="2:6" x14ac:dyDescent="0.25">
      <c r="B15" s="120">
        <v>514</v>
      </c>
      <c r="C15" s="118" t="s">
        <v>239</v>
      </c>
      <c r="D15" s="122">
        <f>SUM(D16)</f>
        <v>749.69</v>
      </c>
      <c r="E15" s="122">
        <f>SUM(E16)</f>
        <v>749.71</v>
      </c>
      <c r="F15" s="122">
        <f>SUM(F16)</f>
        <v>1499.4</v>
      </c>
    </row>
    <row r="16" spans="2:6" x14ac:dyDescent="0.25">
      <c r="B16" s="127">
        <v>51401</v>
      </c>
      <c r="C16" s="126" t="s">
        <v>240</v>
      </c>
      <c r="D16" s="125">
        <v>749.69</v>
      </c>
      <c r="E16" s="125">
        <v>749.71</v>
      </c>
      <c r="F16" s="125">
        <f>SUM(D16:E16)</f>
        <v>1499.4</v>
      </c>
    </row>
    <row r="17" spans="2:6" x14ac:dyDescent="0.25">
      <c r="B17" s="120">
        <v>515</v>
      </c>
      <c r="C17" s="128" t="s">
        <v>241</v>
      </c>
      <c r="D17" s="122">
        <f>SUM(D18:D18)</f>
        <v>683.54</v>
      </c>
      <c r="E17" s="122">
        <f>SUM(E18:E18)</f>
        <v>683.56</v>
      </c>
      <c r="F17" s="122">
        <f>SUM(F18:F18)</f>
        <v>1367.1</v>
      </c>
    </row>
    <row r="18" spans="2:6" x14ac:dyDescent="0.25">
      <c r="B18" s="127">
        <v>51501</v>
      </c>
      <c r="C18" s="126" t="s">
        <v>240</v>
      </c>
      <c r="D18" s="125">
        <v>683.54</v>
      </c>
      <c r="E18" s="125">
        <v>683.56</v>
      </c>
      <c r="F18" s="125">
        <f>SUM(D18:E18)</f>
        <v>1367.1</v>
      </c>
    </row>
    <row r="19" spans="2:6" x14ac:dyDescent="0.25">
      <c r="B19" s="120">
        <v>54</v>
      </c>
      <c r="C19" s="128" t="s">
        <v>286</v>
      </c>
      <c r="D19" s="122">
        <f>SUM(D20+D24)</f>
        <v>1073.25</v>
      </c>
      <c r="E19" s="122">
        <f>SUM(E20+E24)</f>
        <v>0</v>
      </c>
      <c r="F19" s="122">
        <f>SUM(F20+F24)</f>
        <v>1073.25</v>
      </c>
    </row>
    <row r="20" spans="2:6" x14ac:dyDescent="0.25">
      <c r="B20" s="120">
        <v>541</v>
      </c>
      <c r="C20" s="128" t="s">
        <v>328</v>
      </c>
      <c r="D20" s="122">
        <f>SUM(D21:D23)</f>
        <v>1052.25</v>
      </c>
      <c r="E20" s="122">
        <f>SUM(E21:E23)</f>
        <v>0</v>
      </c>
      <c r="F20" s="122">
        <f>SUM(F21:F23)</f>
        <v>1052.25</v>
      </c>
    </row>
    <row r="21" spans="2:6" x14ac:dyDescent="0.25">
      <c r="B21" s="127">
        <v>54105</v>
      </c>
      <c r="C21" s="126" t="s">
        <v>249</v>
      </c>
      <c r="D21" s="125">
        <v>205.8</v>
      </c>
      <c r="E21" s="125"/>
      <c r="F21" s="125">
        <f>D21+E21</f>
        <v>205.8</v>
      </c>
    </row>
    <row r="22" spans="2:6" x14ac:dyDescent="0.25">
      <c r="B22" s="127">
        <v>54114</v>
      </c>
      <c r="C22" s="126" t="s">
        <v>253</v>
      </c>
      <c r="D22" s="125">
        <v>460.45</v>
      </c>
      <c r="E22" s="125"/>
      <c r="F22" s="125">
        <f>SUM(D22:E22)</f>
        <v>460.45</v>
      </c>
    </row>
    <row r="23" spans="2:6" x14ac:dyDescent="0.25">
      <c r="B23" s="127">
        <v>54115</v>
      </c>
      <c r="C23" s="126" t="s">
        <v>254</v>
      </c>
      <c r="D23" s="125">
        <v>386</v>
      </c>
      <c r="E23" s="125"/>
      <c r="F23" s="125">
        <f>SUM(D23:E23)</f>
        <v>386</v>
      </c>
    </row>
    <row r="24" spans="2:6" x14ac:dyDescent="0.25">
      <c r="B24" s="117">
        <v>544</v>
      </c>
      <c r="C24" s="118" t="s">
        <v>264</v>
      </c>
      <c r="D24" s="119">
        <f>SUM(D25:D25)</f>
        <v>21</v>
      </c>
      <c r="E24" s="119">
        <f>SUM(E25:E25)</f>
        <v>0</v>
      </c>
      <c r="F24" s="119">
        <f>SUM(F25:F25)</f>
        <v>21</v>
      </c>
    </row>
    <row r="25" spans="2:6" x14ac:dyDescent="0.25">
      <c r="B25" s="127">
        <v>54401</v>
      </c>
      <c r="C25" s="126" t="s">
        <v>265</v>
      </c>
      <c r="D25" s="125">
        <v>21</v>
      </c>
      <c r="E25" s="125"/>
      <c r="F25" s="125">
        <f>SUM(D25:E25)</f>
        <v>21</v>
      </c>
    </row>
    <row r="26" spans="2:6" x14ac:dyDescent="0.25">
      <c r="B26" s="96">
        <v>61</v>
      </c>
      <c r="C26" s="108" t="s">
        <v>280</v>
      </c>
      <c r="D26" s="109">
        <f>SUM(D27)</f>
        <v>150</v>
      </c>
      <c r="E26" s="109">
        <f t="shared" ref="E26:F26" si="0">SUM(E27)</f>
        <v>0</v>
      </c>
      <c r="F26" s="109">
        <f t="shared" si="0"/>
        <v>150</v>
      </c>
    </row>
    <row r="27" spans="2:6" x14ac:dyDescent="0.25">
      <c r="B27" s="96">
        <v>611</v>
      </c>
      <c r="C27" s="108" t="s">
        <v>330</v>
      </c>
      <c r="D27" s="109">
        <f>SUM(D28:D28)</f>
        <v>150</v>
      </c>
      <c r="E27" s="109">
        <f>SUM(E28:E28)</f>
        <v>0</v>
      </c>
      <c r="F27" s="109">
        <f>SUM(F28:F28)</f>
        <v>150</v>
      </c>
    </row>
    <row r="28" spans="2:6" x14ac:dyDescent="0.25">
      <c r="B28" s="110">
        <v>61104</v>
      </c>
      <c r="C28" s="111" t="s">
        <v>331</v>
      </c>
      <c r="D28" s="112">
        <v>150</v>
      </c>
      <c r="E28" s="112"/>
      <c r="F28" s="112">
        <f>SUM(D28:E28)</f>
        <v>150</v>
      </c>
    </row>
    <row r="29" spans="2:6" x14ac:dyDescent="0.25">
      <c r="B29" s="127"/>
      <c r="C29" s="126"/>
      <c r="D29" s="125"/>
      <c r="E29" s="125"/>
      <c r="F29" s="125"/>
    </row>
    <row r="30" spans="2:6" x14ac:dyDescent="0.25">
      <c r="B30" s="127"/>
      <c r="C30" s="128" t="s">
        <v>70</v>
      </c>
      <c r="D30" s="122">
        <f>SUM(D11+D19+D26)</f>
        <v>12671.48</v>
      </c>
      <c r="E30" s="122">
        <f>SUM(E11+E19)</f>
        <v>10253.269999999999</v>
      </c>
      <c r="F30" s="122">
        <f>SUM(D30:E30)</f>
        <v>22924.75</v>
      </c>
    </row>
    <row r="31" spans="2:6" x14ac:dyDescent="0.25">
      <c r="B31" s="127"/>
      <c r="C31" s="126"/>
      <c r="D31" s="125"/>
      <c r="E31" s="125"/>
      <c r="F31" s="125"/>
    </row>
    <row r="32" spans="2:6" x14ac:dyDescent="0.25">
      <c r="B32" s="120"/>
      <c r="C32" s="128" t="s">
        <v>61</v>
      </c>
      <c r="D32" s="122">
        <f>SUM(D11+D19+D26)</f>
        <v>12671.48</v>
      </c>
      <c r="E32" s="122">
        <f>SUM(E11+E19)</f>
        <v>10253.269999999999</v>
      </c>
      <c r="F32" s="122">
        <f>SUM(F11+F19+F26)</f>
        <v>22924.75</v>
      </c>
    </row>
    <row r="33" spans="2:6" x14ac:dyDescent="0.25">
      <c r="B33" s="120"/>
      <c r="C33" s="128" t="s">
        <v>62</v>
      </c>
      <c r="D33" s="122">
        <f>SUM(D12+D15+D17+D20+D24+D27)</f>
        <v>12671.48</v>
      </c>
      <c r="E33" s="122">
        <f>SUM(E12+E15+E17+E20+E24)</f>
        <v>10253.269999999999</v>
      </c>
      <c r="F33" s="122">
        <f>SUM(F12+F15+F17+F20+F24+F27)</f>
        <v>22924.75</v>
      </c>
    </row>
    <row r="34" spans="2:6" x14ac:dyDescent="0.25">
      <c r="B34" s="120"/>
      <c r="C34" s="128" t="s">
        <v>63</v>
      </c>
      <c r="D34" s="122">
        <f>SUM(D13+D14+D16+D18+D21+D22+D23+D25+D28)</f>
        <v>12671.48</v>
      </c>
      <c r="E34" s="122">
        <f>SUM(E13+E14+E16+E18+E21+E22+E23+TESORERIA!E27+E25)</f>
        <v>17836.8</v>
      </c>
      <c r="F34" s="122">
        <f>SUM(F13+F14+F16+F18+F21+F22+F23+F25+F28)</f>
        <v>22924.75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F41"/>
  <sheetViews>
    <sheetView workbookViewId="0">
      <pane ySplit="10" topLeftCell="A11" activePane="bottomLeft" state="frozen"/>
      <selection pane="bottomLeft" activeCell="D18" sqref="D18"/>
    </sheetView>
  </sheetViews>
  <sheetFormatPr baseColWidth="10" defaultRowHeight="15" x14ac:dyDescent="0.25"/>
  <cols>
    <col min="1" max="1" width="2.85546875" style="30" customWidth="1"/>
    <col min="2" max="2" width="8.140625" style="30" customWidth="1"/>
    <col min="3" max="3" width="42.85546875" style="30" customWidth="1"/>
    <col min="4" max="4" width="13.28515625" style="30" customWidth="1"/>
    <col min="5" max="5" width="16" style="30" customWidth="1"/>
    <col min="6" max="16384" width="11.42578125" style="30"/>
  </cols>
  <sheetData>
    <row r="2" spans="2:6" ht="15.75" x14ac:dyDescent="0.25">
      <c r="B2" s="429" t="s">
        <v>407</v>
      </c>
      <c r="C2" s="429"/>
      <c r="D2" s="429"/>
      <c r="E2" s="429"/>
      <c r="F2" s="429"/>
    </row>
    <row r="3" spans="2:6" ht="15.75" x14ac:dyDescent="0.25">
      <c r="B3" s="429" t="s">
        <v>223</v>
      </c>
      <c r="C3" s="429"/>
      <c r="D3" s="429"/>
      <c r="E3" s="429"/>
      <c r="F3" s="429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321</v>
      </c>
      <c r="C5" s="427"/>
      <c r="D5" s="427"/>
      <c r="E5" s="427"/>
      <c r="F5" s="427"/>
    </row>
    <row r="6" spans="2:6" ht="15.75" x14ac:dyDescent="0.25">
      <c r="B6" s="427" t="s">
        <v>226</v>
      </c>
      <c r="C6" s="427"/>
      <c r="D6" s="427"/>
      <c r="E6" s="427"/>
      <c r="F6" s="427"/>
    </row>
    <row r="7" spans="2:6" ht="15.75" x14ac:dyDescent="0.25">
      <c r="B7" s="429" t="s">
        <v>150</v>
      </c>
      <c r="C7" s="429"/>
      <c r="D7" s="429"/>
      <c r="E7" s="429"/>
      <c r="F7" s="429"/>
    </row>
    <row r="8" spans="2:6" x14ac:dyDescent="0.25">
      <c r="B8" s="31"/>
      <c r="C8" s="31"/>
      <c r="D8" s="31"/>
      <c r="E8" s="32"/>
      <c r="F8" s="31"/>
    </row>
    <row r="9" spans="2:6" x14ac:dyDescent="0.25">
      <c r="B9" s="425" t="s">
        <v>228</v>
      </c>
      <c r="C9" s="425" t="s">
        <v>229</v>
      </c>
      <c r="D9" s="97" t="s">
        <v>230</v>
      </c>
      <c r="E9" s="97" t="s">
        <v>231</v>
      </c>
      <c r="F9" s="425" t="s">
        <v>0</v>
      </c>
    </row>
    <row r="10" spans="2:6" ht="25.5" x14ac:dyDescent="0.25">
      <c r="B10" s="425"/>
      <c r="C10" s="425"/>
      <c r="D10" s="97" t="s">
        <v>232</v>
      </c>
      <c r="E10" s="354" t="s">
        <v>233</v>
      </c>
      <c r="F10" s="425"/>
    </row>
    <row r="11" spans="2:6" x14ac:dyDescent="0.25">
      <c r="B11" s="76">
        <v>51</v>
      </c>
      <c r="C11" s="105" t="s">
        <v>130</v>
      </c>
      <c r="D11" s="99">
        <f>SUM(D12+D15+D17)</f>
        <v>45608</v>
      </c>
      <c r="E11" s="99">
        <f t="shared" ref="E11:F11" si="0">SUM(E12+E15+E17)</f>
        <v>12973.5</v>
      </c>
      <c r="F11" s="99">
        <f t="shared" si="0"/>
        <v>58581.5</v>
      </c>
    </row>
    <row r="12" spans="2:6" x14ac:dyDescent="0.25">
      <c r="B12" s="81">
        <v>511</v>
      </c>
      <c r="C12" s="113" t="s">
        <v>234</v>
      </c>
      <c r="D12" s="101">
        <f>SUM(D13:D14)</f>
        <v>39680</v>
      </c>
      <c r="E12" s="101">
        <f>SUM(E13:E14)</f>
        <v>11160</v>
      </c>
      <c r="F12" s="101">
        <f>SUM(F13:F14)</f>
        <v>50840</v>
      </c>
    </row>
    <row r="13" spans="2:6" x14ac:dyDescent="0.25">
      <c r="B13" s="84">
        <v>51101</v>
      </c>
      <c r="C13" s="102" t="s">
        <v>235</v>
      </c>
      <c r="D13" s="103">
        <v>36480</v>
      </c>
      <c r="E13" s="103">
        <v>11160</v>
      </c>
      <c r="F13" s="103">
        <f>SUM(D13:E13)</f>
        <v>47640</v>
      </c>
    </row>
    <row r="14" spans="2:6" x14ac:dyDescent="0.25">
      <c r="B14" s="84">
        <v>51103</v>
      </c>
      <c r="C14" s="104" t="s">
        <v>236</v>
      </c>
      <c r="D14" s="103">
        <v>3200</v>
      </c>
      <c r="E14" s="103">
        <v>0</v>
      </c>
      <c r="F14" s="103">
        <f>SUM(D14:E14)</f>
        <v>3200</v>
      </c>
    </row>
    <row r="15" spans="2:6" x14ac:dyDescent="0.25">
      <c r="B15" s="81">
        <v>514</v>
      </c>
      <c r="C15" s="105" t="s">
        <v>239</v>
      </c>
      <c r="D15" s="101">
        <f>SUM(D16)</f>
        <v>3100.8</v>
      </c>
      <c r="E15" s="101">
        <f t="shared" ref="E15:F15" si="1">SUM(E16)</f>
        <v>948.6</v>
      </c>
      <c r="F15" s="101">
        <f t="shared" si="1"/>
        <v>4049.4</v>
      </c>
    </row>
    <row r="16" spans="2:6" x14ac:dyDescent="0.25">
      <c r="B16" s="90">
        <v>51401</v>
      </c>
      <c r="C16" s="104" t="s">
        <v>240</v>
      </c>
      <c r="D16" s="103">
        <v>3100.8</v>
      </c>
      <c r="E16" s="103">
        <v>948.6</v>
      </c>
      <c r="F16" s="103">
        <f>SUM(D16:E16)</f>
        <v>4049.4</v>
      </c>
    </row>
    <row r="17" spans="2:6" x14ac:dyDescent="0.25">
      <c r="B17" s="81">
        <v>515</v>
      </c>
      <c r="C17" s="106" t="s">
        <v>241</v>
      </c>
      <c r="D17" s="101">
        <f>SUM(D18:D18)</f>
        <v>2827.2</v>
      </c>
      <c r="E17" s="101">
        <f>SUM(E18:E18)</f>
        <v>864.9</v>
      </c>
      <c r="F17" s="101">
        <f>SUM(F18:F18)</f>
        <v>3692.1</v>
      </c>
    </row>
    <row r="18" spans="2:6" x14ac:dyDescent="0.25">
      <c r="B18" s="90">
        <v>51501</v>
      </c>
      <c r="C18" s="104" t="s">
        <v>240</v>
      </c>
      <c r="D18" s="103">
        <v>2827.2</v>
      </c>
      <c r="E18" s="103">
        <v>864.9</v>
      </c>
      <c r="F18" s="103">
        <f>SUM(D18:E18)</f>
        <v>3692.1</v>
      </c>
    </row>
    <row r="19" spans="2:6" x14ac:dyDescent="0.25">
      <c r="B19" s="81">
        <v>54</v>
      </c>
      <c r="C19" s="106" t="s">
        <v>286</v>
      </c>
      <c r="D19" s="101">
        <f>SUM(D20+D25+D28)</f>
        <v>7900</v>
      </c>
      <c r="E19" s="101">
        <f>SUM(E20+E25+E28)</f>
        <v>0</v>
      </c>
      <c r="F19" s="101">
        <f>SUM(F20+F25+F28)</f>
        <v>7900</v>
      </c>
    </row>
    <row r="20" spans="2:6" x14ac:dyDescent="0.25">
      <c r="B20" s="81">
        <v>541</v>
      </c>
      <c r="C20" s="106" t="s">
        <v>287</v>
      </c>
      <c r="D20" s="101">
        <f>SUM(D21:D24)</f>
        <v>4500</v>
      </c>
      <c r="E20" s="101">
        <f>SUM(E21:E24)</f>
        <v>0</v>
      </c>
      <c r="F20" s="101">
        <f>SUM(F21:F24)</f>
        <v>4500</v>
      </c>
    </row>
    <row r="21" spans="2:6" x14ac:dyDescent="0.25">
      <c r="B21" s="90">
        <v>54105</v>
      </c>
      <c r="C21" s="104" t="s">
        <v>249</v>
      </c>
      <c r="D21" s="103">
        <v>1200</v>
      </c>
      <c r="E21" s="103">
        <v>0</v>
      </c>
      <c r="F21" s="103">
        <f t="shared" ref="F21:F24" si="2">SUM(D21:E21)</f>
        <v>1200</v>
      </c>
    </row>
    <row r="22" spans="2:6" x14ac:dyDescent="0.25">
      <c r="B22" s="90">
        <v>54114</v>
      </c>
      <c r="C22" s="104" t="s">
        <v>253</v>
      </c>
      <c r="D22" s="103">
        <v>1000</v>
      </c>
      <c r="E22" s="103">
        <v>0</v>
      </c>
      <c r="F22" s="103">
        <f t="shared" si="2"/>
        <v>1000</v>
      </c>
    </row>
    <row r="23" spans="2:6" x14ac:dyDescent="0.25">
      <c r="B23" s="90">
        <v>54115</v>
      </c>
      <c r="C23" s="104" t="s">
        <v>254</v>
      </c>
      <c r="D23" s="103">
        <v>1500</v>
      </c>
      <c r="E23" s="103">
        <v>0</v>
      </c>
      <c r="F23" s="103">
        <f t="shared" si="2"/>
        <v>1500</v>
      </c>
    </row>
    <row r="24" spans="2:6" x14ac:dyDescent="0.25">
      <c r="B24" s="90">
        <v>54118</v>
      </c>
      <c r="C24" s="104" t="s">
        <v>379</v>
      </c>
      <c r="D24" s="141">
        <v>800</v>
      </c>
      <c r="E24" s="141">
        <v>0</v>
      </c>
      <c r="F24" s="142">
        <f t="shared" si="2"/>
        <v>800</v>
      </c>
    </row>
    <row r="25" spans="2:6" x14ac:dyDescent="0.25">
      <c r="B25" s="81">
        <v>543</v>
      </c>
      <c r="C25" s="106" t="s">
        <v>257</v>
      </c>
      <c r="D25" s="101">
        <f>SUM(D26:D27)</f>
        <v>2800</v>
      </c>
      <c r="E25" s="101">
        <f>SUM(E26:E27)</f>
        <v>0</v>
      </c>
      <c r="F25" s="101">
        <f>SUM(F26:F27)</f>
        <v>2800</v>
      </c>
    </row>
    <row r="26" spans="2:6" x14ac:dyDescent="0.25">
      <c r="B26" s="90">
        <v>54301</v>
      </c>
      <c r="C26" s="104" t="s">
        <v>329</v>
      </c>
      <c r="D26" s="112">
        <v>800</v>
      </c>
      <c r="E26" s="103">
        <v>0</v>
      </c>
      <c r="F26" s="103">
        <f>SUM(D26:E26)</f>
        <v>800</v>
      </c>
    </row>
    <row r="27" spans="2:6" x14ac:dyDescent="0.25">
      <c r="B27" s="90">
        <v>54313</v>
      </c>
      <c r="C27" s="104" t="s">
        <v>261</v>
      </c>
      <c r="D27" s="112">
        <v>2000</v>
      </c>
      <c r="E27" s="103">
        <v>0</v>
      </c>
      <c r="F27" s="103">
        <f>SUM(D27:E27)</f>
        <v>2000</v>
      </c>
    </row>
    <row r="28" spans="2:6" x14ac:dyDescent="0.25">
      <c r="B28" s="76">
        <v>544</v>
      </c>
      <c r="C28" s="105" t="s">
        <v>264</v>
      </c>
      <c r="D28" s="99">
        <f>SUM(D29:D29)</f>
        <v>600</v>
      </c>
      <c r="E28" s="99">
        <f t="shared" ref="E28" si="3">SUM(E29:E29)</f>
        <v>0</v>
      </c>
      <c r="F28" s="99">
        <f>SUM(F29:F29)</f>
        <v>600</v>
      </c>
    </row>
    <row r="29" spans="2:6" x14ac:dyDescent="0.25">
      <c r="B29" s="90">
        <v>54401</v>
      </c>
      <c r="C29" s="104" t="s">
        <v>265</v>
      </c>
      <c r="D29" s="103">
        <v>600</v>
      </c>
      <c r="E29" s="103">
        <v>0</v>
      </c>
      <c r="F29" s="103">
        <f>SUM(D29:E29)</f>
        <v>600</v>
      </c>
    </row>
    <row r="30" spans="2:6" x14ac:dyDescent="0.25">
      <c r="B30" s="81">
        <v>55</v>
      </c>
      <c r="C30" s="106" t="s">
        <v>132</v>
      </c>
      <c r="D30" s="101">
        <f>SUM(D31:D31)</f>
        <v>14000</v>
      </c>
      <c r="E30" s="101">
        <f>SUM(E31:E31)</f>
        <v>0</v>
      </c>
      <c r="F30" s="101">
        <f>SUM(F31)</f>
        <v>14000</v>
      </c>
    </row>
    <row r="31" spans="2:6" x14ac:dyDescent="0.25">
      <c r="B31" s="81">
        <v>557</v>
      </c>
      <c r="C31" s="106" t="s">
        <v>400</v>
      </c>
      <c r="D31" s="101">
        <f>SUM(D32:D32)</f>
        <v>14000</v>
      </c>
      <c r="E31" s="101">
        <f>SUM(E32:E32)</f>
        <v>0</v>
      </c>
      <c r="F31" s="101">
        <f>SUM(F32:F32)</f>
        <v>14000</v>
      </c>
    </row>
    <row r="32" spans="2:6" x14ac:dyDescent="0.25">
      <c r="B32" s="90">
        <v>55704</v>
      </c>
      <c r="C32" s="104" t="s">
        <v>399</v>
      </c>
      <c r="D32" s="112">
        <v>14000</v>
      </c>
      <c r="E32" s="112">
        <v>0</v>
      </c>
      <c r="F32" s="103">
        <f>D32+E32</f>
        <v>14000</v>
      </c>
    </row>
    <row r="33" spans="2:6" x14ac:dyDescent="0.25">
      <c r="B33" s="81">
        <v>61</v>
      </c>
      <c r="C33" s="106" t="s">
        <v>280</v>
      </c>
      <c r="D33" s="109">
        <f>SUM(D34)</f>
        <v>1100</v>
      </c>
      <c r="E33" s="109">
        <f t="shared" ref="E33:F33" si="4">SUM(E34)</f>
        <v>0</v>
      </c>
      <c r="F33" s="101">
        <f t="shared" si="4"/>
        <v>1100</v>
      </c>
    </row>
    <row r="34" spans="2:6" x14ac:dyDescent="0.25">
      <c r="B34" s="81">
        <v>611</v>
      </c>
      <c r="C34" s="106" t="s">
        <v>330</v>
      </c>
      <c r="D34" s="109">
        <f>SUM(D35:D35)</f>
        <v>1100</v>
      </c>
      <c r="E34" s="109">
        <f>SUM(E35:E35)</f>
        <v>0</v>
      </c>
      <c r="F34" s="101">
        <f>SUM(F35:F36)</f>
        <v>1100</v>
      </c>
    </row>
    <row r="35" spans="2:6" x14ac:dyDescent="0.25">
      <c r="B35" s="90">
        <v>61104</v>
      </c>
      <c r="C35" s="104" t="s">
        <v>331</v>
      </c>
      <c r="D35" s="112">
        <v>1100</v>
      </c>
      <c r="E35" s="112">
        <v>0</v>
      </c>
      <c r="F35" s="103">
        <f>SUM(D35:E35)</f>
        <v>1100</v>
      </c>
    </row>
    <row r="36" spans="2:6" x14ac:dyDescent="0.25">
      <c r="B36" s="90"/>
      <c r="C36" s="104"/>
      <c r="D36" s="112"/>
      <c r="E36" s="112"/>
      <c r="F36" s="103"/>
    </row>
    <row r="37" spans="2:6" x14ac:dyDescent="0.25">
      <c r="B37" s="90"/>
      <c r="C37" s="106" t="s">
        <v>70</v>
      </c>
      <c r="D37" s="101">
        <f>SUM(D11+D19+D30+D33)</f>
        <v>68608</v>
      </c>
      <c r="E37" s="101">
        <f>SUM(E11+E19+E30+E33)</f>
        <v>12973.5</v>
      </c>
      <c r="F37" s="101">
        <f>SUM(D37:E37)</f>
        <v>81581.5</v>
      </c>
    </row>
    <row r="38" spans="2:6" x14ac:dyDescent="0.25">
      <c r="B38" s="90"/>
      <c r="C38" s="104"/>
      <c r="D38" s="103"/>
      <c r="E38" s="103"/>
      <c r="F38" s="103"/>
    </row>
    <row r="39" spans="2:6" x14ac:dyDescent="0.25">
      <c r="B39" s="81"/>
      <c r="C39" s="106" t="s">
        <v>61</v>
      </c>
      <c r="D39" s="101">
        <f>SUM(D11+D19+D30+D33)</f>
        <v>68608</v>
      </c>
      <c r="E39" s="101">
        <f>SUM(E11+E19+E33)</f>
        <v>12973.5</v>
      </c>
      <c r="F39" s="101">
        <f>SUM(F11+F19+F30+F33)</f>
        <v>81581.5</v>
      </c>
    </row>
    <row r="40" spans="2:6" x14ac:dyDescent="0.25">
      <c r="B40" s="81"/>
      <c r="C40" s="106" t="s">
        <v>62</v>
      </c>
      <c r="D40" s="101">
        <f>SUM(D12+D15+D17+D20+D25+D28+D31+D34)</f>
        <v>68608</v>
      </c>
      <c r="E40" s="101">
        <f>SUM(E12+E15+E17+E20+E25+E28+E34)</f>
        <v>12973.5</v>
      </c>
      <c r="F40" s="101">
        <f>SUM(F12+F15+F17+F20+F25+F28+F31+F34)</f>
        <v>81581.5</v>
      </c>
    </row>
    <row r="41" spans="2:6" x14ac:dyDescent="0.25">
      <c r="B41" s="81"/>
      <c r="C41" s="106" t="s">
        <v>63</v>
      </c>
      <c r="D41" s="101">
        <f>SUM(D13+D14+D16+D18+D21+D22+D23+D24+D26+D27+D29+D32+D35)</f>
        <v>68608</v>
      </c>
      <c r="E41" s="101">
        <f>SUM(E13+E14+E16+E18+E21+E22+E23+E24+E26+E27+E29+E35)</f>
        <v>12973.5</v>
      </c>
      <c r="F41" s="101">
        <f>SUM(F13+F14+F16+F18+F21+F22+F23+F24+F26+F27+F29+F32+F35)</f>
        <v>81581.5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F35"/>
  <sheetViews>
    <sheetView workbookViewId="0">
      <pane ySplit="10" topLeftCell="A11" activePane="bottomLeft" state="frozen"/>
      <selection pane="bottomLeft" activeCell="I24" sqref="I24"/>
    </sheetView>
  </sheetViews>
  <sheetFormatPr baseColWidth="10" defaultRowHeight="15" x14ac:dyDescent="0.25"/>
  <cols>
    <col min="1" max="1" width="3.140625" style="30" customWidth="1"/>
    <col min="2" max="2" width="8" style="30" customWidth="1"/>
    <col min="3" max="3" width="42.28515625" style="30" customWidth="1"/>
    <col min="4" max="4" width="12.42578125" style="30" customWidth="1"/>
    <col min="5" max="5" width="16" style="30" customWidth="1"/>
    <col min="6" max="16384" width="11.42578125" style="30"/>
  </cols>
  <sheetData>
    <row r="2" spans="2:6" ht="15.75" x14ac:dyDescent="0.25">
      <c r="B2" s="429" t="s">
        <v>407</v>
      </c>
      <c r="C2" s="429"/>
      <c r="D2" s="429"/>
      <c r="E2" s="429"/>
      <c r="F2" s="429"/>
    </row>
    <row r="3" spans="2:6" ht="15.75" x14ac:dyDescent="0.25">
      <c r="B3" s="429" t="s">
        <v>223</v>
      </c>
      <c r="C3" s="429"/>
      <c r="D3" s="429"/>
      <c r="E3" s="429"/>
      <c r="F3" s="429"/>
    </row>
    <row r="4" spans="2:6" ht="15.75" x14ac:dyDescent="0.25">
      <c r="B4" s="453" t="s">
        <v>224</v>
      </c>
      <c r="C4" s="453"/>
      <c r="D4" s="453"/>
      <c r="E4" s="453"/>
      <c r="F4" s="453"/>
    </row>
    <row r="5" spans="2:6" ht="15.75" x14ac:dyDescent="0.25">
      <c r="B5" s="453" t="s">
        <v>321</v>
      </c>
      <c r="C5" s="453"/>
      <c r="D5" s="453"/>
      <c r="E5" s="453"/>
      <c r="F5" s="453"/>
    </row>
    <row r="6" spans="2:6" ht="15.75" x14ac:dyDescent="0.25">
      <c r="B6" s="453" t="s">
        <v>226</v>
      </c>
      <c r="C6" s="453"/>
      <c r="D6" s="453"/>
      <c r="E6" s="453"/>
      <c r="F6" s="453"/>
    </row>
    <row r="7" spans="2:6" ht="15.75" x14ac:dyDescent="0.25">
      <c r="B7" s="429" t="s">
        <v>151</v>
      </c>
      <c r="C7" s="429"/>
      <c r="D7" s="429"/>
      <c r="E7" s="429"/>
      <c r="F7" s="429"/>
    </row>
    <row r="8" spans="2:6" x14ac:dyDescent="0.25">
      <c r="B8" s="43"/>
      <c r="C8" s="43"/>
      <c r="D8" s="43"/>
      <c r="E8" s="40"/>
      <c r="F8" s="43"/>
    </row>
    <row r="9" spans="2:6" x14ac:dyDescent="0.25">
      <c r="B9" s="452" t="s">
        <v>228</v>
      </c>
      <c r="C9" s="452" t="s">
        <v>229</v>
      </c>
      <c r="D9" s="116" t="s">
        <v>230</v>
      </c>
      <c r="E9" s="116" t="s">
        <v>231</v>
      </c>
      <c r="F9" s="452" t="s">
        <v>0</v>
      </c>
    </row>
    <row r="10" spans="2:6" ht="25.5" x14ac:dyDescent="0.25">
      <c r="B10" s="452"/>
      <c r="C10" s="452"/>
      <c r="D10" s="116" t="s">
        <v>232</v>
      </c>
      <c r="E10" s="356" t="s">
        <v>233</v>
      </c>
      <c r="F10" s="452"/>
    </row>
    <row r="11" spans="2:6" x14ac:dyDescent="0.25">
      <c r="B11" s="117">
        <v>51</v>
      </c>
      <c r="C11" s="118" t="s">
        <v>130</v>
      </c>
      <c r="D11" s="119">
        <f>SUM(D12+D15+D17)</f>
        <v>20716.38</v>
      </c>
      <c r="E11" s="119">
        <f>SUM(E12+E15+E17)</f>
        <v>6242.62</v>
      </c>
      <c r="F11" s="119">
        <f>SUM(F12+F15+F17)</f>
        <v>26959</v>
      </c>
    </row>
    <row r="12" spans="2:6" x14ac:dyDescent="0.25">
      <c r="B12" s="120">
        <v>511</v>
      </c>
      <c r="C12" s="121" t="s">
        <v>234</v>
      </c>
      <c r="D12" s="122">
        <f>SUM(D13:D14)</f>
        <v>18040</v>
      </c>
      <c r="E12" s="122">
        <f>SUM(E13:E14)</f>
        <v>5370</v>
      </c>
      <c r="F12" s="122">
        <f>SUM(F13:F14)</f>
        <v>23410</v>
      </c>
    </row>
    <row r="13" spans="2:6" x14ac:dyDescent="0.25">
      <c r="B13" s="123">
        <v>51101</v>
      </c>
      <c r="C13" s="124" t="s">
        <v>235</v>
      </c>
      <c r="D13" s="125">
        <v>16470</v>
      </c>
      <c r="E13" s="125">
        <v>5370</v>
      </c>
      <c r="F13" s="125">
        <f>SUM(D13:E13)</f>
        <v>21840</v>
      </c>
    </row>
    <row r="14" spans="2:6" x14ac:dyDescent="0.25">
      <c r="B14" s="123">
        <v>51103</v>
      </c>
      <c r="C14" s="126" t="s">
        <v>236</v>
      </c>
      <c r="D14" s="125">
        <v>1570</v>
      </c>
      <c r="E14" s="125">
        <v>0</v>
      </c>
      <c r="F14" s="125">
        <f>SUM(D14:E14)</f>
        <v>1570</v>
      </c>
    </row>
    <row r="15" spans="2:6" x14ac:dyDescent="0.25">
      <c r="B15" s="120">
        <v>514</v>
      </c>
      <c r="C15" s="118" t="s">
        <v>239</v>
      </c>
      <c r="D15" s="122">
        <f>SUM(D16)</f>
        <v>1399.95</v>
      </c>
      <c r="E15" s="122">
        <f t="shared" ref="E15:F15" si="0">SUM(E16)</f>
        <v>456.45</v>
      </c>
      <c r="F15" s="122">
        <f t="shared" si="0"/>
        <v>1856.4</v>
      </c>
    </row>
    <row r="16" spans="2:6" x14ac:dyDescent="0.25">
      <c r="B16" s="127">
        <v>51401</v>
      </c>
      <c r="C16" s="126" t="s">
        <v>240</v>
      </c>
      <c r="D16" s="125">
        <v>1399.95</v>
      </c>
      <c r="E16" s="125">
        <v>456.45</v>
      </c>
      <c r="F16" s="125">
        <f>SUM(D16:E16)</f>
        <v>1856.4</v>
      </c>
    </row>
    <row r="17" spans="2:6" x14ac:dyDescent="0.25">
      <c r="B17" s="120">
        <v>515</v>
      </c>
      <c r="C17" s="128" t="s">
        <v>241</v>
      </c>
      <c r="D17" s="122">
        <f>SUM(D18:D18)</f>
        <v>1276.43</v>
      </c>
      <c r="E17" s="122">
        <f>SUM(E18:E18)</f>
        <v>416.17</v>
      </c>
      <c r="F17" s="122">
        <f>SUM(F18:F18)</f>
        <v>1692.6000000000001</v>
      </c>
    </row>
    <row r="18" spans="2:6" x14ac:dyDescent="0.25">
      <c r="B18" s="127">
        <v>51501</v>
      </c>
      <c r="C18" s="126" t="s">
        <v>240</v>
      </c>
      <c r="D18" s="125">
        <v>1276.43</v>
      </c>
      <c r="E18" s="125">
        <v>416.17</v>
      </c>
      <c r="F18" s="125">
        <f>SUM(D18:E18)</f>
        <v>1692.6000000000001</v>
      </c>
    </row>
    <row r="19" spans="2:6" x14ac:dyDescent="0.25">
      <c r="B19" s="120">
        <v>54</v>
      </c>
      <c r="C19" s="128" t="s">
        <v>286</v>
      </c>
      <c r="D19" s="122">
        <f>SUM(D20+D25)</f>
        <v>3800</v>
      </c>
      <c r="E19" s="122">
        <f t="shared" ref="E19:F19" si="1">SUM(E20+E25)</f>
        <v>0</v>
      </c>
      <c r="F19" s="122">
        <f t="shared" si="1"/>
        <v>3800</v>
      </c>
    </row>
    <row r="20" spans="2:6" x14ac:dyDescent="0.25">
      <c r="B20" s="120">
        <v>541</v>
      </c>
      <c r="C20" s="128" t="s">
        <v>245</v>
      </c>
      <c r="D20" s="122">
        <f>SUM(D21:D24)</f>
        <v>2800</v>
      </c>
      <c r="E20" s="122">
        <f>SUM(E21:E24)</f>
        <v>0</v>
      </c>
      <c r="F20" s="122">
        <f>SUM(F21:F24)</f>
        <v>2800</v>
      </c>
    </row>
    <row r="21" spans="2:6" x14ac:dyDescent="0.25">
      <c r="B21" s="127">
        <v>54105</v>
      </c>
      <c r="C21" s="126" t="s">
        <v>249</v>
      </c>
      <c r="D21" s="140">
        <v>1200</v>
      </c>
      <c r="E21" s="125">
        <v>0</v>
      </c>
      <c r="F21" s="125">
        <f>SUM(D21:E21)</f>
        <v>1200</v>
      </c>
    </row>
    <row r="22" spans="2:6" x14ac:dyDescent="0.25">
      <c r="B22" s="127">
        <v>54114</v>
      </c>
      <c r="C22" s="126" t="s">
        <v>253</v>
      </c>
      <c r="D22" s="140">
        <v>1000</v>
      </c>
      <c r="E22" s="125">
        <v>0</v>
      </c>
      <c r="F22" s="125">
        <f>SUM(D22:E22)</f>
        <v>1000</v>
      </c>
    </row>
    <row r="23" spans="2:6" x14ac:dyDescent="0.25">
      <c r="B23" s="127">
        <v>54115</v>
      </c>
      <c r="C23" s="126" t="s">
        <v>254</v>
      </c>
      <c r="D23" s="140">
        <v>500</v>
      </c>
      <c r="E23" s="125">
        <v>0</v>
      </c>
      <c r="F23" s="125">
        <f>SUM(D23:E23)</f>
        <v>500</v>
      </c>
    </row>
    <row r="24" spans="2:6" x14ac:dyDescent="0.25">
      <c r="B24" s="127">
        <v>54199</v>
      </c>
      <c r="C24" s="126" t="s">
        <v>256</v>
      </c>
      <c r="D24" s="125">
        <v>100</v>
      </c>
      <c r="E24" s="125">
        <v>0</v>
      </c>
      <c r="F24" s="125">
        <f>SUM(D24:E24)</f>
        <v>100</v>
      </c>
    </row>
    <row r="25" spans="2:6" x14ac:dyDescent="0.25">
      <c r="B25" s="120">
        <v>543</v>
      </c>
      <c r="C25" s="128" t="s">
        <v>257</v>
      </c>
      <c r="D25" s="122">
        <f>SUM(D26:D26)</f>
        <v>1000</v>
      </c>
      <c r="E25" s="122">
        <f>SUM(E26:E26)</f>
        <v>0</v>
      </c>
      <c r="F25" s="122">
        <f>SUM(F26:F26)</f>
        <v>1000</v>
      </c>
    </row>
    <row r="26" spans="2:6" x14ac:dyDescent="0.25">
      <c r="B26" s="127">
        <v>54313</v>
      </c>
      <c r="C26" s="136" t="s">
        <v>261</v>
      </c>
      <c r="D26" s="140">
        <v>1000</v>
      </c>
      <c r="E26" s="140">
        <v>0</v>
      </c>
      <c r="F26" s="140">
        <f>SUM(D26:E26)</f>
        <v>1000</v>
      </c>
    </row>
    <row r="27" spans="2:6" x14ac:dyDescent="0.25">
      <c r="B27" s="81">
        <v>61</v>
      </c>
      <c r="C27" s="108" t="s">
        <v>280</v>
      </c>
      <c r="D27" s="109">
        <f>SUM(D28)</f>
        <v>1100</v>
      </c>
      <c r="E27" s="109">
        <f>SUM(E28)</f>
        <v>0</v>
      </c>
      <c r="F27" s="109">
        <f t="shared" ref="F27" si="2">SUM(F28)</f>
        <v>1100</v>
      </c>
    </row>
    <row r="28" spans="2:6" x14ac:dyDescent="0.25">
      <c r="B28" s="81">
        <v>611</v>
      </c>
      <c r="C28" s="106" t="s">
        <v>330</v>
      </c>
      <c r="D28" s="101">
        <f>SUM(D29:D30)</f>
        <v>1100</v>
      </c>
      <c r="E28" s="101">
        <f>SUM(E29:E30)</f>
        <v>0</v>
      </c>
      <c r="F28" s="101">
        <f>SUM(F29:F30)</f>
        <v>1100</v>
      </c>
    </row>
    <row r="29" spans="2:6" x14ac:dyDescent="0.25">
      <c r="B29" s="90">
        <v>61104</v>
      </c>
      <c r="C29" s="104" t="s">
        <v>331</v>
      </c>
      <c r="D29" s="103">
        <v>1100</v>
      </c>
      <c r="E29" s="103">
        <v>0</v>
      </c>
      <c r="F29" s="103">
        <f>SUM(D29:E29)</f>
        <v>1100</v>
      </c>
    </row>
    <row r="30" spans="2:6" x14ac:dyDescent="0.25">
      <c r="B30" s="127"/>
      <c r="C30" s="126"/>
      <c r="D30" s="125"/>
      <c r="E30" s="125"/>
      <c r="F30" s="125"/>
    </row>
    <row r="31" spans="2:6" x14ac:dyDescent="0.25">
      <c r="B31" s="127"/>
      <c r="C31" s="128" t="s">
        <v>70</v>
      </c>
      <c r="D31" s="122">
        <f>SUM(D11+D19+D27)</f>
        <v>25616.38</v>
      </c>
      <c r="E31" s="122">
        <f>SUM(E11+E19+E27)</f>
        <v>6242.62</v>
      </c>
      <c r="F31" s="122">
        <f>SUM(D31:E31)</f>
        <v>31859</v>
      </c>
    </row>
    <row r="32" spans="2:6" x14ac:dyDescent="0.25">
      <c r="B32" s="127"/>
      <c r="C32" s="126"/>
      <c r="D32" s="125"/>
      <c r="E32" s="125"/>
      <c r="F32" s="125"/>
    </row>
    <row r="33" spans="2:6" x14ac:dyDescent="0.25">
      <c r="B33" s="120"/>
      <c r="C33" s="128" t="s">
        <v>61</v>
      </c>
      <c r="D33" s="122">
        <f>SUM(D11+D19+D27)</f>
        <v>25616.38</v>
      </c>
      <c r="E33" s="122">
        <f>SUM(E11+E19+E27)</f>
        <v>6242.62</v>
      </c>
      <c r="F33" s="122">
        <f>SUM(F11+F19+F27)</f>
        <v>31859</v>
      </c>
    </row>
    <row r="34" spans="2:6" x14ac:dyDescent="0.25">
      <c r="B34" s="120"/>
      <c r="C34" s="128" t="s">
        <v>62</v>
      </c>
      <c r="D34" s="122">
        <f>SUM(D12+D15+D17+D20+D25+D28)</f>
        <v>25616.38</v>
      </c>
      <c r="E34" s="122">
        <f>SUM(E12+E15+E17+E20+E25+E28)</f>
        <v>6242.62</v>
      </c>
      <c r="F34" s="122">
        <f>SUM(F12+F15+F17+F20+F25+F28)</f>
        <v>31859</v>
      </c>
    </row>
    <row r="35" spans="2:6" x14ac:dyDescent="0.25">
      <c r="B35" s="120"/>
      <c r="C35" s="128" t="s">
        <v>63</v>
      </c>
      <c r="D35" s="122">
        <f>SUM(D13+D14+D16+D18+D21+D22+D23+D24+D26+D29)</f>
        <v>25616.38</v>
      </c>
      <c r="E35" s="122">
        <f>SUM(E13+E14+E16+E18+E21+E22+E23+E24+E26+E29)</f>
        <v>6242.62</v>
      </c>
      <c r="F35" s="122">
        <f>SUM(F13+F14+F16+F18+F21+F22+F23+F24+F26+F29)</f>
        <v>31859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9"/>
  <sheetViews>
    <sheetView tabSelected="1" topLeftCell="A7" workbookViewId="0">
      <selection activeCell="E25" sqref="E25"/>
    </sheetView>
  </sheetViews>
  <sheetFormatPr baseColWidth="10" defaultRowHeight="15" x14ac:dyDescent="0.25"/>
  <cols>
    <col min="1" max="1" width="6.42578125" style="30" customWidth="1"/>
    <col min="2" max="2" width="41.42578125" style="30" customWidth="1"/>
    <col min="3" max="3" width="21" style="30" customWidth="1"/>
    <col min="4" max="4" width="41.7109375" style="30" customWidth="1"/>
    <col min="5" max="5" width="22.28515625" style="30" customWidth="1"/>
    <col min="6" max="6" width="13.5703125" style="30" bestFit="1" customWidth="1"/>
    <col min="7" max="7" width="17" style="30" customWidth="1"/>
    <col min="8" max="16384" width="11.42578125" style="30"/>
  </cols>
  <sheetData>
    <row r="1" spans="2:7" ht="15.75" thickBot="1" x14ac:dyDescent="0.3"/>
    <row r="2" spans="2:7" s="19" customFormat="1" ht="19.5" thickTop="1" thickBot="1" x14ac:dyDescent="0.3">
      <c r="B2" s="399" t="s">
        <v>64</v>
      </c>
      <c r="C2" s="399"/>
      <c r="D2" s="399"/>
      <c r="E2" s="399"/>
    </row>
    <row r="3" spans="2:7" s="19" customFormat="1" ht="19.5" thickTop="1" thickBot="1" x14ac:dyDescent="0.3">
      <c r="B3" s="400" t="s">
        <v>65</v>
      </c>
      <c r="C3" s="399"/>
      <c r="D3" s="399"/>
      <c r="E3" s="399"/>
    </row>
    <row r="4" spans="2:7" s="19" customFormat="1" ht="19.5" thickTop="1" thickBot="1" x14ac:dyDescent="0.3">
      <c r="B4" s="400" t="s">
        <v>66</v>
      </c>
      <c r="C4" s="399"/>
      <c r="D4" s="399"/>
      <c r="E4" s="399"/>
    </row>
    <row r="5" spans="2:7" s="19" customFormat="1" ht="19.5" thickTop="1" thickBot="1" x14ac:dyDescent="0.3">
      <c r="B5" s="400" t="s">
        <v>409</v>
      </c>
      <c r="C5" s="399"/>
      <c r="D5" s="399"/>
      <c r="E5" s="399"/>
    </row>
    <row r="6" spans="2:7" ht="15.75" thickTop="1" x14ac:dyDescent="0.25"/>
    <row r="7" spans="2:7" ht="18" x14ac:dyDescent="0.25">
      <c r="B7" s="401" t="s">
        <v>440</v>
      </c>
      <c r="C7" s="402"/>
      <c r="D7" s="401" t="s">
        <v>441</v>
      </c>
      <c r="E7" s="402"/>
    </row>
    <row r="8" spans="2:7" ht="22.5" x14ac:dyDescent="0.55000000000000004">
      <c r="B8" s="187" t="s">
        <v>121</v>
      </c>
      <c r="C8" s="188">
        <f>+'PRESU INGRESOS'!E69-'PRESU INGRESOS'!E60</f>
        <v>1699170.9799999997</v>
      </c>
      <c r="D8" s="189" t="s">
        <v>122</v>
      </c>
      <c r="E8" s="190">
        <f>+F.PROPIOS!D14</f>
        <v>1699170.9800000002</v>
      </c>
      <c r="F8" s="378">
        <f>+C8-E8</f>
        <v>0</v>
      </c>
    </row>
    <row r="9" spans="2:7" x14ac:dyDescent="0.25">
      <c r="B9" s="191"/>
      <c r="C9" s="191"/>
      <c r="D9" s="191"/>
      <c r="E9" s="191"/>
    </row>
    <row r="10" spans="2:7" ht="22.5" x14ac:dyDescent="0.55000000000000004">
      <c r="B10" s="187" t="s">
        <v>404</v>
      </c>
      <c r="C10" s="188">
        <f>+'PRESU INGRESOS'!E60</f>
        <v>5829.31</v>
      </c>
      <c r="D10" s="189" t="s">
        <v>404</v>
      </c>
      <c r="E10" s="190">
        <f>+'GASTO DONACION'!D25</f>
        <v>5829.3099999999995</v>
      </c>
      <c r="F10" s="365">
        <f>+C10-E10</f>
        <v>0</v>
      </c>
    </row>
    <row r="11" spans="2:7" x14ac:dyDescent="0.25">
      <c r="B11" s="191"/>
      <c r="C11" s="191"/>
      <c r="D11" s="191"/>
      <c r="E11" s="191"/>
    </row>
    <row r="12" spans="2:7" ht="22.5" x14ac:dyDescent="0.55000000000000004">
      <c r="B12" s="187" t="s">
        <v>123</v>
      </c>
      <c r="C12" s="190">
        <f>+'PRESU INGRESOS'!D49+'PRESU INGRESOS'!D62+55552.02</f>
        <v>769436.5</v>
      </c>
      <c r="D12" s="187" t="s">
        <v>124</v>
      </c>
      <c r="E12" s="190">
        <f>+'FODES 25%'!D14</f>
        <v>769436.5</v>
      </c>
      <c r="F12" s="365">
        <f>+C12-E12</f>
        <v>0</v>
      </c>
    </row>
    <row r="13" spans="2:7" x14ac:dyDescent="0.25">
      <c r="B13" s="191"/>
      <c r="C13" s="191"/>
      <c r="D13" s="191"/>
      <c r="E13" s="191"/>
    </row>
    <row r="14" spans="2:7" ht="22.5" x14ac:dyDescent="0.55000000000000004">
      <c r="B14" s="187" t="s">
        <v>125</v>
      </c>
      <c r="C14" s="190">
        <f>'PRESU INGRESOS'!D54+'PRESU INGRESOS'!D61+'PRESU INGRESOS'!D63+166656.05</f>
        <v>2521529.0099999998</v>
      </c>
      <c r="D14" s="187" t="s">
        <v>126</v>
      </c>
      <c r="E14" s="192">
        <f>+'FODES 75%'!D23</f>
        <v>2521529.0099999998</v>
      </c>
      <c r="F14" s="365">
        <f>+C14-E14</f>
        <v>0</v>
      </c>
      <c r="G14" s="377">
        <f>E14+E16</f>
        <v>3232013.6799999997</v>
      </c>
    </row>
    <row r="15" spans="2:7" ht="17.25" customHeight="1" x14ac:dyDescent="0.55000000000000004">
      <c r="B15" s="187"/>
      <c r="C15" s="190"/>
      <c r="D15" s="187"/>
      <c r="E15" s="192"/>
    </row>
    <row r="16" spans="2:7" ht="17.25" customHeight="1" x14ac:dyDescent="0.25">
      <c r="B16" s="189" t="s">
        <v>434</v>
      </c>
      <c r="C16" s="375">
        <f>'PRESU INGRESOS'!D55</f>
        <v>710484.67</v>
      </c>
      <c r="D16" s="187" t="s">
        <v>435</v>
      </c>
      <c r="E16" s="192">
        <f>'FODES 2% '!D11</f>
        <v>710484.67</v>
      </c>
      <c r="F16" s="377">
        <f>C16-E16</f>
        <v>0</v>
      </c>
    </row>
    <row r="17" spans="2:6" ht="17.25" customHeight="1" x14ac:dyDescent="0.55000000000000004">
      <c r="B17" s="187"/>
      <c r="C17" s="190"/>
      <c r="D17" s="187"/>
      <c r="E17" s="192"/>
    </row>
    <row r="18" spans="2:6" ht="22.5" x14ac:dyDescent="0.55000000000000004">
      <c r="B18" s="187" t="s">
        <v>405</v>
      </c>
      <c r="C18" s="190">
        <f>+'PRESU INGRESOS'!D64</f>
        <v>52595.92</v>
      </c>
      <c r="D18" s="187" t="s">
        <v>405</v>
      </c>
      <c r="E18" s="192">
        <f>+'GASTO FISDL'!D29</f>
        <v>52595.92</v>
      </c>
      <c r="F18" s="365">
        <f>+C18-E18</f>
        <v>0</v>
      </c>
    </row>
    <row r="19" spans="2:6" x14ac:dyDescent="0.25">
      <c r="B19" s="191"/>
      <c r="C19" s="191"/>
      <c r="D19" s="191"/>
      <c r="E19" s="191"/>
    </row>
    <row r="20" spans="2:6" ht="22.5" x14ac:dyDescent="0.55000000000000004">
      <c r="B20" s="191"/>
      <c r="C20" s="190">
        <f>SUM(C8:C19)</f>
        <v>5759046.3899999997</v>
      </c>
      <c r="D20" s="191"/>
      <c r="E20" s="190">
        <f>SUM(E8:E19)</f>
        <v>5759046.3899999997</v>
      </c>
    </row>
    <row r="21" spans="2:6" x14ac:dyDescent="0.25">
      <c r="B21" s="191"/>
      <c r="C21" s="191"/>
      <c r="D21" s="191"/>
      <c r="E21" s="191"/>
    </row>
    <row r="29" spans="2:6" x14ac:dyDescent="0.25">
      <c r="C29" s="30">
        <f>+C12/2</f>
        <v>384718.25</v>
      </c>
    </row>
  </sheetData>
  <mergeCells count="6">
    <mergeCell ref="B2:E2"/>
    <mergeCell ref="B3:E3"/>
    <mergeCell ref="B4:E4"/>
    <mergeCell ref="B5:E5"/>
    <mergeCell ref="B7:C7"/>
    <mergeCell ref="D7:E7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F40"/>
  <sheetViews>
    <sheetView workbookViewId="0">
      <pane ySplit="10" topLeftCell="A11" activePane="bottomLeft" state="frozen"/>
      <selection pane="bottomLeft" activeCell="E22" sqref="E22"/>
    </sheetView>
  </sheetViews>
  <sheetFormatPr baseColWidth="10" defaultRowHeight="15" x14ac:dyDescent="0.25"/>
  <cols>
    <col min="1" max="1" width="2.7109375" style="30" customWidth="1"/>
    <col min="2" max="2" width="7.85546875" style="30" customWidth="1"/>
    <col min="3" max="3" width="41.85546875" style="30" customWidth="1"/>
    <col min="4" max="4" width="12.7109375" style="30" customWidth="1"/>
    <col min="5" max="5" width="16" style="30" customWidth="1"/>
    <col min="6" max="6" width="12.28515625" style="30" customWidth="1"/>
    <col min="7" max="16384" width="11.42578125" style="30"/>
  </cols>
  <sheetData>
    <row r="2" spans="2:6" ht="15.75" x14ac:dyDescent="0.25">
      <c r="B2" s="429" t="s">
        <v>407</v>
      </c>
      <c r="C2" s="429"/>
      <c r="D2" s="429"/>
      <c r="E2" s="429"/>
      <c r="F2" s="429"/>
    </row>
    <row r="3" spans="2:6" ht="15.75" x14ac:dyDescent="0.25">
      <c r="B3" s="429" t="s">
        <v>223</v>
      </c>
      <c r="C3" s="429"/>
      <c r="D3" s="429"/>
      <c r="E3" s="429"/>
      <c r="F3" s="429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321</v>
      </c>
      <c r="C5" s="427"/>
      <c r="D5" s="427"/>
      <c r="E5" s="427"/>
      <c r="F5" s="427"/>
    </row>
    <row r="6" spans="2:6" ht="15.75" x14ac:dyDescent="0.25">
      <c r="B6" s="427" t="s">
        <v>226</v>
      </c>
      <c r="C6" s="427"/>
      <c r="D6" s="427"/>
      <c r="E6" s="427"/>
      <c r="F6" s="427"/>
    </row>
    <row r="7" spans="2:6" ht="15.75" x14ac:dyDescent="0.25">
      <c r="B7" s="429" t="s">
        <v>332</v>
      </c>
      <c r="C7" s="429"/>
      <c r="D7" s="429"/>
      <c r="E7" s="429"/>
      <c r="F7" s="429"/>
    </row>
    <row r="8" spans="2:6" x14ac:dyDescent="0.25">
      <c r="B8" s="31"/>
      <c r="C8" s="31"/>
      <c r="D8" s="31"/>
      <c r="E8" s="32"/>
      <c r="F8" s="31"/>
    </row>
    <row r="9" spans="2:6" x14ac:dyDescent="0.25">
      <c r="B9" s="425" t="s">
        <v>228</v>
      </c>
      <c r="C9" s="425" t="s">
        <v>229</v>
      </c>
      <c r="D9" s="97" t="s">
        <v>230</v>
      </c>
      <c r="E9" s="97" t="s">
        <v>231</v>
      </c>
      <c r="F9" s="425" t="s">
        <v>0</v>
      </c>
    </row>
    <row r="10" spans="2:6" ht="25.5" x14ac:dyDescent="0.25">
      <c r="B10" s="425"/>
      <c r="C10" s="425"/>
      <c r="D10" s="97" t="s">
        <v>232</v>
      </c>
      <c r="E10" s="354" t="s">
        <v>233</v>
      </c>
      <c r="F10" s="425"/>
    </row>
    <row r="11" spans="2:6" x14ac:dyDescent="0.25">
      <c r="B11" s="76">
        <v>51</v>
      </c>
      <c r="C11" s="105" t="s">
        <v>130</v>
      </c>
      <c r="D11" s="99">
        <f>SUM(D12+D16+D18)</f>
        <v>11217.5</v>
      </c>
      <c r="E11" s="99">
        <f>SUM(E12+E16+E18)</f>
        <v>9067.5</v>
      </c>
      <c r="F11" s="99">
        <f>SUM(F12+F16+F18)</f>
        <v>20285</v>
      </c>
    </row>
    <row r="12" spans="2:6" x14ac:dyDescent="0.25">
      <c r="B12" s="81">
        <v>511</v>
      </c>
      <c r="C12" s="113" t="s">
        <v>234</v>
      </c>
      <c r="D12" s="101">
        <f>SUM(D13:D15)</f>
        <v>9950</v>
      </c>
      <c r="E12" s="101">
        <f>SUM(E13:E15)</f>
        <v>7800</v>
      </c>
      <c r="F12" s="101">
        <f>SUM(F13:F15)</f>
        <v>17750</v>
      </c>
    </row>
    <row r="13" spans="2:6" x14ac:dyDescent="0.25">
      <c r="B13" s="84">
        <v>51101</v>
      </c>
      <c r="C13" s="102" t="s">
        <v>235</v>
      </c>
      <c r="D13" s="103">
        <v>7800</v>
      </c>
      <c r="E13" s="103">
        <v>7800</v>
      </c>
      <c r="F13" s="103">
        <f>SUM(D13:E13)</f>
        <v>15600</v>
      </c>
    </row>
    <row r="14" spans="2:6" x14ac:dyDescent="0.25">
      <c r="B14" s="84">
        <v>51103</v>
      </c>
      <c r="C14" s="104" t="s">
        <v>236</v>
      </c>
      <c r="D14" s="103">
        <v>1150</v>
      </c>
      <c r="E14" s="103">
        <v>0</v>
      </c>
      <c r="F14" s="103">
        <f>SUM(D14:E14)</f>
        <v>1150</v>
      </c>
    </row>
    <row r="15" spans="2:6" x14ac:dyDescent="0.25">
      <c r="B15" s="90">
        <v>51107</v>
      </c>
      <c r="C15" s="143" t="s">
        <v>238</v>
      </c>
      <c r="D15" s="103">
        <v>1000</v>
      </c>
      <c r="E15" s="103">
        <v>0</v>
      </c>
      <c r="F15" s="103">
        <f>SUM(D15:E15)</f>
        <v>1000</v>
      </c>
    </row>
    <row r="16" spans="2:6" x14ac:dyDescent="0.25">
      <c r="B16" s="81">
        <v>514</v>
      </c>
      <c r="C16" s="105" t="s">
        <v>239</v>
      </c>
      <c r="D16" s="101">
        <f>SUM(D17)</f>
        <v>663</v>
      </c>
      <c r="E16" s="101">
        <f t="shared" ref="E16:F16" si="0">SUM(E17)</f>
        <v>663</v>
      </c>
      <c r="F16" s="101">
        <f t="shared" si="0"/>
        <v>1326</v>
      </c>
    </row>
    <row r="17" spans="2:6" x14ac:dyDescent="0.25">
      <c r="B17" s="90">
        <v>51401</v>
      </c>
      <c r="C17" s="104" t="s">
        <v>240</v>
      </c>
      <c r="D17" s="103">
        <v>663</v>
      </c>
      <c r="E17" s="103">
        <v>663</v>
      </c>
      <c r="F17" s="103">
        <f>SUM(D17:E17)</f>
        <v>1326</v>
      </c>
    </row>
    <row r="18" spans="2:6" x14ac:dyDescent="0.25">
      <c r="B18" s="81">
        <v>515</v>
      </c>
      <c r="C18" s="106" t="s">
        <v>241</v>
      </c>
      <c r="D18" s="101">
        <f>SUM(D19:D19)</f>
        <v>604.5</v>
      </c>
      <c r="E18" s="101">
        <f>SUM(E19:E19)</f>
        <v>604.5</v>
      </c>
      <c r="F18" s="101">
        <f>SUM(F19:F19)</f>
        <v>1209</v>
      </c>
    </row>
    <row r="19" spans="2:6" x14ac:dyDescent="0.25">
      <c r="B19" s="90">
        <v>51501</v>
      </c>
      <c r="C19" s="104" t="s">
        <v>240</v>
      </c>
      <c r="D19" s="103">
        <v>604.5</v>
      </c>
      <c r="E19" s="103">
        <v>604.5</v>
      </c>
      <c r="F19" s="103">
        <f>SUM(D19:E19)</f>
        <v>1209</v>
      </c>
    </row>
    <row r="20" spans="2:6" x14ac:dyDescent="0.25">
      <c r="B20" s="81">
        <v>54</v>
      </c>
      <c r="C20" s="106" t="s">
        <v>286</v>
      </c>
      <c r="D20" s="101">
        <f>SUM(D21+D31)</f>
        <v>9639.35</v>
      </c>
      <c r="E20" s="101">
        <f>SUM(E21+E31)</f>
        <v>2300</v>
      </c>
      <c r="F20" s="101">
        <f>SUM(F21+F31)</f>
        <v>11939.35</v>
      </c>
    </row>
    <row r="21" spans="2:6" x14ac:dyDescent="0.25">
      <c r="B21" s="81">
        <v>541</v>
      </c>
      <c r="C21" s="106" t="s">
        <v>245</v>
      </c>
      <c r="D21" s="101">
        <f>SUM(D22:D30)</f>
        <v>8277.35</v>
      </c>
      <c r="E21" s="101">
        <f>SUM(E22:E30)</f>
        <v>0</v>
      </c>
      <c r="F21" s="101">
        <f>SUM(F22:F30)</f>
        <v>8277.35</v>
      </c>
    </row>
    <row r="22" spans="2:6" x14ac:dyDescent="0.25">
      <c r="B22" s="90">
        <v>54105</v>
      </c>
      <c r="C22" s="104" t="s">
        <v>249</v>
      </c>
      <c r="D22" s="103">
        <v>150</v>
      </c>
      <c r="E22" s="103">
        <v>0</v>
      </c>
      <c r="F22" s="103">
        <f t="shared" ref="F22:F30" si="1">SUM(D22:E22)</f>
        <v>150</v>
      </c>
    </row>
    <row r="23" spans="2:6" x14ac:dyDescent="0.25">
      <c r="B23" s="90">
        <v>54110</v>
      </c>
      <c r="C23" s="104" t="s">
        <v>333</v>
      </c>
      <c r="D23" s="103">
        <v>600</v>
      </c>
      <c r="E23" s="103">
        <v>0</v>
      </c>
      <c r="F23" s="103">
        <f t="shared" si="1"/>
        <v>600</v>
      </c>
    </row>
    <row r="24" spans="2:6" x14ac:dyDescent="0.25">
      <c r="B24" s="90">
        <v>54111</v>
      </c>
      <c r="C24" s="104" t="s">
        <v>334</v>
      </c>
      <c r="D24" s="103">
        <v>3000</v>
      </c>
      <c r="E24" s="103">
        <v>0</v>
      </c>
      <c r="F24" s="103">
        <f t="shared" si="1"/>
        <v>3000</v>
      </c>
    </row>
    <row r="25" spans="2:6" x14ac:dyDescent="0.25">
      <c r="B25" s="90">
        <v>54112</v>
      </c>
      <c r="C25" s="104" t="s">
        <v>252</v>
      </c>
      <c r="D25" s="103">
        <v>2471</v>
      </c>
      <c r="E25" s="103">
        <v>0</v>
      </c>
      <c r="F25" s="103">
        <f t="shared" si="1"/>
        <v>2471</v>
      </c>
    </row>
    <row r="26" spans="2:6" x14ac:dyDescent="0.25">
      <c r="B26" s="90">
        <v>54114</v>
      </c>
      <c r="C26" s="104" t="s">
        <v>253</v>
      </c>
      <c r="D26" s="103">
        <v>100</v>
      </c>
      <c r="E26" s="103">
        <v>0</v>
      </c>
      <c r="F26" s="103">
        <f t="shared" si="1"/>
        <v>100</v>
      </c>
    </row>
    <row r="27" spans="2:6" x14ac:dyDescent="0.25">
      <c r="B27" s="90">
        <v>54115</v>
      </c>
      <c r="C27" s="104" t="s">
        <v>254</v>
      </c>
      <c r="D27" s="103">
        <v>65</v>
      </c>
      <c r="E27" s="103">
        <v>0</v>
      </c>
      <c r="F27" s="103">
        <f t="shared" si="1"/>
        <v>65</v>
      </c>
    </row>
    <row r="28" spans="2:6" x14ac:dyDescent="0.25">
      <c r="B28" s="90">
        <v>54118</v>
      </c>
      <c r="C28" s="104" t="s">
        <v>295</v>
      </c>
      <c r="D28" s="103">
        <v>1000</v>
      </c>
      <c r="E28" s="103">
        <v>0</v>
      </c>
      <c r="F28" s="103">
        <f t="shared" si="1"/>
        <v>1000</v>
      </c>
    </row>
    <row r="29" spans="2:6" x14ac:dyDescent="0.25">
      <c r="B29" s="90">
        <v>54119</v>
      </c>
      <c r="C29" s="104" t="s">
        <v>255</v>
      </c>
      <c r="D29" s="103">
        <v>785.35</v>
      </c>
      <c r="E29" s="103">
        <v>0</v>
      </c>
      <c r="F29" s="103">
        <f t="shared" si="1"/>
        <v>785.35</v>
      </c>
    </row>
    <row r="30" spans="2:6" x14ac:dyDescent="0.25">
      <c r="B30" s="90">
        <v>54199</v>
      </c>
      <c r="C30" s="104" t="s">
        <v>256</v>
      </c>
      <c r="D30" s="103">
        <v>106</v>
      </c>
      <c r="E30" s="103">
        <v>0</v>
      </c>
      <c r="F30" s="103">
        <f t="shared" si="1"/>
        <v>106</v>
      </c>
    </row>
    <row r="31" spans="2:6" x14ac:dyDescent="0.25">
      <c r="B31" s="81">
        <v>543</v>
      </c>
      <c r="C31" s="106" t="s">
        <v>257</v>
      </c>
      <c r="D31" s="101">
        <f>SUM(D32:D32)</f>
        <v>1362</v>
      </c>
      <c r="E31" s="101">
        <f>SUM(E32:E34)</f>
        <v>2300</v>
      </c>
      <c r="F31" s="101">
        <f>SUM(F32:F34)</f>
        <v>3662</v>
      </c>
    </row>
    <row r="32" spans="2:6" x14ac:dyDescent="0.25">
      <c r="B32" s="90">
        <v>54301</v>
      </c>
      <c r="C32" s="104" t="s">
        <v>258</v>
      </c>
      <c r="D32" s="103">
        <v>1362</v>
      </c>
      <c r="E32" s="103">
        <v>0</v>
      </c>
      <c r="F32" s="103">
        <f>SUM(D32:E32)</f>
        <v>1362</v>
      </c>
    </row>
    <row r="33" spans="2:6" ht="15.75" x14ac:dyDescent="0.25">
      <c r="B33" s="90">
        <v>54303</v>
      </c>
      <c r="C33" s="104" t="s">
        <v>259</v>
      </c>
      <c r="D33" s="352">
        <v>0</v>
      </c>
      <c r="E33" s="103">
        <v>1300</v>
      </c>
      <c r="F33" s="103">
        <f>SUM(D33:E33)</f>
        <v>1300</v>
      </c>
    </row>
    <row r="34" spans="2:6" ht="15.75" x14ac:dyDescent="0.25">
      <c r="B34" s="90">
        <v>54305</v>
      </c>
      <c r="C34" s="104" t="s">
        <v>418</v>
      </c>
      <c r="D34" s="274">
        <v>0</v>
      </c>
      <c r="E34" s="103">
        <v>1000</v>
      </c>
      <c r="F34" s="103">
        <f>SUM(D34:E34)</f>
        <v>1000</v>
      </c>
    </row>
    <row r="35" spans="2:6" x14ac:dyDescent="0.25">
      <c r="B35" s="90"/>
      <c r="C35" s="104"/>
      <c r="D35" s="103"/>
      <c r="E35" s="103"/>
      <c r="F35" s="103"/>
    </row>
    <row r="36" spans="2:6" x14ac:dyDescent="0.25">
      <c r="B36" s="90"/>
      <c r="C36" s="106" t="s">
        <v>70</v>
      </c>
      <c r="D36" s="101">
        <f>SUM(D11+D20)</f>
        <v>20856.849999999999</v>
      </c>
      <c r="E36" s="101">
        <f>SUM(E11+E20)</f>
        <v>11367.5</v>
      </c>
      <c r="F36" s="101">
        <f>SUM(D36:E36)</f>
        <v>32224.35</v>
      </c>
    </row>
    <row r="37" spans="2:6" x14ac:dyDescent="0.25">
      <c r="B37" s="90"/>
      <c r="C37" s="104"/>
      <c r="D37" s="103"/>
      <c r="E37" s="103"/>
      <c r="F37" s="103"/>
    </row>
    <row r="38" spans="2:6" x14ac:dyDescent="0.25">
      <c r="B38" s="81"/>
      <c r="C38" s="106" t="s">
        <v>61</v>
      </c>
      <c r="D38" s="101">
        <f>SUM(D11+D20)</f>
        <v>20856.849999999999</v>
      </c>
      <c r="E38" s="101">
        <f>SUM(E11+E20)</f>
        <v>11367.5</v>
      </c>
      <c r="F38" s="101">
        <f>SUM(F11+F20)</f>
        <v>32224.35</v>
      </c>
    </row>
    <row r="39" spans="2:6" x14ac:dyDescent="0.25">
      <c r="B39" s="81"/>
      <c r="C39" s="106" t="s">
        <v>62</v>
      </c>
      <c r="D39" s="101">
        <f>SUM(D12+D16+D18+D21+D31)</f>
        <v>20856.849999999999</v>
      </c>
      <c r="E39" s="101">
        <f>SUM(E12+E16+E18+E21+E31)</f>
        <v>11367.5</v>
      </c>
      <c r="F39" s="101">
        <f>SUM(F12+F16+F18+F21+F31)</f>
        <v>32224.35</v>
      </c>
    </row>
    <row r="40" spans="2:6" x14ac:dyDescent="0.25">
      <c r="B40" s="81"/>
      <c r="C40" s="106" t="s">
        <v>63</v>
      </c>
      <c r="D40" s="101">
        <f>+D13+D14+D15+D17+D19+D22+D23+D24+D25+D26+D27+D28+D29+D30+D32</f>
        <v>20856.849999999999</v>
      </c>
      <c r="E40" s="101">
        <f>+E13+E14+E15+E17+E19+E22+E23+E24+E25+E26+E27+E28+E29+E30+E32+E33+E34</f>
        <v>11367.5</v>
      </c>
      <c r="F40" s="101">
        <f>+F13+F14+F15+F17+F19+F22+F23+F24+F25+F26+F27+F28+F29+F30+F32+F33+F34</f>
        <v>32224.35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F38"/>
  <sheetViews>
    <sheetView workbookViewId="0">
      <pane ySplit="11" topLeftCell="A12" activePane="bottomLeft" state="frozen"/>
      <selection pane="bottomLeft" activeCell="F29" sqref="F29"/>
    </sheetView>
  </sheetViews>
  <sheetFormatPr baseColWidth="10" defaultRowHeight="15" x14ac:dyDescent="0.25"/>
  <cols>
    <col min="1" max="1" width="3" style="30" customWidth="1"/>
    <col min="2" max="2" width="8" style="30" customWidth="1"/>
    <col min="3" max="3" width="42.140625" style="30" customWidth="1"/>
    <col min="4" max="4" width="13.5703125" style="30" customWidth="1"/>
    <col min="5" max="5" width="13.85546875" style="30" customWidth="1"/>
    <col min="6" max="16384" width="11.42578125" style="30"/>
  </cols>
  <sheetData>
    <row r="2" spans="2:6" ht="15.75" x14ac:dyDescent="0.25">
      <c r="B2" s="429" t="s">
        <v>407</v>
      </c>
      <c r="C2" s="429"/>
      <c r="D2" s="429"/>
      <c r="E2" s="429"/>
      <c r="F2" s="429"/>
    </row>
    <row r="3" spans="2:6" ht="15.75" x14ac:dyDescent="0.25">
      <c r="B3" s="429" t="s">
        <v>223</v>
      </c>
      <c r="C3" s="429"/>
      <c r="D3" s="429"/>
      <c r="E3" s="429"/>
      <c r="F3" s="429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284</v>
      </c>
      <c r="C5" s="427"/>
      <c r="D5" s="427"/>
      <c r="E5" s="427"/>
      <c r="F5" s="427"/>
    </row>
    <row r="6" spans="2:6" ht="15.75" x14ac:dyDescent="0.25">
      <c r="B6" s="144" t="s">
        <v>335</v>
      </c>
      <c r="C6" s="145"/>
      <c r="D6" s="145"/>
      <c r="E6" s="145"/>
      <c r="F6" s="145"/>
    </row>
    <row r="7" spans="2:6" ht="15.75" x14ac:dyDescent="0.25">
      <c r="B7" s="427" t="s">
        <v>226</v>
      </c>
      <c r="C7" s="427"/>
      <c r="D7" s="427"/>
      <c r="E7" s="427"/>
      <c r="F7" s="427"/>
    </row>
    <row r="8" spans="2:6" ht="15.75" x14ac:dyDescent="0.25">
      <c r="B8" s="429" t="s">
        <v>190</v>
      </c>
      <c r="C8" s="429"/>
      <c r="D8" s="429"/>
      <c r="E8" s="429"/>
      <c r="F8" s="429"/>
    </row>
    <row r="9" spans="2:6" x14ac:dyDescent="0.25">
      <c r="B9" s="31"/>
      <c r="C9" s="31"/>
      <c r="D9" s="31"/>
      <c r="E9" s="32"/>
      <c r="F9" s="31"/>
    </row>
    <row r="10" spans="2:6" x14ac:dyDescent="0.25">
      <c r="B10" s="425" t="s">
        <v>228</v>
      </c>
      <c r="C10" s="425" t="s">
        <v>229</v>
      </c>
      <c r="D10" s="97" t="s">
        <v>230</v>
      </c>
      <c r="E10" s="97" t="s">
        <v>231</v>
      </c>
      <c r="F10" s="425" t="s">
        <v>0</v>
      </c>
    </row>
    <row r="11" spans="2:6" ht="25.5" x14ac:dyDescent="0.25">
      <c r="B11" s="425"/>
      <c r="C11" s="425"/>
      <c r="D11" s="97" t="s">
        <v>232</v>
      </c>
      <c r="E11" s="354" t="s">
        <v>233</v>
      </c>
      <c r="F11" s="425"/>
    </row>
    <row r="12" spans="2:6" x14ac:dyDescent="0.25">
      <c r="B12" s="76">
        <v>51</v>
      </c>
      <c r="C12" s="105" t="s">
        <v>130</v>
      </c>
      <c r="D12" s="99">
        <f>SUM(D13+D16+D18)</f>
        <v>13518.25</v>
      </c>
      <c r="E12" s="99">
        <f>SUM(E13+E16+E18)</f>
        <v>16530.75</v>
      </c>
      <c r="F12" s="99">
        <f>SUM(F13+F16+F18)</f>
        <v>30049</v>
      </c>
    </row>
    <row r="13" spans="2:6" x14ac:dyDescent="0.25">
      <c r="B13" s="81">
        <v>511</v>
      </c>
      <c r="C13" s="113" t="s">
        <v>234</v>
      </c>
      <c r="D13" s="101">
        <f>SUM(D14:D15)</f>
        <v>11890</v>
      </c>
      <c r="E13" s="101">
        <f>SUM(E14:E15)</f>
        <v>14220</v>
      </c>
      <c r="F13" s="101">
        <f>SUM(F14:F15)</f>
        <v>26110</v>
      </c>
    </row>
    <row r="14" spans="2:6" x14ac:dyDescent="0.25">
      <c r="B14" s="84">
        <v>51101</v>
      </c>
      <c r="C14" s="102" t="s">
        <v>235</v>
      </c>
      <c r="D14" s="103">
        <v>10020</v>
      </c>
      <c r="E14" s="103">
        <v>14220</v>
      </c>
      <c r="F14" s="103">
        <f>SUM(D14:E14)</f>
        <v>24240</v>
      </c>
    </row>
    <row r="15" spans="2:6" x14ac:dyDescent="0.25">
      <c r="B15" s="84">
        <v>51103</v>
      </c>
      <c r="C15" s="104" t="s">
        <v>236</v>
      </c>
      <c r="D15" s="103">
        <v>1870</v>
      </c>
      <c r="E15" s="103">
        <v>0</v>
      </c>
      <c r="F15" s="103">
        <f>SUM(D15:E15)</f>
        <v>1870</v>
      </c>
    </row>
    <row r="16" spans="2:6" x14ac:dyDescent="0.25">
      <c r="B16" s="81">
        <v>514</v>
      </c>
      <c r="C16" s="105" t="s">
        <v>239</v>
      </c>
      <c r="D16" s="101">
        <f>SUM(D17)</f>
        <v>851.7</v>
      </c>
      <c r="E16" s="101">
        <f t="shared" ref="E16:F16" si="0">SUM(E17)</f>
        <v>1208.7</v>
      </c>
      <c r="F16" s="101">
        <f t="shared" si="0"/>
        <v>2060.4</v>
      </c>
    </row>
    <row r="17" spans="2:6" x14ac:dyDescent="0.25">
      <c r="B17" s="90">
        <v>51401</v>
      </c>
      <c r="C17" s="104" t="s">
        <v>240</v>
      </c>
      <c r="D17" s="103">
        <v>851.7</v>
      </c>
      <c r="E17" s="103">
        <v>1208.7</v>
      </c>
      <c r="F17" s="103">
        <f>SUM(D17:E17)</f>
        <v>2060.4</v>
      </c>
    </row>
    <row r="18" spans="2:6" x14ac:dyDescent="0.25">
      <c r="B18" s="81">
        <v>515</v>
      </c>
      <c r="C18" s="106" t="s">
        <v>241</v>
      </c>
      <c r="D18" s="101">
        <f>SUM(D19:D19)</f>
        <v>776.55</v>
      </c>
      <c r="E18" s="101">
        <f>SUM(E19:E19)</f>
        <v>1102.05</v>
      </c>
      <c r="F18" s="101">
        <f>SUM(F19:F19)</f>
        <v>1878.6</v>
      </c>
    </row>
    <row r="19" spans="2:6" x14ac:dyDescent="0.25">
      <c r="B19" s="90">
        <v>51501</v>
      </c>
      <c r="C19" s="104" t="s">
        <v>240</v>
      </c>
      <c r="D19" s="103">
        <v>776.55</v>
      </c>
      <c r="E19" s="103">
        <v>1102.05</v>
      </c>
      <c r="F19" s="103">
        <f>SUM(D19:E19)</f>
        <v>1878.6</v>
      </c>
    </row>
    <row r="20" spans="2:6" x14ac:dyDescent="0.25">
      <c r="B20" s="81">
        <v>54</v>
      </c>
      <c r="C20" s="106" t="s">
        <v>286</v>
      </c>
      <c r="D20" s="101">
        <f>SUM(D21+D27)</f>
        <v>4862.6900000000005</v>
      </c>
      <c r="E20" s="101">
        <f>SUM(E21+E27)</f>
        <v>0</v>
      </c>
      <c r="F20" s="101">
        <f>SUM(F21+F27)</f>
        <v>4862.6900000000005</v>
      </c>
    </row>
    <row r="21" spans="2:6" x14ac:dyDescent="0.25">
      <c r="B21" s="81">
        <v>541</v>
      </c>
      <c r="C21" s="106" t="s">
        <v>287</v>
      </c>
      <c r="D21" s="101">
        <f>SUM(D22:D26)</f>
        <v>3862.69</v>
      </c>
      <c r="E21" s="101">
        <f>SUM(E22:E26)</f>
        <v>0</v>
      </c>
      <c r="F21" s="101">
        <f>SUM(F22:F26)</f>
        <v>3862.69</v>
      </c>
    </row>
    <row r="22" spans="2:6" x14ac:dyDescent="0.25">
      <c r="B22" s="90">
        <v>54105</v>
      </c>
      <c r="C22" s="104" t="s">
        <v>249</v>
      </c>
      <c r="D22" s="103">
        <v>1196</v>
      </c>
      <c r="E22" s="103">
        <v>0</v>
      </c>
      <c r="F22" s="103">
        <f>SUM(D22:E22)</f>
        <v>1196</v>
      </c>
    </row>
    <row r="23" spans="2:6" x14ac:dyDescent="0.25">
      <c r="B23" s="90">
        <v>54114</v>
      </c>
      <c r="C23" s="104" t="s">
        <v>253</v>
      </c>
      <c r="D23" s="103">
        <v>66.69</v>
      </c>
      <c r="E23" s="103">
        <v>0</v>
      </c>
      <c r="F23" s="103">
        <f>SUM(D23:E23)</f>
        <v>66.69</v>
      </c>
    </row>
    <row r="24" spans="2:6" x14ac:dyDescent="0.25">
      <c r="B24" s="90">
        <v>54115</v>
      </c>
      <c r="C24" s="104" t="s">
        <v>254</v>
      </c>
      <c r="D24" s="103">
        <v>900</v>
      </c>
      <c r="E24" s="103">
        <v>0</v>
      </c>
      <c r="F24" s="103">
        <f>SUM(D24:E24)</f>
        <v>900</v>
      </c>
    </row>
    <row r="25" spans="2:6" x14ac:dyDescent="0.25">
      <c r="B25" s="90">
        <v>54118</v>
      </c>
      <c r="C25" s="104" t="s">
        <v>295</v>
      </c>
      <c r="D25" s="103">
        <v>400</v>
      </c>
      <c r="E25" s="103"/>
      <c r="F25" s="103">
        <f>SUM(D25:E25)</f>
        <v>400</v>
      </c>
    </row>
    <row r="26" spans="2:6" x14ac:dyDescent="0.25">
      <c r="B26" s="90">
        <v>54199</v>
      </c>
      <c r="C26" s="104" t="s">
        <v>256</v>
      </c>
      <c r="D26" s="103">
        <v>1300</v>
      </c>
      <c r="E26" s="103">
        <v>0</v>
      </c>
      <c r="F26" s="103">
        <f>SUM(D26:E26)</f>
        <v>1300</v>
      </c>
    </row>
    <row r="27" spans="2:6" x14ac:dyDescent="0.25">
      <c r="B27" s="81">
        <v>543</v>
      </c>
      <c r="C27" s="106" t="s">
        <v>257</v>
      </c>
      <c r="D27" s="101">
        <f>SUM(D28:D29)</f>
        <v>1000</v>
      </c>
      <c r="E27" s="101">
        <f>SUM(E28:E28)</f>
        <v>0</v>
      </c>
      <c r="F27" s="101">
        <f>SUM(F28:F29)</f>
        <v>1000</v>
      </c>
    </row>
    <row r="28" spans="2:6" x14ac:dyDescent="0.25">
      <c r="B28" s="90">
        <v>54301</v>
      </c>
      <c r="C28" s="104" t="s">
        <v>258</v>
      </c>
      <c r="D28" s="103">
        <v>400</v>
      </c>
      <c r="E28" s="103">
        <v>0</v>
      </c>
      <c r="F28" s="103">
        <f>SUM(D28:E28)</f>
        <v>400</v>
      </c>
    </row>
    <row r="29" spans="2:6" x14ac:dyDescent="0.25">
      <c r="B29" s="90">
        <v>54313</v>
      </c>
      <c r="C29" s="104" t="s">
        <v>261</v>
      </c>
      <c r="D29" s="103">
        <v>600</v>
      </c>
      <c r="E29" s="103">
        <v>0</v>
      </c>
      <c r="F29" s="103">
        <f>SUM(D29:E29)</f>
        <v>600</v>
      </c>
    </row>
    <row r="30" spans="2:6" x14ac:dyDescent="0.25">
      <c r="B30" s="81">
        <v>61</v>
      </c>
      <c r="C30" s="106" t="s">
        <v>280</v>
      </c>
      <c r="D30" s="101">
        <f>SUM(D31)</f>
        <v>800</v>
      </c>
      <c r="E30" s="101">
        <f t="shared" ref="E30:F30" si="1">SUM(E31)</f>
        <v>0</v>
      </c>
      <c r="F30" s="101">
        <f t="shared" si="1"/>
        <v>800</v>
      </c>
    </row>
    <row r="31" spans="2:6" x14ac:dyDescent="0.25">
      <c r="B31" s="81">
        <v>611</v>
      </c>
      <c r="C31" s="106" t="s">
        <v>281</v>
      </c>
      <c r="D31" s="101">
        <f>SUM(D32:D32)</f>
        <v>800</v>
      </c>
      <c r="E31" s="101">
        <f>SUM(E32:E32)</f>
        <v>0</v>
      </c>
      <c r="F31" s="101">
        <f>SUM(F32:F32)</f>
        <v>800</v>
      </c>
    </row>
    <row r="32" spans="2:6" x14ac:dyDescent="0.25">
      <c r="B32" s="90">
        <v>61104</v>
      </c>
      <c r="C32" s="104" t="s">
        <v>338</v>
      </c>
      <c r="D32" s="103">
        <v>800</v>
      </c>
      <c r="E32" s="103">
        <v>0</v>
      </c>
      <c r="F32" s="103">
        <f>SUM(D32:E32)</f>
        <v>800</v>
      </c>
    </row>
    <row r="33" spans="2:6" x14ac:dyDescent="0.25">
      <c r="B33" s="90"/>
      <c r="C33" s="104"/>
      <c r="D33" s="103"/>
      <c r="E33" s="103"/>
      <c r="F33" s="103"/>
    </row>
    <row r="34" spans="2:6" x14ac:dyDescent="0.25">
      <c r="B34" s="90"/>
      <c r="C34" s="106" t="s">
        <v>70</v>
      </c>
      <c r="D34" s="101">
        <f>SUM(D12+D20+D30)</f>
        <v>19180.940000000002</v>
      </c>
      <c r="E34" s="101">
        <f>SUM(E12+E20+E30)</f>
        <v>16530.75</v>
      </c>
      <c r="F34" s="101">
        <f>SUM(D34:E34)</f>
        <v>35711.69</v>
      </c>
    </row>
    <row r="35" spans="2:6" x14ac:dyDescent="0.25">
      <c r="B35" s="90"/>
      <c r="C35" s="104"/>
      <c r="D35" s="103"/>
      <c r="E35" s="103"/>
      <c r="F35" s="103"/>
    </row>
    <row r="36" spans="2:6" x14ac:dyDescent="0.25">
      <c r="B36" s="81"/>
      <c r="C36" s="106" t="s">
        <v>61</v>
      </c>
      <c r="D36" s="101">
        <f>SUM(D12+D20+D30)</f>
        <v>19180.940000000002</v>
      </c>
      <c r="E36" s="101">
        <f>SUM(E12+E20+E30)</f>
        <v>16530.75</v>
      </c>
      <c r="F36" s="101">
        <f>SUM(F12+F20+F30)</f>
        <v>35711.69</v>
      </c>
    </row>
    <row r="37" spans="2:6" x14ac:dyDescent="0.25">
      <c r="B37" s="81"/>
      <c r="C37" s="106" t="s">
        <v>62</v>
      </c>
      <c r="D37" s="101">
        <f>SUM(D13+D16+D18+D21+D27+D31)</f>
        <v>19180.939999999999</v>
      </c>
      <c r="E37" s="101">
        <f>SUM(E13+E16+E18+E21+E27+E31)</f>
        <v>16530.75</v>
      </c>
      <c r="F37" s="101">
        <f>SUM(F13+F16+F18+F21+F27+F31)</f>
        <v>35711.69</v>
      </c>
    </row>
    <row r="38" spans="2:6" x14ac:dyDescent="0.25">
      <c r="B38" s="81"/>
      <c r="C38" s="106" t="s">
        <v>63</v>
      </c>
      <c r="D38" s="101">
        <f>SUM(D14+D15+D17+D19+D22+D23+D24+D25+D26+D28+D29+D32)</f>
        <v>19180.940000000002</v>
      </c>
      <c r="E38" s="101">
        <f>SUM(E14+E15+E17+E19+E22+E23+E24+E25+E26+E28+E32)</f>
        <v>16530.75</v>
      </c>
      <c r="F38" s="101">
        <f>SUM(F14+F15+F17+F19+F22+F23+F24+F25+F26+F28+F29+F32)</f>
        <v>35711.69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F37"/>
  <sheetViews>
    <sheetView workbookViewId="0">
      <pane ySplit="11" topLeftCell="A21" activePane="bottomLeft" state="frozen"/>
      <selection pane="bottomLeft" activeCell="J25" sqref="J25"/>
    </sheetView>
  </sheetViews>
  <sheetFormatPr baseColWidth="10" defaultRowHeight="15" x14ac:dyDescent="0.25"/>
  <cols>
    <col min="1" max="1" width="2.85546875" style="30" customWidth="1"/>
    <col min="2" max="2" width="7.7109375" style="30" customWidth="1"/>
    <col min="3" max="3" width="42.28515625" style="30" customWidth="1"/>
    <col min="4" max="4" width="13.28515625" style="30" customWidth="1"/>
    <col min="5" max="5" width="15.7109375" style="30" customWidth="1"/>
    <col min="6" max="16384" width="11.42578125" style="30"/>
  </cols>
  <sheetData>
    <row r="2" spans="2:6" ht="15.75" x14ac:dyDescent="0.25">
      <c r="B2" s="429" t="s">
        <v>407</v>
      </c>
      <c r="C2" s="429"/>
      <c r="D2" s="429"/>
      <c r="E2" s="429"/>
      <c r="F2" s="429"/>
    </row>
    <row r="3" spans="2:6" ht="15.75" x14ac:dyDescent="0.25">
      <c r="B3" s="429" t="s">
        <v>223</v>
      </c>
      <c r="C3" s="429"/>
      <c r="D3" s="429"/>
      <c r="E3" s="429"/>
      <c r="F3" s="429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284</v>
      </c>
      <c r="C5" s="427"/>
      <c r="D5" s="427"/>
      <c r="E5" s="427"/>
      <c r="F5" s="427"/>
    </row>
    <row r="6" spans="2:6" ht="15.75" x14ac:dyDescent="0.25">
      <c r="B6" s="144" t="s">
        <v>335</v>
      </c>
      <c r="C6" s="145"/>
      <c r="D6" s="145"/>
      <c r="E6" s="145"/>
      <c r="F6" s="145"/>
    </row>
    <row r="7" spans="2:6" ht="15.75" x14ac:dyDescent="0.25">
      <c r="B7" s="427" t="s">
        <v>226</v>
      </c>
      <c r="C7" s="427"/>
      <c r="D7" s="427"/>
      <c r="E7" s="427"/>
      <c r="F7" s="427"/>
    </row>
    <row r="8" spans="2:6" ht="15.75" x14ac:dyDescent="0.25">
      <c r="B8" s="429" t="s">
        <v>339</v>
      </c>
      <c r="C8" s="429"/>
      <c r="D8" s="429"/>
      <c r="E8" s="429"/>
      <c r="F8" s="429"/>
    </row>
    <row r="9" spans="2:6" x14ac:dyDescent="0.25">
      <c r="B9" s="31"/>
      <c r="C9" s="31"/>
      <c r="D9" s="31"/>
      <c r="E9" s="32"/>
      <c r="F9" s="31"/>
    </row>
    <row r="10" spans="2:6" x14ac:dyDescent="0.25">
      <c r="B10" s="425" t="s">
        <v>228</v>
      </c>
      <c r="C10" s="425" t="s">
        <v>229</v>
      </c>
      <c r="D10" s="97" t="s">
        <v>230</v>
      </c>
      <c r="E10" s="97" t="s">
        <v>231</v>
      </c>
      <c r="F10" s="425" t="s">
        <v>0</v>
      </c>
    </row>
    <row r="11" spans="2:6" ht="25.5" x14ac:dyDescent="0.25">
      <c r="B11" s="425"/>
      <c r="C11" s="425"/>
      <c r="D11" s="97" t="s">
        <v>232</v>
      </c>
      <c r="E11" s="354" t="s">
        <v>233</v>
      </c>
      <c r="F11" s="425"/>
    </row>
    <row r="12" spans="2:6" x14ac:dyDescent="0.25">
      <c r="B12" s="76">
        <v>51</v>
      </c>
      <c r="C12" s="105" t="s">
        <v>130</v>
      </c>
      <c r="D12" s="99">
        <f>SUM(D13+D16+D18)</f>
        <v>6140.75</v>
      </c>
      <c r="E12" s="99">
        <f>SUM(E13+E16+E18)</f>
        <v>5370.75</v>
      </c>
      <c r="F12" s="99">
        <f>SUM(F13+F16+F18)</f>
        <v>11511.5</v>
      </c>
    </row>
    <row r="13" spans="2:6" x14ac:dyDescent="0.25">
      <c r="B13" s="81">
        <v>511</v>
      </c>
      <c r="C13" s="113" t="s">
        <v>234</v>
      </c>
      <c r="D13" s="101">
        <f>SUM(D14:D15)</f>
        <v>5390</v>
      </c>
      <c r="E13" s="101">
        <f>SUM(E14:E15)</f>
        <v>4620</v>
      </c>
      <c r="F13" s="101">
        <f>SUM(F14:F15)</f>
        <v>10010</v>
      </c>
    </row>
    <row r="14" spans="2:6" x14ac:dyDescent="0.25">
      <c r="B14" s="84">
        <v>51101</v>
      </c>
      <c r="C14" s="102" t="s">
        <v>235</v>
      </c>
      <c r="D14" s="103">
        <v>4620</v>
      </c>
      <c r="E14" s="103">
        <v>4620</v>
      </c>
      <c r="F14" s="103">
        <f>SUM(D14:E14)</f>
        <v>9240</v>
      </c>
    </row>
    <row r="15" spans="2:6" x14ac:dyDescent="0.25">
      <c r="B15" s="84">
        <v>51103</v>
      </c>
      <c r="C15" s="104" t="s">
        <v>236</v>
      </c>
      <c r="D15" s="103">
        <v>770</v>
      </c>
      <c r="E15" s="103">
        <v>0</v>
      </c>
      <c r="F15" s="103">
        <f>SUM(D15:E15)</f>
        <v>770</v>
      </c>
    </row>
    <row r="16" spans="2:6" x14ac:dyDescent="0.25">
      <c r="B16" s="81">
        <v>514</v>
      </c>
      <c r="C16" s="105" t="s">
        <v>239</v>
      </c>
      <c r="D16" s="101">
        <f>SUM(D17)</f>
        <v>392.7</v>
      </c>
      <c r="E16" s="101">
        <f t="shared" ref="E16:F16" si="0">SUM(E17)</f>
        <v>392.7</v>
      </c>
      <c r="F16" s="101">
        <f t="shared" si="0"/>
        <v>785.4</v>
      </c>
    </row>
    <row r="17" spans="2:6" x14ac:dyDescent="0.25">
      <c r="B17" s="90">
        <v>51401</v>
      </c>
      <c r="C17" s="104" t="s">
        <v>240</v>
      </c>
      <c r="D17" s="103">
        <v>392.7</v>
      </c>
      <c r="E17" s="103">
        <v>392.7</v>
      </c>
      <c r="F17" s="103">
        <f>SUM(D17:E17)</f>
        <v>785.4</v>
      </c>
    </row>
    <row r="18" spans="2:6" x14ac:dyDescent="0.25">
      <c r="B18" s="81">
        <v>515</v>
      </c>
      <c r="C18" s="106" t="s">
        <v>241</v>
      </c>
      <c r="D18" s="101">
        <f>SUM(D19:D19)</f>
        <v>358.05</v>
      </c>
      <c r="E18" s="101">
        <f>SUM(E19:E19)</f>
        <v>358.05</v>
      </c>
      <c r="F18" s="101">
        <f>SUM(F19:F19)</f>
        <v>716.1</v>
      </c>
    </row>
    <row r="19" spans="2:6" x14ac:dyDescent="0.25">
      <c r="B19" s="90">
        <v>51501</v>
      </c>
      <c r="C19" s="104" t="s">
        <v>240</v>
      </c>
      <c r="D19" s="103">
        <v>358.05</v>
      </c>
      <c r="E19" s="103">
        <v>358.05</v>
      </c>
      <c r="F19" s="103">
        <f>SUM(D19:E19)</f>
        <v>716.1</v>
      </c>
    </row>
    <row r="20" spans="2:6" x14ac:dyDescent="0.25">
      <c r="B20" s="81">
        <v>54</v>
      </c>
      <c r="C20" s="106" t="s">
        <v>286</v>
      </c>
      <c r="D20" s="101">
        <f>SUM(D21+D30)</f>
        <v>8349.43</v>
      </c>
      <c r="E20" s="101">
        <f>SUM(E21+E30)</f>
        <v>1524</v>
      </c>
      <c r="F20" s="101">
        <f>SUM(F21+F30)</f>
        <v>9873.43</v>
      </c>
    </row>
    <row r="21" spans="2:6" x14ac:dyDescent="0.25">
      <c r="B21" s="81">
        <v>541</v>
      </c>
      <c r="C21" s="106" t="s">
        <v>287</v>
      </c>
      <c r="D21" s="101">
        <f>SUM(D22:D29)</f>
        <v>4703.75</v>
      </c>
      <c r="E21" s="101">
        <f>SUM(E22:E29)</f>
        <v>1524</v>
      </c>
      <c r="F21" s="101">
        <f>SUM(F22:F29)</f>
        <v>6227.75</v>
      </c>
    </row>
    <row r="22" spans="2:6" x14ac:dyDescent="0.25">
      <c r="B22" s="90">
        <v>54105</v>
      </c>
      <c r="C22" s="104" t="s">
        <v>249</v>
      </c>
      <c r="D22" s="103">
        <v>161</v>
      </c>
      <c r="E22" s="103">
        <v>0</v>
      </c>
      <c r="F22" s="103">
        <f t="shared" ref="F22:F29" si="1">SUM(D22:E22)</f>
        <v>161</v>
      </c>
    </row>
    <row r="23" spans="2:6" x14ac:dyDescent="0.25">
      <c r="B23" s="90">
        <v>54106</v>
      </c>
      <c r="C23" s="104" t="s">
        <v>250</v>
      </c>
      <c r="D23" s="103">
        <v>15</v>
      </c>
      <c r="E23" s="103">
        <v>0</v>
      </c>
      <c r="F23" s="103">
        <f t="shared" si="1"/>
        <v>15</v>
      </c>
    </row>
    <row r="24" spans="2:6" x14ac:dyDescent="0.25">
      <c r="B24" s="90">
        <v>54107</v>
      </c>
      <c r="C24" s="104" t="s">
        <v>318</v>
      </c>
      <c r="D24" s="103">
        <v>86.4</v>
      </c>
      <c r="E24" s="103">
        <v>600</v>
      </c>
      <c r="F24" s="103">
        <f t="shared" si="1"/>
        <v>686.4</v>
      </c>
    </row>
    <row r="25" spans="2:6" x14ac:dyDescent="0.25">
      <c r="B25" s="90">
        <v>54111</v>
      </c>
      <c r="C25" s="104" t="s">
        <v>251</v>
      </c>
      <c r="D25" s="103">
        <v>433.6</v>
      </c>
      <c r="E25" s="103">
        <v>924</v>
      </c>
      <c r="F25" s="103">
        <f t="shared" si="1"/>
        <v>1357.6</v>
      </c>
    </row>
    <row r="26" spans="2:6" x14ac:dyDescent="0.25">
      <c r="B26" s="90">
        <v>54112</v>
      </c>
      <c r="C26" s="104" t="s">
        <v>342</v>
      </c>
      <c r="D26" s="103">
        <v>3803.2</v>
      </c>
      <c r="E26" s="103">
        <v>0</v>
      </c>
      <c r="F26" s="103">
        <f t="shared" si="1"/>
        <v>3803.2</v>
      </c>
    </row>
    <row r="27" spans="2:6" x14ac:dyDescent="0.25">
      <c r="B27" s="90">
        <v>54114</v>
      </c>
      <c r="C27" s="104" t="s">
        <v>253</v>
      </c>
      <c r="D27" s="103">
        <v>59.75</v>
      </c>
      <c r="E27" s="103">
        <v>0</v>
      </c>
      <c r="F27" s="103">
        <f t="shared" si="1"/>
        <v>59.75</v>
      </c>
    </row>
    <row r="28" spans="2:6" x14ac:dyDescent="0.25">
      <c r="B28" s="90">
        <v>54115</v>
      </c>
      <c r="C28" s="104" t="s">
        <v>254</v>
      </c>
      <c r="D28" s="103">
        <v>40</v>
      </c>
      <c r="E28" s="103">
        <v>0</v>
      </c>
      <c r="F28" s="103">
        <f t="shared" si="1"/>
        <v>40</v>
      </c>
    </row>
    <row r="29" spans="2:6" x14ac:dyDescent="0.25">
      <c r="B29" s="90">
        <v>54118</v>
      </c>
      <c r="C29" s="104" t="s">
        <v>295</v>
      </c>
      <c r="D29" s="103">
        <v>104.8</v>
      </c>
      <c r="E29" s="103">
        <v>0</v>
      </c>
      <c r="F29" s="103">
        <f t="shared" si="1"/>
        <v>104.8</v>
      </c>
    </row>
    <row r="30" spans="2:6" x14ac:dyDescent="0.25">
      <c r="B30" s="81">
        <v>543</v>
      </c>
      <c r="C30" s="106" t="s">
        <v>257</v>
      </c>
      <c r="D30" s="101">
        <f>SUM(D31:D31)</f>
        <v>3645.68</v>
      </c>
      <c r="E30" s="101">
        <f>SUM(E31:E31)</f>
        <v>0</v>
      </c>
      <c r="F30" s="101">
        <f>SUM(F31:F31)</f>
        <v>3645.68</v>
      </c>
    </row>
    <row r="31" spans="2:6" x14ac:dyDescent="0.25">
      <c r="B31" s="90">
        <v>54303</v>
      </c>
      <c r="C31" s="104" t="s">
        <v>259</v>
      </c>
      <c r="D31" s="103">
        <v>3645.68</v>
      </c>
      <c r="E31" s="103">
        <v>0</v>
      </c>
      <c r="F31" s="103">
        <f>SUM(D31:E31)</f>
        <v>3645.68</v>
      </c>
    </row>
    <row r="32" spans="2:6" x14ac:dyDescent="0.25">
      <c r="B32" s="90"/>
      <c r="C32" s="104"/>
      <c r="D32" s="103"/>
      <c r="E32" s="103"/>
      <c r="F32" s="103"/>
    </row>
    <row r="33" spans="2:6" x14ac:dyDescent="0.25">
      <c r="B33" s="90"/>
      <c r="C33" s="106" t="s">
        <v>70</v>
      </c>
      <c r="D33" s="101">
        <f>SUM(D12+D20)</f>
        <v>14490.18</v>
      </c>
      <c r="E33" s="101">
        <f>SUM(E12+E20)</f>
        <v>6894.75</v>
      </c>
      <c r="F33" s="101">
        <f>SUM(D33:E33)</f>
        <v>21384.93</v>
      </c>
    </row>
    <row r="34" spans="2:6" x14ac:dyDescent="0.25">
      <c r="B34" s="90"/>
      <c r="C34" s="104"/>
      <c r="D34" s="103"/>
      <c r="E34" s="103"/>
      <c r="F34" s="103"/>
    </row>
    <row r="35" spans="2:6" x14ac:dyDescent="0.25">
      <c r="B35" s="81"/>
      <c r="C35" s="106" t="s">
        <v>61</v>
      </c>
      <c r="D35" s="101">
        <f>SUM(D12+D20)</f>
        <v>14490.18</v>
      </c>
      <c r="E35" s="101">
        <f>SUM(E12+E20)</f>
        <v>6894.75</v>
      </c>
      <c r="F35" s="101">
        <f>SUM(F12+F20)</f>
        <v>21384.93</v>
      </c>
    </row>
    <row r="36" spans="2:6" x14ac:dyDescent="0.25">
      <c r="B36" s="81"/>
      <c r="C36" s="106" t="s">
        <v>62</v>
      </c>
      <c r="D36" s="101">
        <f>SUM(D13+D16+D18+D21+D30)</f>
        <v>14490.18</v>
      </c>
      <c r="E36" s="101">
        <f>SUM(E13+E16+E18+E21+E30)</f>
        <v>6894.75</v>
      </c>
      <c r="F36" s="101">
        <f>SUM(F13+F16+F18+F21+F30)</f>
        <v>21384.93</v>
      </c>
    </row>
    <row r="37" spans="2:6" x14ac:dyDescent="0.25">
      <c r="B37" s="81"/>
      <c r="C37" s="106" t="s">
        <v>63</v>
      </c>
      <c r="D37" s="101">
        <f>SUM(D14+D15+D17+D19+D22+D23+D24+D25+D26+D27+D28+D29+D31)</f>
        <v>14490.18</v>
      </c>
      <c r="E37" s="101">
        <f>SUM(E14+E15+E17+E19+E22+E23+E24+E25+E27+E28+E29+E31)</f>
        <v>6894.75</v>
      </c>
      <c r="F37" s="101">
        <f>SUM(F14+F15+F17+F19+F22+F23+F24+F25+F27+F28+F29+F31)</f>
        <v>17581.73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F47"/>
  <sheetViews>
    <sheetView workbookViewId="0">
      <pane ySplit="11" topLeftCell="A12" activePane="bottomLeft" state="frozen"/>
      <selection pane="bottomLeft" activeCell="C24" sqref="C24"/>
    </sheetView>
  </sheetViews>
  <sheetFormatPr baseColWidth="10" defaultRowHeight="15" x14ac:dyDescent="0.25"/>
  <cols>
    <col min="1" max="1" width="4.28515625" style="30" customWidth="1"/>
    <col min="2" max="2" width="8.5703125" style="30" customWidth="1"/>
    <col min="3" max="3" width="42.85546875" style="30" customWidth="1"/>
    <col min="4" max="4" width="13.42578125" style="30" customWidth="1"/>
    <col min="5" max="5" width="16" style="30" customWidth="1"/>
    <col min="6" max="16384" width="11.42578125" style="30"/>
  </cols>
  <sheetData>
    <row r="2" spans="2:6" ht="15.75" x14ac:dyDescent="0.25">
      <c r="B2" s="426" t="s">
        <v>407</v>
      </c>
      <c r="C2" s="426"/>
      <c r="D2" s="426"/>
      <c r="E2" s="426"/>
      <c r="F2" s="426"/>
    </row>
    <row r="3" spans="2:6" ht="15.75" x14ac:dyDescent="0.25">
      <c r="B3" s="426" t="s">
        <v>223</v>
      </c>
      <c r="C3" s="426"/>
      <c r="D3" s="426"/>
      <c r="E3" s="426"/>
      <c r="F3" s="426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284</v>
      </c>
      <c r="C5" s="427"/>
      <c r="D5" s="427"/>
      <c r="E5" s="427"/>
      <c r="F5" s="427"/>
    </row>
    <row r="6" spans="2:6" ht="15.75" x14ac:dyDescent="0.25">
      <c r="B6" s="144" t="s">
        <v>335</v>
      </c>
      <c r="C6" s="145"/>
      <c r="D6" s="145"/>
      <c r="E6" s="145"/>
      <c r="F6" s="145"/>
    </row>
    <row r="7" spans="2:6" ht="15.75" x14ac:dyDescent="0.25">
      <c r="B7" s="427" t="s">
        <v>226</v>
      </c>
      <c r="C7" s="427"/>
      <c r="D7" s="427"/>
      <c r="E7" s="427"/>
      <c r="F7" s="427"/>
    </row>
    <row r="8" spans="2:6" ht="15.75" x14ac:dyDescent="0.25">
      <c r="B8" s="429" t="s">
        <v>341</v>
      </c>
      <c r="C8" s="429"/>
      <c r="D8" s="429"/>
      <c r="E8" s="429"/>
      <c r="F8" s="429"/>
    </row>
    <row r="9" spans="2:6" x14ac:dyDescent="0.25">
      <c r="B9" s="31"/>
      <c r="C9" s="31"/>
      <c r="D9" s="31"/>
      <c r="E9" s="32"/>
      <c r="F9" s="31"/>
    </row>
    <row r="10" spans="2:6" x14ac:dyDescent="0.25">
      <c r="B10" s="425" t="s">
        <v>228</v>
      </c>
      <c r="C10" s="425" t="s">
        <v>229</v>
      </c>
      <c r="D10" s="97" t="s">
        <v>230</v>
      </c>
      <c r="E10" s="97" t="s">
        <v>231</v>
      </c>
      <c r="F10" s="425" t="s">
        <v>0</v>
      </c>
    </row>
    <row r="11" spans="2:6" ht="25.5" x14ac:dyDescent="0.25">
      <c r="B11" s="425"/>
      <c r="C11" s="425"/>
      <c r="D11" s="97" t="s">
        <v>232</v>
      </c>
      <c r="E11" s="354" t="s">
        <v>233</v>
      </c>
      <c r="F11" s="425"/>
    </row>
    <row r="12" spans="2:6" x14ac:dyDescent="0.25">
      <c r="B12" s="76">
        <v>51</v>
      </c>
      <c r="C12" s="105" t="s">
        <v>130</v>
      </c>
      <c r="D12" s="99">
        <f>SUM(D13+D16+D18)</f>
        <v>28180</v>
      </c>
      <c r="E12" s="99">
        <f>SUM(E13+E16+E18)</f>
        <v>20506.5</v>
      </c>
      <c r="F12" s="99">
        <f>SUM(F13+F16+F18)</f>
        <v>48686.5</v>
      </c>
    </row>
    <row r="13" spans="2:6" x14ac:dyDescent="0.25">
      <c r="B13" s="81">
        <v>511</v>
      </c>
      <c r="C13" s="113" t="s">
        <v>234</v>
      </c>
      <c r="D13" s="101">
        <f>SUM(D14:D15)</f>
        <v>24670</v>
      </c>
      <c r="E13" s="101">
        <f>SUM(E14:E15)</f>
        <v>17640</v>
      </c>
      <c r="F13" s="101">
        <f>SUM(F14:F15)</f>
        <v>42310</v>
      </c>
    </row>
    <row r="14" spans="2:6" x14ac:dyDescent="0.25">
      <c r="B14" s="84">
        <v>51101</v>
      </c>
      <c r="C14" s="102" t="s">
        <v>235</v>
      </c>
      <c r="D14" s="103">
        <v>21600</v>
      </c>
      <c r="E14" s="103">
        <v>17640</v>
      </c>
      <c r="F14" s="103">
        <f>SUM(D14:E14)</f>
        <v>39240</v>
      </c>
    </row>
    <row r="15" spans="2:6" x14ac:dyDescent="0.25">
      <c r="B15" s="84">
        <v>51103</v>
      </c>
      <c r="C15" s="104" t="s">
        <v>236</v>
      </c>
      <c r="D15" s="103">
        <v>3070</v>
      </c>
      <c r="E15" s="103">
        <v>0</v>
      </c>
      <c r="F15" s="103">
        <f>SUM(D15:E15)</f>
        <v>3070</v>
      </c>
    </row>
    <row r="16" spans="2:6" x14ac:dyDescent="0.25">
      <c r="B16" s="81">
        <v>514</v>
      </c>
      <c r="C16" s="105" t="s">
        <v>239</v>
      </c>
      <c r="D16" s="101">
        <f>SUM(D17)</f>
        <v>1836</v>
      </c>
      <c r="E16" s="101">
        <f t="shared" ref="E16:F16" si="0">SUM(E17)</f>
        <v>1499.4</v>
      </c>
      <c r="F16" s="101">
        <f t="shared" si="0"/>
        <v>3335.4</v>
      </c>
    </row>
    <row r="17" spans="2:6" x14ac:dyDescent="0.25">
      <c r="B17" s="90">
        <v>51401</v>
      </c>
      <c r="C17" s="104" t="s">
        <v>240</v>
      </c>
      <c r="D17" s="103">
        <v>1836</v>
      </c>
      <c r="E17" s="103">
        <v>1499.4</v>
      </c>
      <c r="F17" s="103">
        <f>SUM(D17:E17)</f>
        <v>3335.4</v>
      </c>
    </row>
    <row r="18" spans="2:6" x14ac:dyDescent="0.25">
      <c r="B18" s="81">
        <v>515</v>
      </c>
      <c r="C18" s="106" t="s">
        <v>241</v>
      </c>
      <c r="D18" s="101">
        <f>SUM(D19:D19)</f>
        <v>1674</v>
      </c>
      <c r="E18" s="101">
        <f>SUM(E19:E19)</f>
        <v>1367.1</v>
      </c>
      <c r="F18" s="101">
        <f>SUM(F19:F19)</f>
        <v>3041.1</v>
      </c>
    </row>
    <row r="19" spans="2:6" x14ac:dyDescent="0.25">
      <c r="B19" s="90">
        <v>51501</v>
      </c>
      <c r="C19" s="104" t="s">
        <v>240</v>
      </c>
      <c r="D19" s="103">
        <v>1674</v>
      </c>
      <c r="E19" s="103">
        <v>1367.1</v>
      </c>
      <c r="F19" s="103">
        <f>SUM(D19:E19)</f>
        <v>3041.1</v>
      </c>
    </row>
    <row r="20" spans="2:6" x14ac:dyDescent="0.25">
      <c r="B20" s="81">
        <v>54</v>
      </c>
      <c r="C20" s="106" t="s">
        <v>286</v>
      </c>
      <c r="D20" s="101">
        <f>SUM(D21+D30+D34)</f>
        <v>8250</v>
      </c>
      <c r="E20" s="101">
        <f>SUM(E21+E30+E34)</f>
        <v>32500</v>
      </c>
      <c r="F20" s="101">
        <f>SUM(F21+F30+F34)</f>
        <v>40750</v>
      </c>
    </row>
    <row r="21" spans="2:6" x14ac:dyDescent="0.25">
      <c r="B21" s="81">
        <v>541</v>
      </c>
      <c r="C21" s="106" t="s">
        <v>287</v>
      </c>
      <c r="D21" s="101">
        <f>SUM(D22:D29)</f>
        <v>1500</v>
      </c>
      <c r="E21" s="101">
        <f>SUM(E22:E29)</f>
        <v>12100</v>
      </c>
      <c r="F21" s="101">
        <f>SUM(F22:F29)</f>
        <v>13600</v>
      </c>
    </row>
    <row r="22" spans="2:6" x14ac:dyDescent="0.25">
      <c r="B22" s="90">
        <v>54105</v>
      </c>
      <c r="C22" s="104" t="s">
        <v>249</v>
      </c>
      <c r="D22" s="103">
        <v>150</v>
      </c>
      <c r="E22" s="103">
        <v>0</v>
      </c>
      <c r="F22" s="103">
        <f>SUM(D22:E22)</f>
        <v>150</v>
      </c>
    </row>
    <row r="23" spans="2:6" x14ac:dyDescent="0.25">
      <c r="B23" s="90">
        <v>54111</v>
      </c>
      <c r="C23" s="104" t="s">
        <v>251</v>
      </c>
      <c r="D23" s="103">
        <v>300</v>
      </c>
      <c r="E23" s="103">
        <v>3000</v>
      </c>
      <c r="F23" s="103">
        <f t="shared" ref="F23:F29" si="1">SUM(D23:E23)</f>
        <v>3300</v>
      </c>
    </row>
    <row r="24" spans="2:6" x14ac:dyDescent="0.25">
      <c r="B24" s="90">
        <v>54112</v>
      </c>
      <c r="C24" s="104" t="s">
        <v>342</v>
      </c>
      <c r="D24" s="103">
        <v>250</v>
      </c>
      <c r="E24" s="103">
        <v>4200</v>
      </c>
      <c r="F24" s="103">
        <f t="shared" si="1"/>
        <v>4450</v>
      </c>
    </row>
    <row r="25" spans="2:6" x14ac:dyDescent="0.25">
      <c r="B25" s="90">
        <v>54114</v>
      </c>
      <c r="C25" s="104" t="s">
        <v>253</v>
      </c>
      <c r="D25" s="103">
        <v>50</v>
      </c>
      <c r="E25" s="103"/>
      <c r="F25" s="103">
        <f t="shared" si="1"/>
        <v>50</v>
      </c>
    </row>
    <row r="26" spans="2:6" x14ac:dyDescent="0.25">
      <c r="B26" s="90">
        <v>54115</v>
      </c>
      <c r="C26" s="104" t="s">
        <v>254</v>
      </c>
      <c r="D26" s="103">
        <v>150</v>
      </c>
      <c r="E26" s="103"/>
      <c r="F26" s="103">
        <f t="shared" si="1"/>
        <v>150</v>
      </c>
    </row>
    <row r="27" spans="2:6" x14ac:dyDescent="0.25">
      <c r="B27" s="90">
        <v>54118</v>
      </c>
      <c r="C27" s="104" t="s">
        <v>295</v>
      </c>
      <c r="D27" s="112">
        <v>400</v>
      </c>
      <c r="E27" s="103">
        <v>2300</v>
      </c>
      <c r="F27" s="103">
        <f t="shared" si="1"/>
        <v>2700</v>
      </c>
    </row>
    <row r="28" spans="2:6" x14ac:dyDescent="0.25">
      <c r="B28" s="90">
        <v>54119</v>
      </c>
      <c r="C28" s="104" t="s">
        <v>255</v>
      </c>
      <c r="D28" s="103">
        <v>100</v>
      </c>
      <c r="E28" s="103">
        <v>2000</v>
      </c>
      <c r="F28" s="103">
        <f t="shared" si="1"/>
        <v>2100</v>
      </c>
    </row>
    <row r="29" spans="2:6" x14ac:dyDescent="0.25">
      <c r="B29" s="90">
        <v>54199</v>
      </c>
      <c r="C29" s="104" t="s">
        <v>256</v>
      </c>
      <c r="D29" s="103">
        <v>100</v>
      </c>
      <c r="E29" s="103">
        <v>600</v>
      </c>
      <c r="F29" s="103">
        <f t="shared" si="1"/>
        <v>700</v>
      </c>
    </row>
    <row r="30" spans="2:6" x14ac:dyDescent="0.25">
      <c r="B30" s="81">
        <v>542</v>
      </c>
      <c r="C30" s="106" t="s">
        <v>337</v>
      </c>
      <c r="D30" s="101">
        <f>SUM(D31:D33)</f>
        <v>0</v>
      </c>
      <c r="E30" s="101">
        <f>SUM(E31:E33)</f>
        <v>14100</v>
      </c>
      <c r="F30" s="101">
        <f>SUM(F31:F33)</f>
        <v>14100</v>
      </c>
    </row>
    <row r="31" spans="2:6" x14ac:dyDescent="0.25">
      <c r="B31" s="90">
        <v>54201</v>
      </c>
      <c r="C31" s="104" t="s">
        <v>343</v>
      </c>
      <c r="D31" s="103">
        <v>0</v>
      </c>
      <c r="E31" s="103">
        <v>6100</v>
      </c>
      <c r="F31" s="103">
        <f>SUM(D31:E31)</f>
        <v>6100</v>
      </c>
    </row>
    <row r="32" spans="2:6" x14ac:dyDescent="0.25">
      <c r="B32" s="90">
        <v>54202</v>
      </c>
      <c r="C32" s="104" t="s">
        <v>344</v>
      </c>
      <c r="D32" s="103">
        <v>0</v>
      </c>
      <c r="E32" s="103">
        <v>5000</v>
      </c>
      <c r="F32" s="103">
        <f>SUM(D32:E32)</f>
        <v>5000</v>
      </c>
    </row>
    <row r="33" spans="2:6" x14ac:dyDescent="0.25">
      <c r="B33" s="90">
        <v>54203</v>
      </c>
      <c r="C33" s="104" t="s">
        <v>345</v>
      </c>
      <c r="D33" s="103">
        <v>0</v>
      </c>
      <c r="E33" s="103">
        <v>3000</v>
      </c>
      <c r="F33" s="103">
        <f>SUM(D33:E33)</f>
        <v>3000</v>
      </c>
    </row>
    <row r="34" spans="2:6" x14ac:dyDescent="0.25">
      <c r="B34" s="81">
        <v>543</v>
      </c>
      <c r="C34" s="106" t="s">
        <v>257</v>
      </c>
      <c r="D34" s="101">
        <f>SUM(D35:D38)</f>
        <v>6750</v>
      </c>
      <c r="E34" s="101">
        <f>SUM(E35:E38)</f>
        <v>6300</v>
      </c>
      <c r="F34" s="101">
        <f>SUM(F35:F38)</f>
        <v>13050</v>
      </c>
    </row>
    <row r="35" spans="2:6" x14ac:dyDescent="0.25">
      <c r="B35" s="90">
        <v>54301</v>
      </c>
      <c r="C35" s="104" t="s">
        <v>258</v>
      </c>
      <c r="D35" s="103">
        <v>1000</v>
      </c>
      <c r="E35" s="103">
        <v>2000</v>
      </c>
      <c r="F35" s="103">
        <f>SUM(D35:E35)</f>
        <v>3000</v>
      </c>
    </row>
    <row r="36" spans="2:6" x14ac:dyDescent="0.25">
      <c r="B36" s="90">
        <v>54303</v>
      </c>
      <c r="C36" s="104" t="s">
        <v>346</v>
      </c>
      <c r="D36" s="112">
        <v>5000</v>
      </c>
      <c r="E36" s="103">
        <v>2500</v>
      </c>
      <c r="F36" s="103">
        <f>SUM(D36:E36)</f>
        <v>7500</v>
      </c>
    </row>
    <row r="37" spans="2:6" x14ac:dyDescent="0.25">
      <c r="B37" s="90">
        <v>54316</v>
      </c>
      <c r="C37" s="104" t="s">
        <v>347</v>
      </c>
      <c r="D37" s="112">
        <v>350</v>
      </c>
      <c r="E37" s="103">
        <v>1800</v>
      </c>
      <c r="F37" s="103">
        <f>SUM(D37:E37)</f>
        <v>2150</v>
      </c>
    </row>
    <row r="38" spans="2:6" x14ac:dyDescent="0.25">
      <c r="B38" s="90">
        <v>54399</v>
      </c>
      <c r="C38" s="104" t="s">
        <v>263</v>
      </c>
      <c r="D38" s="112">
        <v>400</v>
      </c>
      <c r="E38" s="103">
        <v>0</v>
      </c>
      <c r="F38" s="103">
        <f>SUM(D38:E38)</f>
        <v>400</v>
      </c>
    </row>
    <row r="39" spans="2:6" x14ac:dyDescent="0.25">
      <c r="B39" s="81">
        <v>61</v>
      </c>
      <c r="C39" s="106" t="s">
        <v>280</v>
      </c>
      <c r="D39" s="101">
        <f>SUM(D40)</f>
        <v>450</v>
      </c>
      <c r="E39" s="101">
        <f t="shared" ref="E39:F39" si="2">SUM(E40)</f>
        <v>0</v>
      </c>
      <c r="F39" s="101">
        <f t="shared" si="2"/>
        <v>450</v>
      </c>
    </row>
    <row r="40" spans="2:6" x14ac:dyDescent="0.25">
      <c r="B40" s="81">
        <v>611</v>
      </c>
      <c r="C40" s="106" t="s">
        <v>281</v>
      </c>
      <c r="D40" s="101">
        <f>SUM(D41:D41)</f>
        <v>450</v>
      </c>
      <c r="E40" s="101">
        <f>SUM(E41:E41)</f>
        <v>0</v>
      </c>
      <c r="F40" s="101">
        <f>SUM(F41:F41)</f>
        <v>450</v>
      </c>
    </row>
    <row r="41" spans="2:6" x14ac:dyDescent="0.25">
      <c r="B41" s="90">
        <v>61101</v>
      </c>
      <c r="C41" s="104" t="s">
        <v>282</v>
      </c>
      <c r="D41" s="103">
        <v>450</v>
      </c>
      <c r="E41" s="103">
        <v>0</v>
      </c>
      <c r="F41" s="103">
        <f>SUM(D41:E41)</f>
        <v>450</v>
      </c>
    </row>
    <row r="42" spans="2:6" x14ac:dyDescent="0.25">
      <c r="B42" s="90"/>
      <c r="C42" s="104"/>
      <c r="D42" s="103"/>
      <c r="E42" s="103"/>
      <c r="F42" s="103"/>
    </row>
    <row r="43" spans="2:6" x14ac:dyDescent="0.25">
      <c r="B43" s="90"/>
      <c r="C43" s="106" t="s">
        <v>70</v>
      </c>
      <c r="D43" s="101">
        <f>SUM(D12+D20+D39)</f>
        <v>36880</v>
      </c>
      <c r="E43" s="101">
        <f>SUM(E12+E20)</f>
        <v>53006.5</v>
      </c>
      <c r="F43" s="101">
        <f>SUM(D43:E43)</f>
        <v>89886.5</v>
      </c>
    </row>
    <row r="44" spans="2:6" x14ac:dyDescent="0.25">
      <c r="B44" s="90"/>
      <c r="C44" s="104"/>
      <c r="D44" s="103"/>
      <c r="E44" s="103"/>
      <c r="F44" s="103"/>
    </row>
    <row r="45" spans="2:6" x14ac:dyDescent="0.25">
      <c r="B45" s="81"/>
      <c r="C45" s="106" t="s">
        <v>61</v>
      </c>
      <c r="D45" s="101">
        <f>SUM(D12+D20+D39)</f>
        <v>36880</v>
      </c>
      <c r="E45" s="101">
        <f>SUM(E12+E20+E39)</f>
        <v>53006.5</v>
      </c>
      <c r="F45" s="101">
        <f>SUM(F12+F20+F39)</f>
        <v>89886.5</v>
      </c>
    </row>
    <row r="46" spans="2:6" x14ac:dyDescent="0.25">
      <c r="B46" s="81"/>
      <c r="C46" s="106" t="s">
        <v>62</v>
      </c>
      <c r="D46" s="101">
        <f>SUM(D13+D16+D18+D21+D30+D34+D40)</f>
        <v>36880</v>
      </c>
      <c r="E46" s="101">
        <f>SUM(E13+E16+E18+E21+E30+E34+E40)</f>
        <v>53006.5</v>
      </c>
      <c r="F46" s="101">
        <f>SUM(F13+F16+F18+F21+F30+F34+F40)</f>
        <v>89886.5</v>
      </c>
    </row>
    <row r="47" spans="2:6" x14ac:dyDescent="0.25">
      <c r="B47" s="81"/>
      <c r="C47" s="106" t="s">
        <v>63</v>
      </c>
      <c r="D47" s="101">
        <f>SUM(D14+D15+D17+D19+D22+D23+D24+D25+D26+D27+D28+D29+D31+D32+D33+D35+D36+D37+D38+D41)</f>
        <v>36880</v>
      </c>
      <c r="E47" s="101">
        <f>SUM(E14+E15+E17+E19+E22+E23+E24+E25+E26+E27+E28+E29+E31+E32+E33+E35+E36+E37+E38+E41)</f>
        <v>53006.5</v>
      </c>
      <c r="F47" s="101">
        <f>SUM(F14+F15+F17+F19+F22+F23+F24+F25+F26+F27+F28+F29+F31+F32+F33+F35+F36+F37+F38+F41)</f>
        <v>89886.5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F45"/>
  <sheetViews>
    <sheetView workbookViewId="0">
      <pane ySplit="11" topLeftCell="A12" activePane="bottomLeft" state="frozen"/>
      <selection pane="bottomLeft" activeCell="I33" sqref="I33"/>
    </sheetView>
  </sheetViews>
  <sheetFormatPr baseColWidth="10" defaultRowHeight="15" x14ac:dyDescent="0.25"/>
  <cols>
    <col min="1" max="1" width="2.5703125" style="30" customWidth="1"/>
    <col min="2" max="2" width="8.85546875" style="30" customWidth="1"/>
    <col min="3" max="3" width="42.7109375" style="30" customWidth="1"/>
    <col min="4" max="4" width="12.5703125" style="30" customWidth="1"/>
    <col min="5" max="5" width="16.42578125" style="30" customWidth="1"/>
    <col min="6" max="6" width="13.7109375" style="30" customWidth="1"/>
    <col min="7" max="16384" width="11.42578125" style="30"/>
  </cols>
  <sheetData>
    <row r="2" spans="2:6" ht="15.75" x14ac:dyDescent="0.25">
      <c r="B2" s="429" t="s">
        <v>407</v>
      </c>
      <c r="C2" s="429"/>
      <c r="D2" s="429"/>
      <c r="E2" s="429"/>
      <c r="F2" s="429"/>
    </row>
    <row r="3" spans="2:6" ht="15.75" x14ac:dyDescent="0.25">
      <c r="B3" s="429" t="s">
        <v>223</v>
      </c>
      <c r="C3" s="429"/>
      <c r="D3" s="429"/>
      <c r="E3" s="429"/>
      <c r="F3" s="429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284</v>
      </c>
      <c r="C5" s="427"/>
      <c r="D5" s="427"/>
      <c r="E5" s="427"/>
      <c r="F5" s="427"/>
    </row>
    <row r="6" spans="2:6" ht="15.75" x14ac:dyDescent="0.25">
      <c r="B6" s="144" t="s">
        <v>285</v>
      </c>
      <c r="C6" s="145"/>
      <c r="D6" s="145"/>
      <c r="E6" s="145"/>
      <c r="F6" s="145"/>
    </row>
    <row r="7" spans="2:6" ht="15.75" x14ac:dyDescent="0.25">
      <c r="B7" s="427" t="s">
        <v>226</v>
      </c>
      <c r="C7" s="427"/>
      <c r="D7" s="427"/>
      <c r="E7" s="427"/>
      <c r="F7" s="427"/>
    </row>
    <row r="8" spans="2:6" ht="15.75" x14ac:dyDescent="0.25">
      <c r="B8" s="429" t="s">
        <v>348</v>
      </c>
      <c r="C8" s="429"/>
      <c r="D8" s="429"/>
      <c r="E8" s="429"/>
      <c r="F8" s="429"/>
    </row>
    <row r="9" spans="2:6" x14ac:dyDescent="0.25">
      <c r="B9" s="31"/>
      <c r="C9" s="31"/>
      <c r="D9" s="31"/>
      <c r="E9" s="32"/>
      <c r="F9" s="31"/>
    </row>
    <row r="10" spans="2:6" x14ac:dyDescent="0.25">
      <c r="B10" s="425" t="s">
        <v>228</v>
      </c>
      <c r="C10" s="458" t="s">
        <v>229</v>
      </c>
      <c r="D10" s="243" t="s">
        <v>230</v>
      </c>
      <c r="E10" s="243" t="s">
        <v>231</v>
      </c>
      <c r="F10" s="458" t="s">
        <v>0</v>
      </c>
    </row>
    <row r="11" spans="2:6" ht="25.5" x14ac:dyDescent="0.25">
      <c r="B11" s="425"/>
      <c r="C11" s="458"/>
      <c r="D11" s="243" t="s">
        <v>232</v>
      </c>
      <c r="E11" s="355" t="s">
        <v>233</v>
      </c>
      <c r="F11" s="458"/>
    </row>
    <row r="12" spans="2:6" x14ac:dyDescent="0.25">
      <c r="B12" s="76">
        <v>51</v>
      </c>
      <c r="C12" s="98" t="s">
        <v>130</v>
      </c>
      <c r="D12" s="244">
        <f>SUM(D13+D16+D18)</f>
        <v>25677.43</v>
      </c>
      <c r="E12" s="244">
        <f>SUM(E13+E16+E18)</f>
        <v>11944.68</v>
      </c>
      <c r="F12" s="244">
        <f>SUM(F13+F16+F18)</f>
        <v>37622.11</v>
      </c>
    </row>
    <row r="13" spans="2:6" x14ac:dyDescent="0.25">
      <c r="B13" s="81">
        <v>511</v>
      </c>
      <c r="C13" s="100" t="s">
        <v>234</v>
      </c>
      <c r="D13" s="109">
        <f>SUM(D14:D15)</f>
        <v>22375</v>
      </c>
      <c r="E13" s="109">
        <f>SUM(E14:E15)</f>
        <v>10275</v>
      </c>
      <c r="F13" s="109">
        <f>SUM(F14:F15)</f>
        <v>32650</v>
      </c>
    </row>
    <row r="14" spans="2:6" x14ac:dyDescent="0.25">
      <c r="B14" s="84">
        <v>51101</v>
      </c>
      <c r="C14" s="245" t="s">
        <v>235</v>
      </c>
      <c r="D14" s="112">
        <v>20325</v>
      </c>
      <c r="E14" s="112">
        <v>10275</v>
      </c>
      <c r="F14" s="112">
        <f>SUM(D14:E14)</f>
        <v>30600</v>
      </c>
    </row>
    <row r="15" spans="2:6" x14ac:dyDescent="0.25">
      <c r="B15" s="84">
        <v>51103</v>
      </c>
      <c r="C15" s="111" t="s">
        <v>236</v>
      </c>
      <c r="D15" s="112">
        <v>2050</v>
      </c>
      <c r="E15" s="112">
        <v>0</v>
      </c>
      <c r="F15" s="112">
        <f>SUM(D15:D15)</f>
        <v>2050</v>
      </c>
    </row>
    <row r="16" spans="2:6" x14ac:dyDescent="0.25">
      <c r="B16" s="81">
        <v>514</v>
      </c>
      <c r="C16" s="98" t="s">
        <v>239</v>
      </c>
      <c r="D16" s="109">
        <f>SUM(D17)</f>
        <v>1727.63</v>
      </c>
      <c r="E16" s="109">
        <f t="shared" ref="E16:F16" si="0">SUM(E17)</f>
        <v>873.37</v>
      </c>
      <c r="F16" s="109">
        <f t="shared" si="0"/>
        <v>2601</v>
      </c>
    </row>
    <row r="17" spans="2:6" x14ac:dyDescent="0.25">
      <c r="B17" s="90">
        <v>51401</v>
      </c>
      <c r="C17" s="111" t="s">
        <v>240</v>
      </c>
      <c r="D17" s="112">
        <v>1727.63</v>
      </c>
      <c r="E17" s="112">
        <v>873.37</v>
      </c>
      <c r="F17" s="112">
        <f>SUM(D17:E17)</f>
        <v>2601</v>
      </c>
    </row>
    <row r="18" spans="2:6" x14ac:dyDescent="0.25">
      <c r="B18" s="81">
        <v>515</v>
      </c>
      <c r="C18" s="108" t="s">
        <v>241</v>
      </c>
      <c r="D18" s="109">
        <f>SUM(D19:D19)</f>
        <v>1574.8</v>
      </c>
      <c r="E18" s="109">
        <f>SUM(E19:E19)</f>
        <v>796.31</v>
      </c>
      <c r="F18" s="109">
        <f>SUM(F19:F19)</f>
        <v>2371.1099999999997</v>
      </c>
    </row>
    <row r="19" spans="2:6" x14ac:dyDescent="0.25">
      <c r="B19" s="90">
        <v>51501</v>
      </c>
      <c r="C19" s="111" t="s">
        <v>240</v>
      </c>
      <c r="D19" s="112">
        <v>1574.8</v>
      </c>
      <c r="E19" s="112">
        <v>796.31</v>
      </c>
      <c r="F19" s="112">
        <f>SUM(D19:E19)</f>
        <v>2371.1099999999997</v>
      </c>
    </row>
    <row r="20" spans="2:6" x14ac:dyDescent="0.25">
      <c r="B20" s="81">
        <v>54</v>
      </c>
      <c r="C20" s="108" t="s">
        <v>286</v>
      </c>
      <c r="D20" s="109">
        <f>SUM(D21+D31)</f>
        <v>16279.91</v>
      </c>
      <c r="E20" s="109">
        <f>SUM(E21+E31)</f>
        <v>32227.19</v>
      </c>
      <c r="F20" s="109">
        <f>SUM(F21+F31)</f>
        <v>48507.1</v>
      </c>
    </row>
    <row r="21" spans="2:6" x14ac:dyDescent="0.25">
      <c r="B21" s="81">
        <v>541</v>
      </c>
      <c r="C21" s="108" t="s">
        <v>287</v>
      </c>
      <c r="D21" s="109">
        <f>SUM(D22:D30)</f>
        <v>13479.91</v>
      </c>
      <c r="E21" s="109">
        <f>SUM(E22:E30)</f>
        <v>26727.19</v>
      </c>
      <c r="F21" s="109">
        <f>SUM(F22:F30)</f>
        <v>40207.1</v>
      </c>
    </row>
    <row r="22" spans="2:6" x14ac:dyDescent="0.25">
      <c r="B22" s="90">
        <v>54105</v>
      </c>
      <c r="C22" s="111" t="s">
        <v>249</v>
      </c>
      <c r="D22" s="112">
        <v>504.91</v>
      </c>
      <c r="E22" s="112">
        <v>0</v>
      </c>
      <c r="F22" s="112">
        <f>SUM(D22:E22)</f>
        <v>504.91</v>
      </c>
    </row>
    <row r="23" spans="2:6" x14ac:dyDescent="0.25">
      <c r="B23" s="90">
        <v>54109</v>
      </c>
      <c r="C23" s="111" t="s">
        <v>294</v>
      </c>
      <c r="D23" s="112">
        <v>2000</v>
      </c>
      <c r="E23" s="112">
        <v>3500</v>
      </c>
      <c r="F23" s="112">
        <f t="shared" ref="F23:F30" si="1">SUM(D23:E23)</f>
        <v>5500</v>
      </c>
    </row>
    <row r="24" spans="2:6" x14ac:dyDescent="0.25">
      <c r="B24" s="90">
        <v>54110</v>
      </c>
      <c r="C24" s="111" t="s">
        <v>333</v>
      </c>
      <c r="D24" s="112">
        <v>3000</v>
      </c>
      <c r="E24" s="112">
        <v>4877.1899999999996</v>
      </c>
      <c r="F24" s="112">
        <f t="shared" si="1"/>
        <v>7877.19</v>
      </c>
    </row>
    <row r="25" spans="2:6" x14ac:dyDescent="0.25">
      <c r="B25" s="90">
        <v>54111</v>
      </c>
      <c r="C25" s="111" t="s">
        <v>334</v>
      </c>
      <c r="D25" s="112">
        <v>3000</v>
      </c>
      <c r="E25" s="112">
        <v>7000</v>
      </c>
      <c r="F25" s="112">
        <f t="shared" si="1"/>
        <v>10000</v>
      </c>
    </row>
    <row r="26" spans="2:6" x14ac:dyDescent="0.25">
      <c r="B26" s="90">
        <v>54112</v>
      </c>
      <c r="C26" s="111" t="s">
        <v>340</v>
      </c>
      <c r="D26" s="112">
        <v>3000</v>
      </c>
      <c r="E26" s="112">
        <v>7000</v>
      </c>
      <c r="F26" s="112">
        <f t="shared" si="1"/>
        <v>10000</v>
      </c>
    </row>
    <row r="27" spans="2:6" x14ac:dyDescent="0.25">
      <c r="B27" s="90">
        <v>54114</v>
      </c>
      <c r="C27" s="111" t="s">
        <v>253</v>
      </c>
      <c r="D27" s="112">
        <v>550</v>
      </c>
      <c r="E27" s="112">
        <v>0</v>
      </c>
      <c r="F27" s="112">
        <f t="shared" si="1"/>
        <v>550</v>
      </c>
    </row>
    <row r="28" spans="2:6" x14ac:dyDescent="0.25">
      <c r="B28" s="90">
        <v>54115</v>
      </c>
      <c r="C28" s="111" t="s">
        <v>254</v>
      </c>
      <c r="D28" s="112">
        <v>675</v>
      </c>
      <c r="E28" s="112">
        <v>0</v>
      </c>
      <c r="F28" s="112">
        <f t="shared" si="1"/>
        <v>675</v>
      </c>
    </row>
    <row r="29" spans="2:6" x14ac:dyDescent="0.25">
      <c r="B29" s="90">
        <v>54118</v>
      </c>
      <c r="C29" s="111" t="s">
        <v>295</v>
      </c>
      <c r="D29" s="246">
        <v>500</v>
      </c>
      <c r="E29" s="112">
        <v>4000</v>
      </c>
      <c r="F29" s="112">
        <f t="shared" si="1"/>
        <v>4500</v>
      </c>
    </row>
    <row r="30" spans="2:6" x14ac:dyDescent="0.25">
      <c r="B30" s="90">
        <v>54199</v>
      </c>
      <c r="C30" s="111" t="s">
        <v>256</v>
      </c>
      <c r="D30" s="112">
        <v>250</v>
      </c>
      <c r="E30" s="112">
        <v>350</v>
      </c>
      <c r="F30" s="112">
        <f t="shared" si="1"/>
        <v>600</v>
      </c>
    </row>
    <row r="31" spans="2:6" x14ac:dyDescent="0.25">
      <c r="B31" s="81">
        <v>543</v>
      </c>
      <c r="C31" s="108" t="s">
        <v>257</v>
      </c>
      <c r="D31" s="109">
        <f>SUM(D32:D33)</f>
        <v>2800</v>
      </c>
      <c r="E31" s="109">
        <f>SUM(E32:E33)</f>
        <v>5500</v>
      </c>
      <c r="F31" s="109">
        <f>SUM(F32:F33)</f>
        <v>8300</v>
      </c>
    </row>
    <row r="32" spans="2:6" x14ac:dyDescent="0.25">
      <c r="B32" s="90">
        <v>54301</v>
      </c>
      <c r="C32" s="111" t="s">
        <v>258</v>
      </c>
      <c r="D32" s="112">
        <v>800</v>
      </c>
      <c r="E32" s="112">
        <v>0</v>
      </c>
      <c r="F32" s="112">
        <f>SUM(D32:E32)</f>
        <v>800</v>
      </c>
    </row>
    <row r="33" spans="2:6" x14ac:dyDescent="0.25">
      <c r="B33" s="90">
        <v>54302</v>
      </c>
      <c r="C33" s="111" t="s">
        <v>349</v>
      </c>
      <c r="D33" s="112">
        <v>2000</v>
      </c>
      <c r="E33" s="112">
        <v>5500</v>
      </c>
      <c r="F33" s="112">
        <f>SUM(D33:E33)</f>
        <v>7500</v>
      </c>
    </row>
    <row r="34" spans="2:6" x14ac:dyDescent="0.25">
      <c r="B34" s="81">
        <v>61</v>
      </c>
      <c r="C34" s="108" t="s">
        <v>280</v>
      </c>
      <c r="D34" s="109">
        <f>SUM(D35)</f>
        <v>1000</v>
      </c>
      <c r="E34" s="109">
        <f t="shared" ref="E34:F34" si="2">SUM(E35)</f>
        <v>0</v>
      </c>
      <c r="F34" s="109">
        <f t="shared" si="2"/>
        <v>1000</v>
      </c>
    </row>
    <row r="35" spans="2:6" x14ac:dyDescent="0.25">
      <c r="B35" s="81">
        <v>611</v>
      </c>
      <c r="C35" s="108" t="s">
        <v>281</v>
      </c>
      <c r="D35" s="109">
        <f>SUM(D36:D36)</f>
        <v>1000</v>
      </c>
      <c r="E35" s="109">
        <f>SUM(E36:E36)</f>
        <v>0</v>
      </c>
      <c r="F35" s="109">
        <f>SUM(F36:F36)</f>
        <v>1000</v>
      </c>
    </row>
    <row r="36" spans="2:6" x14ac:dyDescent="0.25">
      <c r="B36" s="90">
        <v>61104</v>
      </c>
      <c r="C36" s="111" t="s">
        <v>338</v>
      </c>
      <c r="D36" s="112">
        <v>1000</v>
      </c>
      <c r="E36" s="112"/>
      <c r="F36" s="112">
        <f>SUM(D36:E36)</f>
        <v>1000</v>
      </c>
    </row>
    <row r="37" spans="2:6" x14ac:dyDescent="0.25">
      <c r="B37" s="90"/>
      <c r="C37" s="111"/>
      <c r="D37" s="112"/>
      <c r="E37" s="112"/>
      <c r="F37" s="112"/>
    </row>
    <row r="38" spans="2:6" x14ac:dyDescent="0.25">
      <c r="B38" s="90"/>
      <c r="C38" s="108" t="s">
        <v>70</v>
      </c>
      <c r="D38" s="109">
        <f>SUM(D12+D20+D34)</f>
        <v>42957.34</v>
      </c>
      <c r="E38" s="109">
        <f>SUM(E12+E20+E34)</f>
        <v>44171.869999999995</v>
      </c>
      <c r="F38" s="109">
        <f>SUM(D38:E38)</f>
        <v>87129.209999999992</v>
      </c>
    </row>
    <row r="39" spans="2:6" x14ac:dyDescent="0.25">
      <c r="B39" s="90"/>
      <c r="C39" s="111"/>
      <c r="D39" s="112"/>
      <c r="E39" s="112"/>
      <c r="F39" s="112"/>
    </row>
    <row r="40" spans="2:6" x14ac:dyDescent="0.25">
      <c r="B40" s="81"/>
      <c r="C40" s="108" t="s">
        <v>61</v>
      </c>
      <c r="D40" s="109">
        <f>SUM(D12+D20+D34)</f>
        <v>42957.34</v>
      </c>
      <c r="E40" s="109">
        <f>SUM(E12+E20+E34)</f>
        <v>44171.869999999995</v>
      </c>
      <c r="F40" s="109">
        <f>SUM(F12+F20+F34)</f>
        <v>87129.209999999992</v>
      </c>
    </row>
    <row r="41" spans="2:6" x14ac:dyDescent="0.25">
      <c r="B41" s="81"/>
      <c r="C41" s="108" t="s">
        <v>62</v>
      </c>
      <c r="D41" s="109">
        <f>SUM(D13+D16+D18+D21+D31+D35)</f>
        <v>42957.34</v>
      </c>
      <c r="E41" s="109">
        <f>SUM(E13+E16+E18+E21+E31+E35)</f>
        <v>44171.869999999995</v>
      </c>
      <c r="F41" s="109">
        <f>SUM(F13+F16+F18+F21+F31+F35)</f>
        <v>87129.209999999992</v>
      </c>
    </row>
    <row r="42" spans="2:6" x14ac:dyDescent="0.25">
      <c r="B42" s="81"/>
      <c r="C42" s="108" t="s">
        <v>63</v>
      </c>
      <c r="D42" s="109">
        <f>SUM(D14+D15+D17+D19+D22+D23+D24+D25+D26+D27+D28+D29+D30+D32+D33+D36)</f>
        <v>42957.34</v>
      </c>
      <c r="E42" s="109">
        <f>SUM(E14+E15+E17+E19+E22+E23+E24+E25+E26+E27+E28+E29+E30+E32+E33+E36)</f>
        <v>44171.869999999995</v>
      </c>
      <c r="F42" s="109">
        <f>SUM(F14+F15+F17+F19+F22+F23+F24+F25+F26+F27+F28+F29+F30+F32+F33+F36)</f>
        <v>87129.21</v>
      </c>
    </row>
    <row r="43" spans="2:6" x14ac:dyDescent="0.25">
      <c r="C43" s="42"/>
      <c r="D43" s="42"/>
      <c r="E43" s="42"/>
      <c r="F43" s="42"/>
    </row>
    <row r="44" spans="2:6" x14ac:dyDescent="0.25">
      <c r="C44" s="42"/>
      <c r="D44" s="42"/>
      <c r="E44" s="42"/>
      <c r="F44" s="42"/>
    </row>
    <row r="45" spans="2:6" x14ac:dyDescent="0.25">
      <c r="C45" s="42"/>
      <c r="D45" s="42"/>
      <c r="E45" s="42"/>
      <c r="F45" s="42"/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F37"/>
  <sheetViews>
    <sheetView workbookViewId="0">
      <pane ySplit="11" topLeftCell="A12" activePane="bottomLeft" state="frozen"/>
      <selection pane="bottomLeft" activeCell="H17" sqref="H17"/>
    </sheetView>
  </sheetViews>
  <sheetFormatPr baseColWidth="10" defaultRowHeight="15" x14ac:dyDescent="0.25"/>
  <cols>
    <col min="1" max="1" width="3.140625" style="30" customWidth="1"/>
    <col min="2" max="2" width="8.5703125" style="30" customWidth="1"/>
    <col min="3" max="3" width="43" style="30" customWidth="1"/>
    <col min="4" max="4" width="13.28515625" style="30" customWidth="1"/>
    <col min="5" max="5" width="16.140625" style="30" customWidth="1"/>
    <col min="6" max="6" width="13.140625" style="30" customWidth="1"/>
    <col min="7" max="16384" width="11.42578125" style="30"/>
  </cols>
  <sheetData>
    <row r="2" spans="2:6" ht="15.75" x14ac:dyDescent="0.25">
      <c r="B2" s="426" t="s">
        <v>407</v>
      </c>
      <c r="C2" s="426"/>
      <c r="D2" s="426"/>
      <c r="E2" s="426"/>
      <c r="F2" s="426"/>
    </row>
    <row r="3" spans="2:6" ht="15.75" x14ac:dyDescent="0.25">
      <c r="B3" s="426" t="s">
        <v>223</v>
      </c>
      <c r="C3" s="426"/>
      <c r="D3" s="426"/>
      <c r="E3" s="426"/>
      <c r="F3" s="426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284</v>
      </c>
      <c r="C5" s="427"/>
      <c r="D5" s="427"/>
      <c r="E5" s="427"/>
      <c r="F5" s="427"/>
    </row>
    <row r="6" spans="2:6" ht="15.75" x14ac:dyDescent="0.25">
      <c r="B6" s="144" t="s">
        <v>335</v>
      </c>
      <c r="C6" s="145"/>
      <c r="D6" s="145"/>
      <c r="E6" s="145"/>
      <c r="F6" s="145"/>
    </row>
    <row r="7" spans="2:6" ht="15.75" x14ac:dyDescent="0.25">
      <c r="B7" s="427" t="s">
        <v>226</v>
      </c>
      <c r="C7" s="427"/>
      <c r="D7" s="427"/>
      <c r="E7" s="427"/>
      <c r="F7" s="427"/>
    </row>
    <row r="8" spans="2:6" ht="15.75" x14ac:dyDescent="0.25">
      <c r="B8" s="429" t="s">
        <v>192</v>
      </c>
      <c r="C8" s="429"/>
      <c r="D8" s="429"/>
      <c r="E8" s="429"/>
      <c r="F8" s="429"/>
    </row>
    <row r="9" spans="2:6" x14ac:dyDescent="0.25">
      <c r="B9" s="31"/>
      <c r="C9" s="31"/>
      <c r="D9" s="31"/>
      <c r="E9" s="32"/>
      <c r="F9" s="31"/>
    </row>
    <row r="10" spans="2:6" x14ac:dyDescent="0.25">
      <c r="B10" s="425" t="s">
        <v>228</v>
      </c>
      <c r="C10" s="425" t="s">
        <v>229</v>
      </c>
      <c r="D10" s="97" t="s">
        <v>230</v>
      </c>
      <c r="E10" s="97" t="s">
        <v>231</v>
      </c>
      <c r="F10" s="425" t="s">
        <v>0</v>
      </c>
    </row>
    <row r="11" spans="2:6" ht="25.5" x14ac:dyDescent="0.25">
      <c r="B11" s="425"/>
      <c r="C11" s="425"/>
      <c r="D11" s="97" t="s">
        <v>232</v>
      </c>
      <c r="E11" s="354" t="s">
        <v>233</v>
      </c>
      <c r="F11" s="425"/>
    </row>
    <row r="12" spans="2:6" x14ac:dyDescent="0.25">
      <c r="B12" s="76">
        <v>51</v>
      </c>
      <c r="C12" s="105" t="s">
        <v>130</v>
      </c>
      <c r="D12" s="99">
        <f>SUM(D13+D16+D18)</f>
        <v>3937.5</v>
      </c>
      <c r="E12" s="99">
        <f>SUM(E13+E16+E18)</f>
        <v>3487.5</v>
      </c>
      <c r="F12" s="99">
        <f>SUM(F13+F16+F18)</f>
        <v>7425</v>
      </c>
    </row>
    <row r="13" spans="2:6" x14ac:dyDescent="0.25">
      <c r="B13" s="81">
        <v>511</v>
      </c>
      <c r="C13" s="113" t="s">
        <v>234</v>
      </c>
      <c r="D13" s="101">
        <f>SUM(D14:D15)</f>
        <v>3450</v>
      </c>
      <c r="E13" s="101">
        <f>SUM(E14:E15)</f>
        <v>3000</v>
      </c>
      <c r="F13" s="101">
        <f>SUM(F14:F15)</f>
        <v>6450</v>
      </c>
    </row>
    <row r="14" spans="2:6" x14ac:dyDescent="0.25">
      <c r="B14" s="84">
        <v>51101</v>
      </c>
      <c r="C14" s="102" t="s">
        <v>235</v>
      </c>
      <c r="D14" s="103">
        <v>3000</v>
      </c>
      <c r="E14" s="103">
        <v>3000</v>
      </c>
      <c r="F14" s="103">
        <f>SUM(D14:E14)</f>
        <v>6000</v>
      </c>
    </row>
    <row r="15" spans="2:6" x14ac:dyDescent="0.25">
      <c r="B15" s="84">
        <v>51103</v>
      </c>
      <c r="C15" s="104" t="s">
        <v>236</v>
      </c>
      <c r="D15" s="103">
        <v>450</v>
      </c>
      <c r="E15" s="103">
        <v>0</v>
      </c>
      <c r="F15" s="103">
        <f>SUM(D15:E15)</f>
        <v>450</v>
      </c>
    </row>
    <row r="16" spans="2:6" x14ac:dyDescent="0.25">
      <c r="B16" s="81">
        <v>514</v>
      </c>
      <c r="C16" s="105" t="s">
        <v>239</v>
      </c>
      <c r="D16" s="101">
        <f>SUM(D17)</f>
        <v>255</v>
      </c>
      <c r="E16" s="101">
        <f t="shared" ref="E16:F16" si="0">SUM(E17)</f>
        <v>255</v>
      </c>
      <c r="F16" s="101">
        <f t="shared" si="0"/>
        <v>510</v>
      </c>
    </row>
    <row r="17" spans="2:6" x14ac:dyDescent="0.25">
      <c r="B17" s="90">
        <v>51401</v>
      </c>
      <c r="C17" s="104" t="s">
        <v>240</v>
      </c>
      <c r="D17" s="103">
        <v>255</v>
      </c>
      <c r="E17" s="103">
        <v>255</v>
      </c>
      <c r="F17" s="103">
        <f>SUM(D17:E17)</f>
        <v>510</v>
      </c>
    </row>
    <row r="18" spans="2:6" x14ac:dyDescent="0.25">
      <c r="B18" s="81">
        <v>515</v>
      </c>
      <c r="C18" s="106" t="s">
        <v>241</v>
      </c>
      <c r="D18" s="101">
        <f>SUM(D19:D19)</f>
        <v>232.5</v>
      </c>
      <c r="E18" s="101">
        <f>SUM(E19:E19)</f>
        <v>232.5</v>
      </c>
      <c r="F18" s="101">
        <f>SUM(F19:F19)</f>
        <v>465</v>
      </c>
    </row>
    <row r="19" spans="2:6" x14ac:dyDescent="0.25">
      <c r="B19" s="90">
        <v>51501</v>
      </c>
      <c r="C19" s="104" t="s">
        <v>240</v>
      </c>
      <c r="D19" s="103">
        <v>232.5</v>
      </c>
      <c r="E19" s="103">
        <v>232.5</v>
      </c>
      <c r="F19" s="103">
        <f>SUM(D19:E19)</f>
        <v>465</v>
      </c>
    </row>
    <row r="20" spans="2:6" x14ac:dyDescent="0.25">
      <c r="B20" s="81">
        <v>54</v>
      </c>
      <c r="C20" s="106" t="s">
        <v>286</v>
      </c>
      <c r="D20" s="101">
        <f>SUM(D21+D27)</f>
        <v>471.46000000000004</v>
      </c>
      <c r="E20" s="101">
        <f>SUM(E21)</f>
        <v>0</v>
      </c>
      <c r="F20" s="101">
        <f>SUM(F21+F27)</f>
        <v>471.46000000000004</v>
      </c>
    </row>
    <row r="21" spans="2:6" x14ac:dyDescent="0.25">
      <c r="B21" s="81">
        <v>541</v>
      </c>
      <c r="C21" s="106" t="s">
        <v>287</v>
      </c>
      <c r="D21" s="101">
        <f>SUM(D22:D26)</f>
        <v>399.46000000000004</v>
      </c>
      <c r="E21" s="101">
        <f>SUM(E22:E26)</f>
        <v>0</v>
      </c>
      <c r="F21" s="101">
        <f>SUM(F22:F26)</f>
        <v>399.46000000000004</v>
      </c>
    </row>
    <row r="22" spans="2:6" x14ac:dyDescent="0.25">
      <c r="B22" s="90">
        <v>54101</v>
      </c>
      <c r="C22" s="104" t="s">
        <v>292</v>
      </c>
      <c r="D22" s="103">
        <v>100</v>
      </c>
      <c r="E22" s="103">
        <v>0</v>
      </c>
      <c r="F22" s="103">
        <f>SUM(D22:E22)</f>
        <v>100</v>
      </c>
    </row>
    <row r="23" spans="2:6" x14ac:dyDescent="0.25">
      <c r="B23" s="90">
        <v>54105</v>
      </c>
      <c r="C23" s="104" t="s">
        <v>249</v>
      </c>
      <c r="D23" s="103">
        <v>143.02000000000001</v>
      </c>
      <c r="E23" s="103">
        <v>0</v>
      </c>
      <c r="F23" s="103">
        <f>SUM(D23:E23)</f>
        <v>143.02000000000001</v>
      </c>
    </row>
    <row r="24" spans="2:6" x14ac:dyDescent="0.25">
      <c r="B24" s="90">
        <v>54114</v>
      </c>
      <c r="C24" s="104" t="s">
        <v>253</v>
      </c>
      <c r="D24" s="103">
        <v>34.44</v>
      </c>
      <c r="E24" s="103">
        <v>0</v>
      </c>
      <c r="F24" s="103">
        <f>SUM(D24:E24)</f>
        <v>34.44</v>
      </c>
    </row>
    <row r="25" spans="2:6" x14ac:dyDescent="0.25">
      <c r="B25" s="90">
        <v>54115</v>
      </c>
      <c r="C25" s="104" t="s">
        <v>254</v>
      </c>
      <c r="D25" s="103">
        <v>110</v>
      </c>
      <c r="E25" s="103">
        <v>0</v>
      </c>
      <c r="F25" s="103">
        <f>SUM(D25:E25)</f>
        <v>110</v>
      </c>
    </row>
    <row r="26" spans="2:6" x14ac:dyDescent="0.25">
      <c r="B26" s="110">
        <v>54199</v>
      </c>
      <c r="C26" s="111" t="s">
        <v>256</v>
      </c>
      <c r="D26" s="112">
        <v>12</v>
      </c>
      <c r="E26" s="112">
        <v>0</v>
      </c>
      <c r="F26" s="112">
        <v>12</v>
      </c>
    </row>
    <row r="27" spans="2:6" x14ac:dyDescent="0.25">
      <c r="B27" s="81">
        <v>543</v>
      </c>
      <c r="C27" s="106" t="s">
        <v>257</v>
      </c>
      <c r="D27" s="101">
        <f>SUM(D28)</f>
        <v>72</v>
      </c>
      <c r="E27" s="101">
        <f>SUM(E28)</f>
        <v>0</v>
      </c>
      <c r="F27" s="101">
        <f>SUM(F28)</f>
        <v>72</v>
      </c>
    </row>
    <row r="28" spans="2:6" x14ac:dyDescent="0.25">
      <c r="B28" s="110">
        <v>54313</v>
      </c>
      <c r="C28" s="111" t="s">
        <v>261</v>
      </c>
      <c r="D28" s="112">
        <v>72</v>
      </c>
      <c r="E28" s="112">
        <v>0</v>
      </c>
      <c r="F28" s="112">
        <f>SUM(D28:E28)</f>
        <v>72</v>
      </c>
    </row>
    <row r="29" spans="2:6" x14ac:dyDescent="0.25">
      <c r="B29" s="81">
        <v>61</v>
      </c>
      <c r="C29" s="106" t="s">
        <v>350</v>
      </c>
      <c r="D29" s="101">
        <f>+D30</f>
        <v>100</v>
      </c>
      <c r="E29" s="101">
        <v>0</v>
      </c>
      <c r="F29" s="101">
        <f>+F30</f>
        <v>100</v>
      </c>
    </row>
    <row r="30" spans="2:6" x14ac:dyDescent="0.25">
      <c r="B30" s="81">
        <v>611</v>
      </c>
      <c r="C30" s="106" t="s">
        <v>310</v>
      </c>
      <c r="D30" s="101">
        <f>+D31</f>
        <v>100</v>
      </c>
      <c r="E30" s="101">
        <v>0</v>
      </c>
      <c r="F30" s="101">
        <f>SUM(F31)</f>
        <v>100</v>
      </c>
    </row>
    <row r="31" spans="2:6" x14ac:dyDescent="0.25">
      <c r="B31" s="90">
        <v>61104</v>
      </c>
      <c r="C31" s="104" t="s">
        <v>351</v>
      </c>
      <c r="D31" s="103">
        <v>100</v>
      </c>
      <c r="E31" s="103">
        <v>0</v>
      </c>
      <c r="F31" s="103">
        <f>SUM(D31:E31)</f>
        <v>100</v>
      </c>
    </row>
    <row r="32" spans="2:6" x14ac:dyDescent="0.25">
      <c r="B32" s="90"/>
      <c r="C32" s="104"/>
      <c r="D32" s="103"/>
      <c r="E32" s="103"/>
      <c r="F32" s="103"/>
    </row>
    <row r="33" spans="2:6" x14ac:dyDescent="0.25">
      <c r="B33" s="90"/>
      <c r="C33" s="106" t="s">
        <v>70</v>
      </c>
      <c r="D33" s="101">
        <f>SUM(D12+D20+D29)</f>
        <v>4508.96</v>
      </c>
      <c r="E33" s="101">
        <f>SUM(E12+E20+E29)</f>
        <v>3487.5</v>
      </c>
      <c r="F33" s="101">
        <f>SUM(D33:E33)</f>
        <v>7996.46</v>
      </c>
    </row>
    <row r="34" spans="2:6" x14ac:dyDescent="0.25">
      <c r="B34" s="90"/>
      <c r="C34" s="104"/>
      <c r="D34" s="103"/>
      <c r="E34" s="103"/>
      <c r="F34" s="103"/>
    </row>
    <row r="35" spans="2:6" x14ac:dyDescent="0.25">
      <c r="B35" s="81"/>
      <c r="C35" s="106" t="s">
        <v>61</v>
      </c>
      <c r="D35" s="101">
        <f>SUM(D12+D20+D29)</f>
        <v>4508.96</v>
      </c>
      <c r="E35" s="101">
        <f>SUM(E12+E20+E29)</f>
        <v>3487.5</v>
      </c>
      <c r="F35" s="101">
        <f>SUM(F12+F20+F29)</f>
        <v>7996.46</v>
      </c>
    </row>
    <row r="36" spans="2:6" x14ac:dyDescent="0.25">
      <c r="B36" s="81"/>
      <c r="C36" s="106" t="s">
        <v>62</v>
      </c>
      <c r="D36" s="101">
        <f>SUM(D13+D16+D18+D21+D27+D30)</f>
        <v>4508.96</v>
      </c>
      <c r="E36" s="101">
        <f>SUM(E13+E16+E18+E21+E30)</f>
        <v>3487.5</v>
      </c>
      <c r="F36" s="101">
        <f>SUM(F13+F16+F18+F21+F27+F30)</f>
        <v>7996.46</v>
      </c>
    </row>
    <row r="37" spans="2:6" x14ac:dyDescent="0.25">
      <c r="B37" s="81"/>
      <c r="C37" s="106" t="s">
        <v>63</v>
      </c>
      <c r="D37" s="101">
        <f>SUM(D14+D15+D17+D19+D22+D23+D24+D25+D26+D28+D31)</f>
        <v>4508.96</v>
      </c>
      <c r="E37" s="101">
        <f>SUM(E14+E15+E17+E19+E22+E23+E24+E25+E31)</f>
        <v>3487.5</v>
      </c>
      <c r="F37" s="101">
        <f>SUM(F14+F15+F17+F19+F22+F23+F24+F25+F26+F28+F31)</f>
        <v>7996.46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F40"/>
  <sheetViews>
    <sheetView workbookViewId="0">
      <pane ySplit="11" topLeftCell="A12" activePane="bottomLeft" state="frozen"/>
      <selection pane="bottomLeft" activeCell="H28" sqref="H28"/>
    </sheetView>
  </sheetViews>
  <sheetFormatPr baseColWidth="10" defaultRowHeight="15" x14ac:dyDescent="0.25"/>
  <cols>
    <col min="1" max="1" width="3.28515625" style="30" customWidth="1"/>
    <col min="2" max="2" width="9.7109375" style="30" customWidth="1"/>
    <col min="3" max="3" width="42.7109375" style="30" customWidth="1"/>
    <col min="4" max="4" width="12.28515625" style="30" customWidth="1"/>
    <col min="5" max="5" width="15.5703125" style="30" customWidth="1"/>
    <col min="6" max="16384" width="11.42578125" style="30"/>
  </cols>
  <sheetData>
    <row r="2" spans="2:6" ht="15.75" x14ac:dyDescent="0.25">
      <c r="B2" s="429" t="s">
        <v>407</v>
      </c>
      <c r="C2" s="429"/>
      <c r="D2" s="429"/>
      <c r="E2" s="429"/>
      <c r="F2" s="429"/>
    </row>
    <row r="3" spans="2:6" ht="15.75" x14ac:dyDescent="0.25">
      <c r="B3" s="429" t="s">
        <v>223</v>
      </c>
      <c r="C3" s="429"/>
      <c r="D3" s="429"/>
      <c r="E3" s="429"/>
      <c r="F3" s="429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284</v>
      </c>
      <c r="C5" s="427"/>
      <c r="D5" s="427"/>
      <c r="E5" s="427"/>
      <c r="F5" s="427"/>
    </row>
    <row r="6" spans="2:6" ht="15.75" x14ac:dyDescent="0.25">
      <c r="B6" s="144" t="s">
        <v>335</v>
      </c>
      <c r="C6" s="145"/>
      <c r="D6" s="145"/>
      <c r="E6" s="145"/>
      <c r="F6" s="145"/>
    </row>
    <row r="7" spans="2:6" ht="15.75" x14ac:dyDescent="0.25">
      <c r="B7" s="427" t="s">
        <v>226</v>
      </c>
      <c r="C7" s="427"/>
      <c r="D7" s="427"/>
      <c r="E7" s="427"/>
      <c r="F7" s="427"/>
    </row>
    <row r="8" spans="2:6" ht="15.75" x14ac:dyDescent="0.25">
      <c r="B8" s="429" t="s">
        <v>193</v>
      </c>
      <c r="C8" s="429"/>
      <c r="D8" s="429"/>
      <c r="E8" s="429"/>
      <c r="F8" s="429"/>
    </row>
    <row r="9" spans="2:6" x14ac:dyDescent="0.25">
      <c r="B9" s="31"/>
      <c r="C9" s="31"/>
      <c r="D9" s="31"/>
      <c r="E9" s="32"/>
      <c r="F9" s="31"/>
    </row>
    <row r="10" spans="2:6" x14ac:dyDescent="0.25">
      <c r="B10" s="425" t="s">
        <v>228</v>
      </c>
      <c r="C10" s="425" t="s">
        <v>229</v>
      </c>
      <c r="D10" s="97" t="s">
        <v>230</v>
      </c>
      <c r="E10" s="97" t="s">
        <v>231</v>
      </c>
      <c r="F10" s="425" t="s">
        <v>0</v>
      </c>
    </row>
    <row r="11" spans="2:6" ht="25.5" x14ac:dyDescent="0.25">
      <c r="B11" s="425"/>
      <c r="C11" s="425"/>
      <c r="D11" s="97" t="s">
        <v>232</v>
      </c>
      <c r="E11" s="354" t="s">
        <v>233</v>
      </c>
      <c r="F11" s="425"/>
    </row>
    <row r="12" spans="2:6" x14ac:dyDescent="0.25">
      <c r="B12" s="76">
        <v>51</v>
      </c>
      <c r="C12" s="105" t="s">
        <v>130</v>
      </c>
      <c r="D12" s="99">
        <f>SUM(D13+D16+D18)</f>
        <v>4635</v>
      </c>
      <c r="E12" s="99">
        <f>SUM(E13+E16+E18)</f>
        <v>4185</v>
      </c>
      <c r="F12" s="99">
        <f>SUM(F13+F16+F18)</f>
        <v>8820</v>
      </c>
    </row>
    <row r="13" spans="2:6" x14ac:dyDescent="0.25">
      <c r="B13" s="81">
        <v>511</v>
      </c>
      <c r="C13" s="113" t="s">
        <v>234</v>
      </c>
      <c r="D13" s="101">
        <f>SUM(D14:D15)</f>
        <v>4050</v>
      </c>
      <c r="E13" s="101">
        <f>SUM(E14:E15)</f>
        <v>3600</v>
      </c>
      <c r="F13" s="101">
        <f>SUM(F14:F15)</f>
        <v>7650</v>
      </c>
    </row>
    <row r="14" spans="2:6" x14ac:dyDescent="0.25">
      <c r="B14" s="84">
        <v>51101</v>
      </c>
      <c r="C14" s="102" t="s">
        <v>235</v>
      </c>
      <c r="D14" s="103">
        <v>3600</v>
      </c>
      <c r="E14" s="103">
        <v>3600</v>
      </c>
      <c r="F14" s="103">
        <f>SUM(D14:E14)</f>
        <v>7200</v>
      </c>
    </row>
    <row r="15" spans="2:6" x14ac:dyDescent="0.25">
      <c r="B15" s="84">
        <v>51103</v>
      </c>
      <c r="C15" s="104" t="s">
        <v>236</v>
      </c>
      <c r="D15" s="103">
        <v>450</v>
      </c>
      <c r="E15" s="103">
        <v>0</v>
      </c>
      <c r="F15" s="103">
        <f>SUM(D15:E15)</f>
        <v>450</v>
      </c>
    </row>
    <row r="16" spans="2:6" x14ac:dyDescent="0.25">
      <c r="B16" s="81">
        <v>514</v>
      </c>
      <c r="C16" s="105" t="s">
        <v>239</v>
      </c>
      <c r="D16" s="101">
        <f>SUM(D17)</f>
        <v>306</v>
      </c>
      <c r="E16" s="101">
        <f t="shared" ref="E16:F16" si="0">SUM(E17)</f>
        <v>306</v>
      </c>
      <c r="F16" s="101">
        <f t="shared" si="0"/>
        <v>612</v>
      </c>
    </row>
    <row r="17" spans="2:6" x14ac:dyDescent="0.25">
      <c r="B17" s="90">
        <v>51401</v>
      </c>
      <c r="C17" s="104" t="s">
        <v>240</v>
      </c>
      <c r="D17" s="103">
        <v>306</v>
      </c>
      <c r="E17" s="103">
        <v>306</v>
      </c>
      <c r="F17" s="103">
        <f>SUM(D17:E17)</f>
        <v>612</v>
      </c>
    </row>
    <row r="18" spans="2:6" x14ac:dyDescent="0.25">
      <c r="B18" s="81">
        <v>515</v>
      </c>
      <c r="C18" s="106" t="s">
        <v>241</v>
      </c>
      <c r="D18" s="101">
        <f>SUM(D19:D19)</f>
        <v>279</v>
      </c>
      <c r="E18" s="101">
        <f>SUM(E19:E19)</f>
        <v>279</v>
      </c>
      <c r="F18" s="101">
        <f>SUM(F19:F19)</f>
        <v>558</v>
      </c>
    </row>
    <row r="19" spans="2:6" x14ac:dyDescent="0.25">
      <c r="B19" s="90">
        <v>51501</v>
      </c>
      <c r="C19" s="104" t="s">
        <v>240</v>
      </c>
      <c r="D19" s="103">
        <v>279</v>
      </c>
      <c r="E19" s="103">
        <v>279</v>
      </c>
      <c r="F19" s="103">
        <f>SUM(D19:E19)</f>
        <v>558</v>
      </c>
    </row>
    <row r="20" spans="2:6" x14ac:dyDescent="0.25">
      <c r="B20" s="81">
        <v>54</v>
      </c>
      <c r="C20" s="106" t="s">
        <v>286</v>
      </c>
      <c r="D20" s="101">
        <f>SUM(D21+D29)</f>
        <v>2550</v>
      </c>
      <c r="E20" s="101">
        <f>SUM(E21+E29)</f>
        <v>2000</v>
      </c>
      <c r="F20" s="101">
        <f>SUM(F21+F29)</f>
        <v>4550</v>
      </c>
    </row>
    <row r="21" spans="2:6" x14ac:dyDescent="0.25">
      <c r="B21" s="81">
        <v>541</v>
      </c>
      <c r="C21" s="106" t="s">
        <v>245</v>
      </c>
      <c r="D21" s="101">
        <f>SUM(D22:D27)</f>
        <v>2450</v>
      </c>
      <c r="E21" s="101">
        <f>SUM(E22:E27)</f>
        <v>2000</v>
      </c>
      <c r="F21" s="101">
        <f>SUM(F22:F27)</f>
        <v>4450</v>
      </c>
    </row>
    <row r="22" spans="2:6" x14ac:dyDescent="0.25">
      <c r="B22" s="90">
        <v>54105</v>
      </c>
      <c r="C22" s="104" t="s">
        <v>249</v>
      </c>
      <c r="D22" s="103">
        <v>50</v>
      </c>
      <c r="E22" s="103">
        <v>0</v>
      </c>
      <c r="F22" s="103">
        <f t="shared" ref="F22:F27" si="1">SUM(D22:E22)</f>
        <v>50</v>
      </c>
    </row>
    <row r="23" spans="2:6" x14ac:dyDescent="0.25">
      <c r="B23" s="90">
        <v>54107</v>
      </c>
      <c r="C23" s="104" t="s">
        <v>318</v>
      </c>
      <c r="D23" s="103"/>
      <c r="E23" s="103">
        <v>500</v>
      </c>
      <c r="F23" s="103">
        <f t="shared" si="1"/>
        <v>500</v>
      </c>
    </row>
    <row r="24" spans="2:6" x14ac:dyDescent="0.25">
      <c r="B24" s="90">
        <v>54114</v>
      </c>
      <c r="C24" s="104" t="s">
        <v>253</v>
      </c>
      <c r="D24" s="103">
        <v>300</v>
      </c>
      <c r="E24" s="103">
        <v>0</v>
      </c>
      <c r="F24" s="103">
        <f t="shared" si="1"/>
        <v>300</v>
      </c>
    </row>
    <row r="25" spans="2:6" x14ac:dyDescent="0.25">
      <c r="B25" s="90">
        <v>54115</v>
      </c>
      <c r="C25" s="104" t="s">
        <v>254</v>
      </c>
      <c r="D25" s="103"/>
      <c r="E25" s="103">
        <v>1500</v>
      </c>
      <c r="F25" s="103">
        <f t="shared" si="1"/>
        <v>1500</v>
      </c>
    </row>
    <row r="26" spans="2:6" x14ac:dyDescent="0.25">
      <c r="B26" s="90">
        <v>54118</v>
      </c>
      <c r="C26" s="104" t="s">
        <v>323</v>
      </c>
      <c r="D26" s="103">
        <v>2000</v>
      </c>
      <c r="E26" s="103">
        <v>0</v>
      </c>
      <c r="F26" s="103">
        <f t="shared" si="1"/>
        <v>2000</v>
      </c>
    </row>
    <row r="27" spans="2:6" x14ac:dyDescent="0.25">
      <c r="B27" s="90">
        <v>54199</v>
      </c>
      <c r="C27" s="104" t="s">
        <v>256</v>
      </c>
      <c r="D27" s="103">
        <v>100</v>
      </c>
      <c r="E27" s="103">
        <v>0</v>
      </c>
      <c r="F27" s="103">
        <f t="shared" si="1"/>
        <v>100</v>
      </c>
    </row>
    <row r="28" spans="2:6" x14ac:dyDescent="0.25">
      <c r="B28" s="90">
        <v>54399</v>
      </c>
      <c r="C28" s="104" t="s">
        <v>316</v>
      </c>
      <c r="D28" s="103">
        <v>0</v>
      </c>
      <c r="E28" s="103"/>
      <c r="F28" s="103"/>
    </row>
    <row r="29" spans="2:6" x14ac:dyDescent="0.25">
      <c r="B29" s="81">
        <v>543</v>
      </c>
      <c r="C29" s="106" t="s">
        <v>257</v>
      </c>
      <c r="D29" s="101">
        <f>SUM(D30:D30)</f>
        <v>100</v>
      </c>
      <c r="E29" s="101">
        <f>SUM(E30)</f>
        <v>0</v>
      </c>
      <c r="F29" s="101">
        <f>SUM(F30:F30)</f>
        <v>100</v>
      </c>
    </row>
    <row r="30" spans="2:6" x14ac:dyDescent="0.25">
      <c r="B30" s="90">
        <v>54301</v>
      </c>
      <c r="C30" s="104" t="s">
        <v>258</v>
      </c>
      <c r="D30" s="103">
        <v>100</v>
      </c>
      <c r="E30" s="103">
        <v>0</v>
      </c>
      <c r="F30" s="103">
        <f>SUM(D30:E30)</f>
        <v>100</v>
      </c>
    </row>
    <row r="31" spans="2:6" x14ac:dyDescent="0.25">
      <c r="B31" s="81">
        <v>61</v>
      </c>
      <c r="C31" s="106" t="s">
        <v>280</v>
      </c>
      <c r="D31" s="101">
        <f>D32</f>
        <v>1200</v>
      </c>
      <c r="E31" s="103">
        <v>0</v>
      </c>
      <c r="F31" s="101">
        <f>F32</f>
        <v>1200</v>
      </c>
    </row>
    <row r="32" spans="2:6" x14ac:dyDescent="0.25">
      <c r="B32" s="81">
        <v>611</v>
      </c>
      <c r="C32" s="106" t="s">
        <v>352</v>
      </c>
      <c r="D32" s="101">
        <f>SUM(D33:D33)</f>
        <v>1200</v>
      </c>
      <c r="E32" s="103">
        <v>0</v>
      </c>
      <c r="F32" s="101">
        <f>SUM(F33:F33)</f>
        <v>1200</v>
      </c>
    </row>
    <row r="33" spans="2:6" x14ac:dyDescent="0.25">
      <c r="B33" s="90">
        <v>61403</v>
      </c>
      <c r="C33" s="104" t="s">
        <v>353</v>
      </c>
      <c r="D33" s="112">
        <v>1200</v>
      </c>
      <c r="E33" s="103">
        <v>0</v>
      </c>
      <c r="F33" s="103">
        <f>+D33</f>
        <v>1200</v>
      </c>
    </row>
    <row r="34" spans="2:6" x14ac:dyDescent="0.25">
      <c r="B34" s="90"/>
      <c r="C34" s="104"/>
      <c r="D34" s="103"/>
      <c r="E34" s="103"/>
      <c r="F34" s="103"/>
    </row>
    <row r="35" spans="2:6" x14ac:dyDescent="0.25">
      <c r="B35" s="90"/>
      <c r="C35" s="106" t="s">
        <v>70</v>
      </c>
      <c r="D35" s="101">
        <f>D12+D20+D31</f>
        <v>8385</v>
      </c>
      <c r="E35" s="101">
        <f>E12+E20</f>
        <v>6185</v>
      </c>
      <c r="F35" s="101">
        <f>SUM(D35:E35)</f>
        <v>14570</v>
      </c>
    </row>
    <row r="36" spans="2:6" x14ac:dyDescent="0.25">
      <c r="B36" s="90"/>
      <c r="C36" s="104"/>
      <c r="D36" s="103"/>
      <c r="E36" s="103"/>
      <c r="F36" s="103"/>
    </row>
    <row r="37" spans="2:6" x14ac:dyDescent="0.25">
      <c r="B37" s="81"/>
      <c r="C37" s="106" t="s">
        <v>61</v>
      </c>
      <c r="D37" s="101">
        <f>SUM(D12+D20+D31)</f>
        <v>8385</v>
      </c>
      <c r="E37" s="101">
        <f>SUM(E12+E20)</f>
        <v>6185</v>
      </c>
      <c r="F37" s="101">
        <f>SUM(F12+F20+F31)</f>
        <v>14570</v>
      </c>
    </row>
    <row r="38" spans="2:6" x14ac:dyDescent="0.25">
      <c r="B38" s="81"/>
      <c r="C38" s="106" t="s">
        <v>62</v>
      </c>
      <c r="D38" s="101">
        <f>SUM(D13+D16+D18+D21+D29+D32)</f>
        <v>8385</v>
      </c>
      <c r="E38" s="101">
        <f>SUM(E13+E16+E18+E21+E29)</f>
        <v>6185</v>
      </c>
      <c r="F38" s="101">
        <f>SUM(F13+F16+F18+F21+F29+F32)</f>
        <v>14570</v>
      </c>
    </row>
    <row r="39" spans="2:6" x14ac:dyDescent="0.25">
      <c r="B39" s="81"/>
      <c r="C39" s="106" t="s">
        <v>63</v>
      </c>
      <c r="D39" s="101">
        <f>SUM(D14+D15+D17+D19+D22+D23+D24+D25+D26+D27+D30+D33)</f>
        <v>8385</v>
      </c>
      <c r="E39" s="101">
        <f>SUM(E14+E15+E17+E19+E22+E24+E25+E26+E27)</f>
        <v>5685</v>
      </c>
      <c r="F39" s="101">
        <f>SUM(F14+F15+F17+F19+F22+F23+F24+F25+F26+F27+F30+F33)</f>
        <v>14570</v>
      </c>
    </row>
    <row r="40" spans="2:6" x14ac:dyDescent="0.25">
      <c r="B40" s="44"/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F38"/>
  <sheetViews>
    <sheetView workbookViewId="0">
      <pane ySplit="11" topLeftCell="A12" activePane="bottomLeft" state="frozen"/>
      <selection pane="bottomLeft" activeCell="D32" sqref="D32"/>
    </sheetView>
  </sheetViews>
  <sheetFormatPr baseColWidth="10" defaultRowHeight="15" x14ac:dyDescent="0.25"/>
  <cols>
    <col min="1" max="1" width="3" style="30" customWidth="1"/>
    <col min="2" max="2" width="9" style="30" customWidth="1"/>
    <col min="3" max="3" width="44" style="30" customWidth="1"/>
    <col min="4" max="4" width="12" style="30" customWidth="1"/>
    <col min="5" max="5" width="15.7109375" style="30" customWidth="1"/>
    <col min="6" max="6" width="13.140625" style="30" customWidth="1"/>
    <col min="7" max="16384" width="11.42578125" style="30"/>
  </cols>
  <sheetData>
    <row r="2" spans="2:6" ht="15.75" x14ac:dyDescent="0.25">
      <c r="B2" s="429" t="s">
        <v>407</v>
      </c>
      <c r="C2" s="429"/>
      <c r="D2" s="429"/>
      <c r="E2" s="429"/>
      <c r="F2" s="429"/>
    </row>
    <row r="3" spans="2:6" ht="15.75" x14ac:dyDescent="0.25">
      <c r="B3" s="429" t="s">
        <v>223</v>
      </c>
      <c r="C3" s="429"/>
      <c r="D3" s="429"/>
      <c r="E3" s="429"/>
      <c r="F3" s="429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284</v>
      </c>
      <c r="C5" s="427"/>
      <c r="D5" s="427"/>
      <c r="E5" s="427"/>
      <c r="F5" s="427"/>
    </row>
    <row r="6" spans="2:6" ht="15.75" x14ac:dyDescent="0.25">
      <c r="B6" s="144" t="s">
        <v>335</v>
      </c>
      <c r="C6" s="145"/>
      <c r="D6" s="145"/>
      <c r="E6" s="145"/>
      <c r="F6" s="145"/>
    </row>
    <row r="7" spans="2:6" ht="15.75" x14ac:dyDescent="0.25">
      <c r="B7" s="427" t="s">
        <v>226</v>
      </c>
      <c r="C7" s="427"/>
      <c r="D7" s="427"/>
      <c r="E7" s="427"/>
      <c r="F7" s="427"/>
    </row>
    <row r="8" spans="2:6" ht="15.75" x14ac:dyDescent="0.25">
      <c r="B8" s="429" t="s">
        <v>159</v>
      </c>
      <c r="C8" s="429"/>
      <c r="D8" s="429"/>
      <c r="E8" s="429"/>
      <c r="F8" s="429"/>
    </row>
    <row r="9" spans="2:6" x14ac:dyDescent="0.25">
      <c r="B9" s="31"/>
      <c r="C9" s="31"/>
      <c r="D9" s="31"/>
      <c r="E9" s="32"/>
      <c r="F9" s="31"/>
    </row>
    <row r="10" spans="2:6" x14ac:dyDescent="0.25">
      <c r="B10" s="425" t="s">
        <v>228</v>
      </c>
      <c r="C10" s="425" t="s">
        <v>229</v>
      </c>
      <c r="D10" s="97" t="s">
        <v>230</v>
      </c>
      <c r="E10" s="97" t="s">
        <v>231</v>
      </c>
      <c r="F10" s="425" t="s">
        <v>0</v>
      </c>
    </row>
    <row r="11" spans="2:6" ht="25.5" x14ac:dyDescent="0.25">
      <c r="B11" s="425"/>
      <c r="C11" s="425"/>
      <c r="D11" s="97" t="s">
        <v>232</v>
      </c>
      <c r="E11" s="354" t="s">
        <v>233</v>
      </c>
      <c r="F11" s="425"/>
    </row>
    <row r="12" spans="2:6" x14ac:dyDescent="0.25">
      <c r="B12" s="76">
        <v>51</v>
      </c>
      <c r="C12" s="105" t="s">
        <v>130</v>
      </c>
      <c r="D12" s="99">
        <f>SUM(D13+D16+D18)</f>
        <v>14917.5</v>
      </c>
      <c r="E12" s="99">
        <f>SUM(E13+E16+E18)</f>
        <v>6510</v>
      </c>
      <c r="F12" s="99">
        <f>SUM(F13+F16+F18)</f>
        <v>21427.5</v>
      </c>
    </row>
    <row r="13" spans="2:6" x14ac:dyDescent="0.25">
      <c r="B13" s="81">
        <v>511</v>
      </c>
      <c r="C13" s="113" t="s">
        <v>234</v>
      </c>
      <c r="D13" s="101">
        <f>SUM(D14:D15)</f>
        <v>13000</v>
      </c>
      <c r="E13" s="101">
        <f>SUM(E14:E15)</f>
        <v>5600</v>
      </c>
      <c r="F13" s="101">
        <f>SUM(F14:F15)</f>
        <v>18600</v>
      </c>
    </row>
    <row r="14" spans="2:6" x14ac:dyDescent="0.25">
      <c r="B14" s="84">
        <v>51101</v>
      </c>
      <c r="C14" s="102" t="s">
        <v>235</v>
      </c>
      <c r="D14" s="103">
        <v>11800</v>
      </c>
      <c r="E14" s="103">
        <v>5600</v>
      </c>
      <c r="F14" s="103">
        <f>SUM(D14:E14)</f>
        <v>17400</v>
      </c>
    </row>
    <row r="15" spans="2:6" x14ac:dyDescent="0.25">
      <c r="B15" s="84">
        <v>51103</v>
      </c>
      <c r="C15" s="104" t="s">
        <v>236</v>
      </c>
      <c r="D15" s="103">
        <v>1200</v>
      </c>
      <c r="E15" s="103">
        <v>0</v>
      </c>
      <c r="F15" s="103">
        <f>SUM(D15:E15)</f>
        <v>1200</v>
      </c>
    </row>
    <row r="16" spans="2:6" x14ac:dyDescent="0.25">
      <c r="B16" s="81">
        <v>514</v>
      </c>
      <c r="C16" s="105" t="s">
        <v>239</v>
      </c>
      <c r="D16" s="101">
        <f>SUM(D17)</f>
        <v>1003</v>
      </c>
      <c r="E16" s="101">
        <f t="shared" ref="E16:F16" si="0">SUM(E17)</f>
        <v>476</v>
      </c>
      <c r="F16" s="101">
        <f t="shared" si="0"/>
        <v>1479</v>
      </c>
    </row>
    <row r="17" spans="2:6" x14ac:dyDescent="0.25">
      <c r="B17" s="90">
        <v>51401</v>
      </c>
      <c r="C17" s="104" t="s">
        <v>240</v>
      </c>
      <c r="D17" s="103">
        <v>1003</v>
      </c>
      <c r="E17" s="103">
        <v>476</v>
      </c>
      <c r="F17" s="103">
        <f>SUM(D17:E17)</f>
        <v>1479</v>
      </c>
    </row>
    <row r="18" spans="2:6" x14ac:dyDescent="0.25">
      <c r="B18" s="81">
        <v>515</v>
      </c>
      <c r="C18" s="106" t="s">
        <v>241</v>
      </c>
      <c r="D18" s="101">
        <f>SUM(D19:D19)</f>
        <v>914.5</v>
      </c>
      <c r="E18" s="101">
        <f>SUM(E19:E19)</f>
        <v>434</v>
      </c>
      <c r="F18" s="101">
        <f>SUM(F19:F19)</f>
        <v>1348.5</v>
      </c>
    </row>
    <row r="19" spans="2:6" x14ac:dyDescent="0.25">
      <c r="B19" s="90">
        <v>51501</v>
      </c>
      <c r="C19" s="104" t="s">
        <v>240</v>
      </c>
      <c r="D19" s="103">
        <v>914.5</v>
      </c>
      <c r="E19" s="103">
        <v>434</v>
      </c>
      <c r="F19" s="103">
        <f>SUM(D19:E19)</f>
        <v>1348.5</v>
      </c>
    </row>
    <row r="20" spans="2:6" x14ac:dyDescent="0.25">
      <c r="B20" s="81">
        <v>54</v>
      </c>
      <c r="C20" s="106" t="s">
        <v>286</v>
      </c>
      <c r="D20" s="101">
        <f>SUM(D21+D25)</f>
        <v>11725.15</v>
      </c>
      <c r="E20" s="101">
        <f>SUM(E21+E25)</f>
        <v>0</v>
      </c>
      <c r="F20" s="101">
        <f>SUM(F21+F25)</f>
        <v>11725.15</v>
      </c>
    </row>
    <row r="21" spans="2:6" x14ac:dyDescent="0.25">
      <c r="B21" s="81">
        <v>541</v>
      </c>
      <c r="C21" s="106" t="s">
        <v>287</v>
      </c>
      <c r="D21" s="101">
        <f>SUM(D22:D24)</f>
        <v>1025.1500000000001</v>
      </c>
      <c r="E21" s="101">
        <f>SUM(E22:E24)</f>
        <v>0</v>
      </c>
      <c r="F21" s="101">
        <f>SUM(F22:F24)</f>
        <v>1025.1500000000001</v>
      </c>
    </row>
    <row r="22" spans="2:6" x14ac:dyDescent="0.25">
      <c r="B22" s="90">
        <v>54105</v>
      </c>
      <c r="C22" s="104" t="s">
        <v>249</v>
      </c>
      <c r="D22" s="103">
        <v>300.14999999999998</v>
      </c>
      <c r="E22" s="103">
        <v>0</v>
      </c>
      <c r="F22" s="103">
        <f t="shared" ref="F22:F24" si="1">SUM(D22:E22)</f>
        <v>300.14999999999998</v>
      </c>
    </row>
    <row r="23" spans="2:6" x14ac:dyDescent="0.25">
      <c r="B23" s="90">
        <v>54114</v>
      </c>
      <c r="C23" s="104" t="s">
        <v>253</v>
      </c>
      <c r="D23" s="103">
        <v>150</v>
      </c>
      <c r="E23" s="103">
        <v>0</v>
      </c>
      <c r="F23" s="103">
        <f t="shared" si="1"/>
        <v>150</v>
      </c>
    </row>
    <row r="24" spans="2:6" x14ac:dyDescent="0.25">
      <c r="B24" s="90">
        <v>54115</v>
      </c>
      <c r="C24" s="104" t="s">
        <v>254</v>
      </c>
      <c r="D24" s="103">
        <v>575</v>
      </c>
      <c r="E24" s="103">
        <v>0</v>
      </c>
      <c r="F24" s="103">
        <f t="shared" si="1"/>
        <v>575</v>
      </c>
    </row>
    <row r="25" spans="2:6" x14ac:dyDescent="0.25">
      <c r="B25" s="81">
        <v>543</v>
      </c>
      <c r="C25" s="106" t="s">
        <v>257</v>
      </c>
      <c r="D25" s="101">
        <f>SUM(D26:D28)</f>
        <v>10700</v>
      </c>
      <c r="E25" s="101">
        <f>SUM(E26:E28)</f>
        <v>0</v>
      </c>
      <c r="F25" s="101">
        <f>SUM(F26:F28)</f>
        <v>10700</v>
      </c>
    </row>
    <row r="26" spans="2:6" x14ac:dyDescent="0.25">
      <c r="B26" s="90">
        <v>54301</v>
      </c>
      <c r="C26" s="104" t="s">
        <v>258</v>
      </c>
      <c r="D26" s="112">
        <v>700</v>
      </c>
      <c r="E26" s="103">
        <v>0</v>
      </c>
      <c r="F26" s="103">
        <f>SUM(D26:E26)</f>
        <v>700</v>
      </c>
    </row>
    <row r="27" spans="2:6" x14ac:dyDescent="0.25">
      <c r="B27" s="90">
        <v>54305</v>
      </c>
      <c r="C27" s="104" t="s">
        <v>418</v>
      </c>
      <c r="D27" s="112">
        <v>3000</v>
      </c>
      <c r="E27" s="103"/>
      <c r="F27" s="103">
        <f>SUM(D27:E27)</f>
        <v>3000</v>
      </c>
    </row>
    <row r="28" spans="2:6" x14ac:dyDescent="0.25">
      <c r="B28" s="90">
        <v>54313</v>
      </c>
      <c r="C28" s="104" t="s">
        <v>261</v>
      </c>
      <c r="D28" s="103">
        <v>7000</v>
      </c>
      <c r="E28" s="103">
        <v>0</v>
      </c>
      <c r="F28" s="103">
        <f>SUM(D28:E28)</f>
        <v>7000</v>
      </c>
    </row>
    <row r="29" spans="2:6" x14ac:dyDescent="0.25">
      <c r="B29" s="81">
        <v>61</v>
      </c>
      <c r="C29" s="106" t="s">
        <v>280</v>
      </c>
      <c r="D29" s="101">
        <f>SUM(D30)</f>
        <v>1580</v>
      </c>
      <c r="E29" s="101">
        <f t="shared" ref="E29" si="2">SUM(E30)</f>
        <v>0</v>
      </c>
      <c r="F29" s="101">
        <f>SUM(F30)</f>
        <v>1580</v>
      </c>
    </row>
    <row r="30" spans="2:6" x14ac:dyDescent="0.25">
      <c r="B30" s="81">
        <v>611</v>
      </c>
      <c r="C30" s="106" t="s">
        <v>281</v>
      </c>
      <c r="D30" s="101">
        <f>SUM(D31:D32)</f>
        <v>1580</v>
      </c>
      <c r="E30" s="101">
        <f>SUM(E31:E32)</f>
        <v>0</v>
      </c>
      <c r="F30" s="101">
        <f>SUM(F31:F32)</f>
        <v>1580</v>
      </c>
    </row>
    <row r="31" spans="2:6" x14ac:dyDescent="0.25">
      <c r="B31" s="110">
        <v>61101</v>
      </c>
      <c r="C31" s="111" t="s">
        <v>282</v>
      </c>
      <c r="D31" s="103">
        <v>580</v>
      </c>
      <c r="E31" s="103"/>
      <c r="F31" s="103">
        <f t="shared" ref="F31:F32" si="3">SUM(D31:E31)</f>
        <v>580</v>
      </c>
    </row>
    <row r="32" spans="2:6" x14ac:dyDescent="0.25">
      <c r="B32" s="110">
        <v>61104</v>
      </c>
      <c r="C32" s="111" t="s">
        <v>338</v>
      </c>
      <c r="D32" s="112">
        <v>1000</v>
      </c>
      <c r="E32" s="103">
        <v>0</v>
      </c>
      <c r="F32" s="103">
        <f t="shared" si="3"/>
        <v>1000</v>
      </c>
    </row>
    <row r="33" spans="2:6" x14ac:dyDescent="0.25">
      <c r="B33" s="90"/>
      <c r="C33" s="104"/>
      <c r="D33" s="103"/>
      <c r="E33" s="103"/>
      <c r="F33" s="103"/>
    </row>
    <row r="34" spans="2:6" x14ac:dyDescent="0.25">
      <c r="B34" s="90"/>
      <c r="C34" s="106" t="s">
        <v>70</v>
      </c>
      <c r="D34" s="101">
        <f>SUM(D12+D20+D29)</f>
        <v>28222.65</v>
      </c>
      <c r="E34" s="101">
        <f>SUM(E12+E20+E29)</f>
        <v>6510</v>
      </c>
      <c r="F34" s="101">
        <f>SUM(D34:E34)</f>
        <v>34732.65</v>
      </c>
    </row>
    <row r="35" spans="2:6" x14ac:dyDescent="0.25">
      <c r="B35" s="90"/>
      <c r="C35" s="104"/>
      <c r="D35" s="103"/>
      <c r="E35" s="103"/>
      <c r="F35" s="103"/>
    </row>
    <row r="36" spans="2:6" x14ac:dyDescent="0.25">
      <c r="B36" s="81"/>
      <c r="C36" s="106" t="s">
        <v>61</v>
      </c>
      <c r="D36" s="101">
        <f>SUM(D12+D20+D29)</f>
        <v>28222.65</v>
      </c>
      <c r="E36" s="101">
        <f>SUM(E12+E20+E29)</f>
        <v>6510</v>
      </c>
      <c r="F36" s="101">
        <f>SUM(F12+F20+F29)</f>
        <v>34732.65</v>
      </c>
    </row>
    <row r="37" spans="2:6" x14ac:dyDescent="0.25">
      <c r="B37" s="81"/>
      <c r="C37" s="106" t="s">
        <v>62</v>
      </c>
      <c r="D37" s="101">
        <f>SUM(D13+D16+D18+D21+D25+D30)</f>
        <v>28222.65</v>
      </c>
      <c r="E37" s="101">
        <f>SUM(E13+E16+E18+E21+E25+E30)</f>
        <v>6510</v>
      </c>
      <c r="F37" s="101">
        <f>SUM(F13+F16+F18+F21+F25+F30)</f>
        <v>34732.65</v>
      </c>
    </row>
    <row r="38" spans="2:6" x14ac:dyDescent="0.25">
      <c r="B38" s="81"/>
      <c r="C38" s="106" t="s">
        <v>63</v>
      </c>
      <c r="D38" s="101">
        <f>SUM(D14+D15+D17+D19+D22+D23+D24+D26+D27+D28+D31+D32)</f>
        <v>28222.65</v>
      </c>
      <c r="E38" s="101">
        <f>SUM(E14+E15+E17+E19+E22+E23+E24+E26+E28+E31+E32)</f>
        <v>6510</v>
      </c>
      <c r="F38" s="101">
        <f>SUM(F14+F15+F17+F19+F22+F23+F24+F26+F27+F28+F31+F32)</f>
        <v>34732.65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F41"/>
  <sheetViews>
    <sheetView workbookViewId="0">
      <pane ySplit="11" topLeftCell="A12" activePane="bottomLeft" state="frozen"/>
      <selection pane="bottomLeft" activeCell="G19" sqref="G19"/>
    </sheetView>
  </sheetViews>
  <sheetFormatPr baseColWidth="10" defaultRowHeight="15" x14ac:dyDescent="0.25"/>
  <cols>
    <col min="1" max="1" width="3.5703125" style="30" customWidth="1"/>
    <col min="2" max="2" width="9.140625" style="30" customWidth="1"/>
    <col min="3" max="3" width="43.28515625" style="30" customWidth="1"/>
    <col min="4" max="4" width="12.42578125" style="30" customWidth="1"/>
    <col min="5" max="5" width="15.7109375" style="30" customWidth="1"/>
    <col min="6" max="6" width="15.140625" style="30" customWidth="1"/>
    <col min="7" max="16384" width="11.42578125" style="30"/>
  </cols>
  <sheetData>
    <row r="2" spans="2:6" ht="15.75" x14ac:dyDescent="0.25">
      <c r="B2" s="429" t="s">
        <v>407</v>
      </c>
      <c r="C2" s="429"/>
      <c r="D2" s="429"/>
      <c r="E2" s="429"/>
      <c r="F2" s="429"/>
    </row>
    <row r="3" spans="2:6" ht="15.75" x14ac:dyDescent="0.25">
      <c r="B3" s="429" t="s">
        <v>223</v>
      </c>
      <c r="C3" s="429"/>
      <c r="D3" s="429"/>
      <c r="E3" s="429"/>
      <c r="F3" s="429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284</v>
      </c>
      <c r="C5" s="427"/>
      <c r="D5" s="427"/>
      <c r="E5" s="427"/>
      <c r="F5" s="427"/>
    </row>
    <row r="6" spans="2:6" ht="15.75" x14ac:dyDescent="0.25">
      <c r="B6" s="144" t="s">
        <v>285</v>
      </c>
      <c r="C6" s="145"/>
      <c r="D6" s="145"/>
      <c r="E6" s="145"/>
      <c r="F6" s="145"/>
    </row>
    <row r="7" spans="2:6" ht="15.75" x14ac:dyDescent="0.25">
      <c r="B7" s="427" t="s">
        <v>226</v>
      </c>
      <c r="C7" s="427"/>
      <c r="D7" s="427"/>
      <c r="E7" s="427"/>
      <c r="F7" s="427"/>
    </row>
    <row r="8" spans="2:6" ht="15.75" x14ac:dyDescent="0.25">
      <c r="B8" s="429" t="s">
        <v>160</v>
      </c>
      <c r="C8" s="429"/>
      <c r="D8" s="429"/>
      <c r="E8" s="429"/>
      <c r="F8" s="429"/>
    </row>
    <row r="9" spans="2:6" x14ac:dyDescent="0.25">
      <c r="B9" s="31"/>
      <c r="C9" s="31"/>
      <c r="D9" s="31"/>
      <c r="E9" s="32"/>
      <c r="F9" s="31"/>
    </row>
    <row r="10" spans="2:6" x14ac:dyDescent="0.25">
      <c r="B10" s="425" t="s">
        <v>228</v>
      </c>
      <c r="C10" s="425" t="s">
        <v>229</v>
      </c>
      <c r="D10" s="97" t="s">
        <v>230</v>
      </c>
      <c r="E10" s="97" t="s">
        <v>231</v>
      </c>
      <c r="F10" s="425" t="s">
        <v>0</v>
      </c>
    </row>
    <row r="11" spans="2:6" ht="25.5" x14ac:dyDescent="0.25">
      <c r="B11" s="425"/>
      <c r="C11" s="425"/>
      <c r="D11" s="97" t="s">
        <v>232</v>
      </c>
      <c r="E11" s="354" t="s">
        <v>233</v>
      </c>
      <c r="F11" s="425"/>
    </row>
    <row r="12" spans="2:6" x14ac:dyDescent="0.25">
      <c r="B12" s="76">
        <v>51</v>
      </c>
      <c r="C12" s="105" t="s">
        <v>130</v>
      </c>
      <c r="D12" s="99">
        <f>SUM(D13+D17+D19)</f>
        <v>183015.32</v>
      </c>
      <c r="E12" s="99">
        <f>SUM(E13+E17+E19)</f>
        <v>23104.68</v>
      </c>
      <c r="F12" s="99">
        <f>SUM(F13+F17+F19)</f>
        <v>206120</v>
      </c>
    </row>
    <row r="13" spans="2:6" x14ac:dyDescent="0.25">
      <c r="B13" s="81">
        <v>511</v>
      </c>
      <c r="C13" s="113" t="s">
        <v>234</v>
      </c>
      <c r="D13" s="101">
        <f>SUM(D14:D16)</f>
        <v>159725</v>
      </c>
      <c r="E13" s="101">
        <f>SUM(E14:E16)</f>
        <v>19875</v>
      </c>
      <c r="F13" s="101">
        <f>SUM(F14:F16)</f>
        <v>179600</v>
      </c>
    </row>
    <row r="14" spans="2:6" x14ac:dyDescent="0.25">
      <c r="B14" s="84">
        <v>51101</v>
      </c>
      <c r="C14" s="102" t="s">
        <v>235</v>
      </c>
      <c r="D14" s="103">
        <v>143325</v>
      </c>
      <c r="E14" s="103">
        <v>19875</v>
      </c>
      <c r="F14" s="103">
        <f>SUM(D14:E14)</f>
        <v>163200</v>
      </c>
    </row>
    <row r="15" spans="2:6" x14ac:dyDescent="0.25">
      <c r="B15" s="84">
        <v>51103</v>
      </c>
      <c r="C15" s="104" t="s">
        <v>236</v>
      </c>
      <c r="D15" s="103">
        <v>13400</v>
      </c>
      <c r="E15" s="103">
        <v>0</v>
      </c>
      <c r="F15" s="103">
        <f>SUM(D15:E15)</f>
        <v>13400</v>
      </c>
    </row>
    <row r="16" spans="2:6" x14ac:dyDescent="0.25">
      <c r="B16" s="90">
        <v>51107</v>
      </c>
      <c r="C16" s="143" t="s">
        <v>238</v>
      </c>
      <c r="D16" s="103">
        <v>3000</v>
      </c>
      <c r="E16" s="103">
        <v>0</v>
      </c>
      <c r="F16" s="103">
        <f>SUM(D16:E16)</f>
        <v>3000</v>
      </c>
    </row>
    <row r="17" spans="2:6" x14ac:dyDescent="0.25">
      <c r="B17" s="81">
        <v>514</v>
      </c>
      <c r="C17" s="105" t="s">
        <v>239</v>
      </c>
      <c r="D17" s="101">
        <f>SUM(D18:D18)</f>
        <v>12182.63</v>
      </c>
      <c r="E17" s="101">
        <f>SUM(E18)</f>
        <v>1689.37</v>
      </c>
      <c r="F17" s="101">
        <f>SUM(F18:F18)</f>
        <v>13872</v>
      </c>
    </row>
    <row r="18" spans="2:6" x14ac:dyDescent="0.25">
      <c r="B18" s="90">
        <v>51401</v>
      </c>
      <c r="C18" s="104" t="s">
        <v>240</v>
      </c>
      <c r="D18" s="103">
        <v>12182.63</v>
      </c>
      <c r="E18" s="103">
        <v>1689.37</v>
      </c>
      <c r="F18" s="103">
        <f>SUM(D18:E18)</f>
        <v>13872</v>
      </c>
    </row>
    <row r="19" spans="2:6" x14ac:dyDescent="0.25">
      <c r="B19" s="81">
        <v>515</v>
      </c>
      <c r="C19" s="106" t="s">
        <v>241</v>
      </c>
      <c r="D19" s="101">
        <f>SUM(D20:D20)</f>
        <v>11107.69</v>
      </c>
      <c r="E19" s="101">
        <f>SUM(E20:E20)</f>
        <v>1540.31</v>
      </c>
      <c r="F19" s="101">
        <f>SUM(F20:F20)</f>
        <v>12648</v>
      </c>
    </row>
    <row r="20" spans="2:6" x14ac:dyDescent="0.25">
      <c r="B20" s="90">
        <v>51501</v>
      </c>
      <c r="C20" s="104" t="s">
        <v>240</v>
      </c>
      <c r="D20" s="103">
        <v>11107.69</v>
      </c>
      <c r="E20" s="103">
        <v>1540.31</v>
      </c>
      <c r="F20" s="103">
        <f>SUM(D20:E20)</f>
        <v>12648</v>
      </c>
    </row>
    <row r="21" spans="2:6" x14ac:dyDescent="0.25">
      <c r="B21" s="81">
        <v>54</v>
      </c>
      <c r="C21" s="106" t="s">
        <v>286</v>
      </c>
      <c r="D21" s="101">
        <f>SUM(D22+D29+D31)</f>
        <v>15120</v>
      </c>
      <c r="E21" s="101">
        <f>SUM(E22+E29+E31)</f>
        <v>7660</v>
      </c>
      <c r="F21" s="101">
        <f>SUM(F22+F29+F31)</f>
        <v>22780</v>
      </c>
    </row>
    <row r="22" spans="2:6" x14ac:dyDescent="0.25">
      <c r="B22" s="81">
        <v>541</v>
      </c>
      <c r="C22" s="106" t="s">
        <v>287</v>
      </c>
      <c r="D22" s="101">
        <f>SUM(D23:D28)</f>
        <v>11140</v>
      </c>
      <c r="E22" s="101">
        <f>SUM(E23:E28)</f>
        <v>0</v>
      </c>
      <c r="F22" s="101">
        <f>SUM(F23:F28)</f>
        <v>11140</v>
      </c>
    </row>
    <row r="23" spans="2:6" x14ac:dyDescent="0.25">
      <c r="B23" s="90">
        <v>54104</v>
      </c>
      <c r="C23" s="104" t="s">
        <v>248</v>
      </c>
      <c r="D23" s="103">
        <v>7000</v>
      </c>
      <c r="E23" s="103">
        <v>0</v>
      </c>
      <c r="F23" s="103">
        <f t="shared" ref="F23:F28" si="0">SUM(D23:E23)</f>
        <v>7000</v>
      </c>
    </row>
    <row r="24" spans="2:6" x14ac:dyDescent="0.25">
      <c r="B24" s="90">
        <v>54105</v>
      </c>
      <c r="C24" s="104" t="s">
        <v>249</v>
      </c>
      <c r="D24" s="103">
        <v>250</v>
      </c>
      <c r="E24" s="103">
        <v>0</v>
      </c>
      <c r="F24" s="103">
        <f t="shared" si="0"/>
        <v>250</v>
      </c>
    </row>
    <row r="25" spans="2:6" x14ac:dyDescent="0.25">
      <c r="B25" s="90">
        <v>54109</v>
      </c>
      <c r="C25" s="104" t="s">
        <v>294</v>
      </c>
      <c r="D25" s="103">
        <v>620</v>
      </c>
      <c r="E25" s="103">
        <v>0</v>
      </c>
      <c r="F25" s="103">
        <f t="shared" si="0"/>
        <v>620</v>
      </c>
    </row>
    <row r="26" spans="2:6" x14ac:dyDescent="0.25">
      <c r="B26" s="90">
        <v>54110</v>
      </c>
      <c r="C26" s="104" t="s">
        <v>354</v>
      </c>
      <c r="D26" s="103">
        <v>2500</v>
      </c>
      <c r="E26" s="103">
        <v>0</v>
      </c>
      <c r="F26" s="103">
        <f t="shared" si="0"/>
        <v>2500</v>
      </c>
    </row>
    <row r="27" spans="2:6" x14ac:dyDescent="0.25">
      <c r="B27" s="90">
        <v>54114</v>
      </c>
      <c r="C27" s="104" t="s">
        <v>253</v>
      </c>
      <c r="D27" s="112">
        <v>170</v>
      </c>
      <c r="E27" s="103">
        <v>0</v>
      </c>
      <c r="F27" s="103">
        <f t="shared" si="0"/>
        <v>170</v>
      </c>
    </row>
    <row r="28" spans="2:6" x14ac:dyDescent="0.25">
      <c r="B28" s="90">
        <v>54118</v>
      </c>
      <c r="C28" s="104" t="s">
        <v>295</v>
      </c>
      <c r="D28" s="103">
        <v>600</v>
      </c>
      <c r="E28" s="103">
        <v>0</v>
      </c>
      <c r="F28" s="103">
        <f t="shared" si="0"/>
        <v>600</v>
      </c>
    </row>
    <row r="29" spans="2:6" x14ac:dyDescent="0.25">
      <c r="B29" s="81">
        <v>542</v>
      </c>
      <c r="C29" s="106" t="s">
        <v>337</v>
      </c>
      <c r="D29" s="101">
        <f>SUM(D30)</f>
        <v>2000</v>
      </c>
      <c r="E29" s="101">
        <f>SUM(E30)</f>
        <v>4000</v>
      </c>
      <c r="F29" s="101">
        <f>SUM(F30)</f>
        <v>6000</v>
      </c>
    </row>
    <row r="30" spans="2:6" x14ac:dyDescent="0.25">
      <c r="B30" s="90">
        <v>54203</v>
      </c>
      <c r="C30" s="104" t="s">
        <v>345</v>
      </c>
      <c r="D30" s="103">
        <v>2000</v>
      </c>
      <c r="E30" s="103">
        <v>4000</v>
      </c>
      <c r="F30" s="103">
        <f>SUM(D30:E30)</f>
        <v>6000</v>
      </c>
    </row>
    <row r="31" spans="2:6" x14ac:dyDescent="0.25">
      <c r="B31" s="81">
        <v>543</v>
      </c>
      <c r="C31" s="106" t="s">
        <v>257</v>
      </c>
      <c r="D31" s="101">
        <f>SUM(D32:D32)</f>
        <v>1980</v>
      </c>
      <c r="E31" s="101">
        <f>SUM(E32:E32)</f>
        <v>3660</v>
      </c>
      <c r="F31" s="101">
        <f>SUM(F32:F32)</f>
        <v>5640</v>
      </c>
    </row>
    <row r="32" spans="2:6" x14ac:dyDescent="0.25">
      <c r="B32" s="90">
        <v>54302</v>
      </c>
      <c r="C32" s="104" t="s">
        <v>349</v>
      </c>
      <c r="D32" s="103">
        <v>1980</v>
      </c>
      <c r="E32" s="103">
        <v>3660</v>
      </c>
      <c r="F32" s="103">
        <f>SUM(D32:E32)</f>
        <v>5640</v>
      </c>
    </row>
    <row r="33" spans="2:6" x14ac:dyDescent="0.25">
      <c r="B33" s="81">
        <v>61</v>
      </c>
      <c r="C33" s="106" t="s">
        <v>280</v>
      </c>
      <c r="D33" s="101">
        <f>SUM(D34)</f>
        <v>290</v>
      </c>
      <c r="E33" s="101">
        <f>SUM(E34)</f>
        <v>0</v>
      </c>
      <c r="F33" s="101">
        <f>SUM(F34)</f>
        <v>290</v>
      </c>
    </row>
    <row r="34" spans="2:6" x14ac:dyDescent="0.25">
      <c r="B34" s="81">
        <v>611</v>
      </c>
      <c r="C34" s="106" t="s">
        <v>281</v>
      </c>
      <c r="D34" s="101">
        <f>SUM(D35:D35)</f>
        <v>290</v>
      </c>
      <c r="E34" s="101">
        <f>SUM(E35:E35)</f>
        <v>0</v>
      </c>
      <c r="F34" s="101">
        <f>SUM(F35:F35)</f>
        <v>290</v>
      </c>
    </row>
    <row r="35" spans="2:6" x14ac:dyDescent="0.25">
      <c r="B35" s="90">
        <v>61101</v>
      </c>
      <c r="C35" s="104" t="s">
        <v>282</v>
      </c>
      <c r="D35" s="103">
        <v>290</v>
      </c>
      <c r="E35" s="103"/>
      <c r="F35" s="103">
        <f>SUM(D35:E35)</f>
        <v>290</v>
      </c>
    </row>
    <row r="36" spans="2:6" x14ac:dyDescent="0.25">
      <c r="B36" s="92"/>
      <c r="C36" s="143"/>
      <c r="D36" s="103"/>
      <c r="E36" s="103"/>
      <c r="F36" s="103"/>
    </row>
    <row r="37" spans="2:6" x14ac:dyDescent="0.25">
      <c r="B37" s="90"/>
      <c r="C37" s="106" t="s">
        <v>70</v>
      </c>
      <c r="D37" s="101">
        <f>SUM(D12+D21+D33)</f>
        <v>198425.32</v>
      </c>
      <c r="E37" s="101">
        <f>SUM(E12+E21+E33)</f>
        <v>30764.68</v>
      </c>
      <c r="F37" s="101">
        <f>SUM(D37:E37)</f>
        <v>229190</v>
      </c>
    </row>
    <row r="38" spans="2:6" x14ac:dyDescent="0.25">
      <c r="B38" s="90"/>
      <c r="C38" s="104"/>
      <c r="D38" s="103"/>
      <c r="E38" s="103"/>
      <c r="F38" s="103"/>
    </row>
    <row r="39" spans="2:6" x14ac:dyDescent="0.25">
      <c r="B39" s="81"/>
      <c r="C39" s="106" t="s">
        <v>61</v>
      </c>
      <c r="D39" s="101">
        <f>SUM(D12+D21+D33)</f>
        <v>198425.32</v>
      </c>
      <c r="E39" s="101">
        <f>SUM(E12+E21+E33)</f>
        <v>30764.68</v>
      </c>
      <c r="F39" s="101">
        <f>SUM(F12+F21+F33)</f>
        <v>229190</v>
      </c>
    </row>
    <row r="40" spans="2:6" x14ac:dyDescent="0.25">
      <c r="B40" s="81"/>
      <c r="C40" s="106" t="s">
        <v>62</v>
      </c>
      <c r="D40" s="101">
        <f>SUM(D13+D17+D19+D22+D29+D31+D34)</f>
        <v>198425.32</v>
      </c>
      <c r="E40" s="101">
        <f>SUM(E13+E17+E19+E22+E29+E31+E34)</f>
        <v>30764.68</v>
      </c>
      <c r="F40" s="101">
        <f>SUM(F13+F17+F19+F22+F29+F31+F34)</f>
        <v>229190</v>
      </c>
    </row>
    <row r="41" spans="2:6" x14ac:dyDescent="0.25">
      <c r="B41" s="81"/>
      <c r="C41" s="106" t="s">
        <v>63</v>
      </c>
      <c r="D41" s="101">
        <f>SUM(D14+D15+D16+D18+D20+D23+D24+D25+D26+D27+D28+D30+D32+D35)</f>
        <v>198425.32</v>
      </c>
      <c r="E41" s="101">
        <f>SUM(E14+E15+E16+E18+E20+E23+E24+E25+E26+E27+E28+E30+E32+E35)</f>
        <v>30764.68</v>
      </c>
      <c r="F41" s="101">
        <f>SUM(F14+F15+F16+F18+F20+F23+F24+F25+F26+F27+F28+F30+F32+F35)</f>
        <v>229190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F42"/>
  <sheetViews>
    <sheetView workbookViewId="0">
      <pane ySplit="11" topLeftCell="A12" activePane="bottomLeft" state="frozen"/>
      <selection pane="bottomLeft" activeCell="F19" sqref="F19"/>
    </sheetView>
  </sheetViews>
  <sheetFormatPr baseColWidth="10" defaultRowHeight="15" x14ac:dyDescent="0.25"/>
  <cols>
    <col min="1" max="1" width="4" style="30" customWidth="1"/>
    <col min="2" max="2" width="9.140625" style="30" customWidth="1"/>
    <col min="3" max="3" width="42.85546875" style="30" customWidth="1"/>
    <col min="4" max="4" width="13" style="30" customWidth="1"/>
    <col min="5" max="5" width="15.5703125" style="30" customWidth="1"/>
    <col min="6" max="6" width="13.28515625" style="30" customWidth="1"/>
    <col min="7" max="16384" width="11.42578125" style="30"/>
  </cols>
  <sheetData>
    <row r="2" spans="2:6" ht="15.75" x14ac:dyDescent="0.25">
      <c r="B2" s="429" t="s">
        <v>407</v>
      </c>
      <c r="C2" s="429"/>
      <c r="D2" s="429"/>
      <c r="E2" s="429"/>
      <c r="F2" s="429"/>
    </row>
    <row r="3" spans="2:6" ht="15.75" x14ac:dyDescent="0.25">
      <c r="B3" s="429" t="s">
        <v>223</v>
      </c>
      <c r="C3" s="429"/>
      <c r="D3" s="429"/>
      <c r="E3" s="429"/>
      <c r="F3" s="429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284</v>
      </c>
      <c r="C5" s="427"/>
      <c r="D5" s="427"/>
      <c r="E5" s="427"/>
      <c r="F5" s="427"/>
    </row>
    <row r="6" spans="2:6" ht="15.75" x14ac:dyDescent="0.25">
      <c r="B6" s="144" t="s">
        <v>285</v>
      </c>
      <c r="C6" s="145"/>
      <c r="D6" s="145"/>
      <c r="E6" s="145"/>
      <c r="F6" s="145"/>
    </row>
    <row r="7" spans="2:6" ht="15.75" x14ac:dyDescent="0.25">
      <c r="B7" s="427" t="s">
        <v>226</v>
      </c>
      <c r="C7" s="427"/>
      <c r="D7" s="427"/>
      <c r="E7" s="427"/>
      <c r="F7" s="427"/>
    </row>
    <row r="8" spans="2:6" ht="15.75" x14ac:dyDescent="0.25">
      <c r="B8" s="429" t="s">
        <v>355</v>
      </c>
      <c r="C8" s="429"/>
      <c r="D8" s="429"/>
      <c r="E8" s="429"/>
      <c r="F8" s="429"/>
    </row>
    <row r="9" spans="2:6" x14ac:dyDescent="0.25">
      <c r="B9" s="31"/>
      <c r="C9" s="31"/>
      <c r="D9" s="31"/>
      <c r="E9" s="32"/>
      <c r="F9" s="31"/>
    </row>
    <row r="10" spans="2:6" x14ac:dyDescent="0.25">
      <c r="B10" s="425" t="s">
        <v>228</v>
      </c>
      <c r="C10" s="425" t="s">
        <v>229</v>
      </c>
      <c r="D10" s="97" t="s">
        <v>230</v>
      </c>
      <c r="E10" s="97" t="s">
        <v>231</v>
      </c>
      <c r="F10" s="425" t="s">
        <v>0</v>
      </c>
    </row>
    <row r="11" spans="2:6" ht="25.5" x14ac:dyDescent="0.25">
      <c r="B11" s="425"/>
      <c r="C11" s="425"/>
      <c r="D11" s="97" t="s">
        <v>232</v>
      </c>
      <c r="E11" s="354" t="s">
        <v>233</v>
      </c>
      <c r="F11" s="425"/>
    </row>
    <row r="12" spans="2:6" x14ac:dyDescent="0.25">
      <c r="B12" s="76">
        <v>51</v>
      </c>
      <c r="C12" s="105" t="s">
        <v>130</v>
      </c>
      <c r="D12" s="99">
        <f>SUM(D13+D16+D18)</f>
        <v>108437.5</v>
      </c>
      <c r="E12" s="99">
        <f>SUM(E13+E16+E18)</f>
        <v>13950</v>
      </c>
      <c r="F12" s="99">
        <f>SUM(F13+F16+F18)</f>
        <v>122387.5</v>
      </c>
    </row>
    <row r="13" spans="2:6" x14ac:dyDescent="0.25">
      <c r="B13" s="81">
        <v>511</v>
      </c>
      <c r="C13" s="113" t="s">
        <v>234</v>
      </c>
      <c r="D13" s="101">
        <f>SUM(D14:D15)</f>
        <v>94300</v>
      </c>
      <c r="E13" s="101">
        <f>SUM(E14:E15)</f>
        <v>12000</v>
      </c>
      <c r="F13" s="101">
        <f>SUM(F14:F15)</f>
        <v>106300</v>
      </c>
    </row>
    <row r="14" spans="2:6" x14ac:dyDescent="0.25">
      <c r="B14" s="84">
        <v>51101</v>
      </c>
      <c r="C14" s="102" t="s">
        <v>235</v>
      </c>
      <c r="D14" s="103">
        <v>87000</v>
      </c>
      <c r="E14" s="103">
        <v>12000</v>
      </c>
      <c r="F14" s="103">
        <f>SUM(D14:E14)</f>
        <v>99000</v>
      </c>
    </row>
    <row r="15" spans="2:6" x14ac:dyDescent="0.25">
      <c r="B15" s="84">
        <v>51103</v>
      </c>
      <c r="C15" s="104" t="s">
        <v>236</v>
      </c>
      <c r="D15" s="103">
        <v>7300</v>
      </c>
      <c r="E15" s="103">
        <v>0</v>
      </c>
      <c r="F15" s="103">
        <f>SUM(D15:E15)</f>
        <v>7300</v>
      </c>
    </row>
    <row r="16" spans="2:6" x14ac:dyDescent="0.25">
      <c r="B16" s="81">
        <v>514</v>
      </c>
      <c r="C16" s="105" t="s">
        <v>239</v>
      </c>
      <c r="D16" s="101">
        <f>SUM(D17:D17)</f>
        <v>7395</v>
      </c>
      <c r="E16" s="101">
        <f t="shared" ref="E16" si="0">SUM(E17)</f>
        <v>1020</v>
      </c>
      <c r="F16" s="101">
        <f>SUM(F17:F17)</f>
        <v>8415</v>
      </c>
    </row>
    <row r="17" spans="2:6" x14ac:dyDescent="0.25">
      <c r="B17" s="90">
        <v>51401</v>
      </c>
      <c r="C17" s="104" t="s">
        <v>240</v>
      </c>
      <c r="D17" s="103">
        <v>7395</v>
      </c>
      <c r="E17" s="103">
        <v>1020</v>
      </c>
      <c r="F17" s="103">
        <f>SUM(D17:E17)</f>
        <v>8415</v>
      </c>
    </row>
    <row r="18" spans="2:6" x14ac:dyDescent="0.25">
      <c r="B18" s="81">
        <v>515</v>
      </c>
      <c r="C18" s="106" t="s">
        <v>241</v>
      </c>
      <c r="D18" s="101">
        <f>SUM(D19:D19)</f>
        <v>6742.5</v>
      </c>
      <c r="E18" s="101">
        <f>SUM(E19:E19)</f>
        <v>930</v>
      </c>
      <c r="F18" s="101">
        <f>SUM(F19:F19)</f>
        <v>7672.5</v>
      </c>
    </row>
    <row r="19" spans="2:6" x14ac:dyDescent="0.25">
      <c r="B19" s="90">
        <v>51501</v>
      </c>
      <c r="C19" s="104" t="s">
        <v>240</v>
      </c>
      <c r="D19" s="103">
        <v>6742.5</v>
      </c>
      <c r="E19" s="103">
        <v>930</v>
      </c>
      <c r="F19" s="103">
        <f>SUM(D19:E19)</f>
        <v>7672.5</v>
      </c>
    </row>
    <row r="20" spans="2:6" x14ac:dyDescent="0.25">
      <c r="B20" s="81">
        <v>54</v>
      </c>
      <c r="C20" s="106" t="s">
        <v>286</v>
      </c>
      <c r="D20" s="101">
        <f>SUM(D21+D29+D32)</f>
        <v>11600</v>
      </c>
      <c r="E20" s="101">
        <f>SUM(E21+E29+E32)</f>
        <v>0</v>
      </c>
      <c r="F20" s="101">
        <f>SUM(F21+F29+F32)</f>
        <v>11600</v>
      </c>
    </row>
    <row r="21" spans="2:6" x14ac:dyDescent="0.25">
      <c r="B21" s="81">
        <v>541</v>
      </c>
      <c r="C21" s="106" t="s">
        <v>287</v>
      </c>
      <c r="D21" s="101">
        <f>SUM(D22:D28)</f>
        <v>7600</v>
      </c>
      <c r="E21" s="101">
        <f>SUM(E22:E28)</f>
        <v>0</v>
      </c>
      <c r="F21" s="101">
        <f>SUM(F22:F28)</f>
        <v>7600</v>
      </c>
    </row>
    <row r="22" spans="2:6" x14ac:dyDescent="0.25">
      <c r="B22" s="90">
        <v>54101</v>
      </c>
      <c r="C22" s="104" t="s">
        <v>246</v>
      </c>
      <c r="D22" s="112">
        <v>2000</v>
      </c>
      <c r="E22" s="103">
        <v>0</v>
      </c>
      <c r="F22" s="103">
        <f t="shared" ref="F22:F28" si="1">SUM(D22:E22)</f>
        <v>2000</v>
      </c>
    </row>
    <row r="23" spans="2:6" x14ac:dyDescent="0.25">
      <c r="B23" s="90">
        <v>54105</v>
      </c>
      <c r="C23" s="104" t="s">
        <v>249</v>
      </c>
      <c r="D23" s="112">
        <v>500</v>
      </c>
      <c r="E23" s="103">
        <v>0</v>
      </c>
      <c r="F23" s="103">
        <f t="shared" si="1"/>
        <v>500</v>
      </c>
    </row>
    <row r="24" spans="2:6" x14ac:dyDescent="0.25">
      <c r="B24" s="90">
        <v>54114</v>
      </c>
      <c r="C24" s="104" t="s">
        <v>253</v>
      </c>
      <c r="D24" s="112">
        <v>1600</v>
      </c>
      <c r="E24" s="103">
        <v>0</v>
      </c>
      <c r="F24" s="103">
        <f t="shared" si="1"/>
        <v>1600</v>
      </c>
    </row>
    <row r="25" spans="2:6" x14ac:dyDescent="0.25">
      <c r="B25" s="90">
        <v>54115</v>
      </c>
      <c r="C25" s="104" t="s">
        <v>254</v>
      </c>
      <c r="D25" s="112">
        <v>1600</v>
      </c>
      <c r="E25" s="103">
        <v>0</v>
      </c>
      <c r="F25" s="103">
        <f t="shared" si="1"/>
        <v>1600</v>
      </c>
    </row>
    <row r="26" spans="2:6" x14ac:dyDescent="0.25">
      <c r="B26" s="90">
        <v>54118</v>
      </c>
      <c r="C26" s="104" t="s">
        <v>356</v>
      </c>
      <c r="D26" s="112">
        <v>800</v>
      </c>
      <c r="E26" s="103">
        <v>0</v>
      </c>
      <c r="F26" s="103">
        <f t="shared" si="1"/>
        <v>800</v>
      </c>
    </row>
    <row r="27" spans="2:6" x14ac:dyDescent="0.25">
      <c r="B27" s="90">
        <v>54119</v>
      </c>
      <c r="C27" s="104" t="s">
        <v>309</v>
      </c>
      <c r="D27" s="146">
        <v>600</v>
      </c>
      <c r="E27" s="103">
        <v>0</v>
      </c>
      <c r="F27" s="103">
        <f t="shared" si="1"/>
        <v>600</v>
      </c>
    </row>
    <row r="28" spans="2:6" x14ac:dyDescent="0.25">
      <c r="B28" s="90">
        <v>54199</v>
      </c>
      <c r="C28" s="104" t="s">
        <v>256</v>
      </c>
      <c r="D28" s="146">
        <v>500</v>
      </c>
      <c r="E28" s="103">
        <v>0</v>
      </c>
      <c r="F28" s="103">
        <f t="shared" si="1"/>
        <v>500</v>
      </c>
    </row>
    <row r="29" spans="2:6" x14ac:dyDescent="0.25">
      <c r="B29" s="81">
        <v>543</v>
      </c>
      <c r="C29" s="106" t="s">
        <v>257</v>
      </c>
      <c r="D29" s="101">
        <f>SUM(D30:D31)</f>
        <v>3400</v>
      </c>
      <c r="E29" s="101">
        <f>SUM(E30:E31)</f>
        <v>0</v>
      </c>
      <c r="F29" s="101">
        <f>SUM(F30:F31)</f>
        <v>3400</v>
      </c>
    </row>
    <row r="30" spans="2:6" x14ac:dyDescent="0.25">
      <c r="B30" s="90">
        <v>54301</v>
      </c>
      <c r="C30" s="104" t="s">
        <v>357</v>
      </c>
      <c r="D30" s="103">
        <v>800</v>
      </c>
      <c r="E30" s="103">
        <v>0</v>
      </c>
      <c r="F30" s="103">
        <f>SUM(D30:E30)</f>
        <v>800</v>
      </c>
    </row>
    <row r="31" spans="2:6" x14ac:dyDescent="0.25">
      <c r="B31" s="90">
        <v>54304</v>
      </c>
      <c r="C31" s="104" t="s">
        <v>358</v>
      </c>
      <c r="D31" s="271">
        <v>2600</v>
      </c>
      <c r="E31" s="103">
        <v>0</v>
      </c>
      <c r="F31" s="103">
        <f>SUM(D31:E31)</f>
        <v>2600</v>
      </c>
    </row>
    <row r="32" spans="2:6" x14ac:dyDescent="0.25">
      <c r="B32" s="81">
        <v>544</v>
      </c>
      <c r="C32" s="106" t="s">
        <v>264</v>
      </c>
      <c r="D32" s="101">
        <f>SUM(D33)</f>
        <v>600</v>
      </c>
      <c r="E32" s="101">
        <f t="shared" ref="E32:F32" si="2">SUM(E33)</f>
        <v>0</v>
      </c>
      <c r="F32" s="101">
        <f t="shared" si="2"/>
        <v>600</v>
      </c>
    </row>
    <row r="33" spans="2:6" x14ac:dyDescent="0.25">
      <c r="B33" s="90">
        <v>54401</v>
      </c>
      <c r="C33" s="104" t="s">
        <v>265</v>
      </c>
      <c r="D33" s="103">
        <v>600</v>
      </c>
      <c r="E33" s="103">
        <v>0</v>
      </c>
      <c r="F33" s="103">
        <f>SUM(D33:E33)</f>
        <v>600</v>
      </c>
    </row>
    <row r="34" spans="2:6" x14ac:dyDescent="0.25">
      <c r="B34" s="81">
        <v>61</v>
      </c>
      <c r="C34" s="106" t="s">
        <v>280</v>
      </c>
      <c r="D34" s="101">
        <f>SUM(D35)</f>
        <v>1500</v>
      </c>
      <c r="E34" s="101">
        <f t="shared" ref="E34:F34" si="3">SUM(E35)</f>
        <v>0</v>
      </c>
      <c r="F34" s="101">
        <f t="shared" si="3"/>
        <v>1500</v>
      </c>
    </row>
    <row r="35" spans="2:6" x14ac:dyDescent="0.25">
      <c r="B35" s="81">
        <v>611</v>
      </c>
      <c r="C35" s="106" t="s">
        <v>352</v>
      </c>
      <c r="D35" s="101">
        <f>SUM(D36:D36)</f>
        <v>1500</v>
      </c>
      <c r="E35" s="101">
        <f>SUM(E36:E36)</f>
        <v>0</v>
      </c>
      <c r="F35" s="101">
        <f>SUM(F36:F36)</f>
        <v>1500</v>
      </c>
    </row>
    <row r="36" spans="2:6" x14ac:dyDescent="0.25">
      <c r="B36" s="90">
        <v>61101</v>
      </c>
      <c r="C36" s="104" t="s">
        <v>282</v>
      </c>
      <c r="D36" s="112">
        <v>1500</v>
      </c>
      <c r="E36" s="103">
        <v>0</v>
      </c>
      <c r="F36" s="103">
        <f>SUM(D36:E36)</f>
        <v>1500</v>
      </c>
    </row>
    <row r="37" spans="2:6" x14ac:dyDescent="0.25">
      <c r="B37" s="90"/>
      <c r="C37" s="104"/>
      <c r="D37" s="103"/>
      <c r="E37" s="103"/>
      <c r="F37" s="103"/>
    </row>
    <row r="38" spans="2:6" x14ac:dyDescent="0.25">
      <c r="B38" s="90"/>
      <c r="C38" s="106" t="s">
        <v>70</v>
      </c>
      <c r="D38" s="101">
        <f>SUM(D12+D20+D34)</f>
        <v>121537.5</v>
      </c>
      <c r="E38" s="101">
        <f>SUM(E12+E20+E34)</f>
        <v>13950</v>
      </c>
      <c r="F38" s="101">
        <f>SUM(D38:E38)</f>
        <v>135487.5</v>
      </c>
    </row>
    <row r="39" spans="2:6" x14ac:dyDescent="0.25">
      <c r="B39" s="90"/>
      <c r="C39" s="104"/>
      <c r="D39" s="103"/>
      <c r="E39" s="103"/>
      <c r="F39" s="103"/>
    </row>
    <row r="40" spans="2:6" x14ac:dyDescent="0.25">
      <c r="B40" s="81"/>
      <c r="C40" s="106" t="s">
        <v>61</v>
      </c>
      <c r="D40" s="101">
        <f>+D12+D20+D34</f>
        <v>121537.5</v>
      </c>
      <c r="E40" s="101">
        <f>+E12+E20+E34</f>
        <v>13950</v>
      </c>
      <c r="F40" s="101">
        <f>+F12+F20+F34</f>
        <v>135487.5</v>
      </c>
    </row>
    <row r="41" spans="2:6" x14ac:dyDescent="0.25">
      <c r="B41" s="81"/>
      <c r="C41" s="106" t="s">
        <v>62</v>
      </c>
      <c r="D41" s="101">
        <f>SUM(D13+D16+D18++D21+D29+D32+D35)</f>
        <v>121537.5</v>
      </c>
      <c r="E41" s="101">
        <f>SUM(E13+E16+E18++E21+E29+E32+E35)</f>
        <v>13950</v>
      </c>
      <c r="F41" s="101">
        <f>SUM(F13+F16+F18++F21+F29+F32+F35)</f>
        <v>135487.5</v>
      </c>
    </row>
    <row r="42" spans="2:6" x14ac:dyDescent="0.25">
      <c r="B42" s="81"/>
      <c r="C42" s="106" t="s">
        <v>63</v>
      </c>
      <c r="D42" s="101">
        <f>SUM(D14+D15+D17+D19+D22+D23+D24+D25+D26+D27+D28+D30+D31+D33+D36)</f>
        <v>121537.5</v>
      </c>
      <c r="E42" s="101">
        <f>SUM(E14+E15+E17+E19+E22+E23+E24+E25+E30+E33+E36)</f>
        <v>13950</v>
      </c>
      <c r="F42" s="101">
        <f>SUM(F14+F15+F17+F19+F22+F23+F24+F25+F26+F27+F28++F30+F31+F33+F36)</f>
        <v>135487.5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30"/>
  <sheetViews>
    <sheetView workbookViewId="0">
      <selection activeCell="D24" sqref="D24"/>
    </sheetView>
  </sheetViews>
  <sheetFormatPr baseColWidth="10" defaultRowHeight="14.25" x14ac:dyDescent="0.2"/>
  <cols>
    <col min="1" max="1" width="3" style="200" customWidth="1"/>
    <col min="2" max="2" width="8.42578125" style="200" customWidth="1"/>
    <col min="3" max="3" width="39" style="200" customWidth="1"/>
    <col min="4" max="4" width="21.140625" style="200" customWidth="1"/>
    <col min="5" max="5" width="8" style="200" customWidth="1"/>
    <col min="6" max="6" width="50.42578125" style="200" customWidth="1"/>
    <col min="7" max="7" width="21.140625" style="200" customWidth="1"/>
    <col min="8" max="16384" width="11.42578125" style="200"/>
  </cols>
  <sheetData>
    <row r="2" spans="2:7" ht="18" x14ac:dyDescent="0.2">
      <c r="B2" s="403" t="s">
        <v>409</v>
      </c>
      <c r="C2" s="403"/>
      <c r="D2" s="403"/>
      <c r="E2" s="403"/>
      <c r="F2" s="403"/>
      <c r="G2" s="403"/>
    </row>
    <row r="3" spans="2:7" ht="18" x14ac:dyDescent="0.25">
      <c r="B3" s="404" t="s">
        <v>127</v>
      </c>
      <c r="C3" s="404"/>
      <c r="D3" s="404"/>
      <c r="E3" s="404"/>
      <c r="F3" s="404"/>
      <c r="G3" s="404"/>
    </row>
    <row r="4" spans="2:7" ht="18" x14ac:dyDescent="0.25">
      <c r="B4" s="201"/>
      <c r="C4" s="201"/>
      <c r="D4" s="201"/>
      <c r="E4" s="201"/>
      <c r="F4" s="201"/>
      <c r="G4" s="201"/>
    </row>
    <row r="5" spans="2:7" ht="18" x14ac:dyDescent="0.2">
      <c r="B5" s="202" t="s">
        <v>136</v>
      </c>
      <c r="C5" s="193" t="s">
        <v>128</v>
      </c>
      <c r="D5" s="203"/>
      <c r="E5" s="202" t="s">
        <v>136</v>
      </c>
      <c r="F5" s="193" t="s">
        <v>129</v>
      </c>
      <c r="G5" s="203"/>
    </row>
    <row r="6" spans="2:7" ht="15.75" x14ac:dyDescent="0.2">
      <c r="B6" s="204">
        <v>11</v>
      </c>
      <c r="C6" s="194" t="s">
        <v>72</v>
      </c>
      <c r="D6" s="210">
        <f>+'PRESU INGRESOS'!E8</f>
        <v>52555</v>
      </c>
      <c r="E6" s="204">
        <v>51</v>
      </c>
      <c r="F6" s="194" t="s">
        <v>130</v>
      </c>
      <c r="G6" s="210">
        <f>+REMUNERACIONES!E34+REMUNERACIONES!L34</f>
        <v>1525876.6</v>
      </c>
    </row>
    <row r="7" spans="2:7" ht="15.75" x14ac:dyDescent="0.2">
      <c r="B7" s="204">
        <v>12</v>
      </c>
      <c r="C7" s="194" t="s">
        <v>78</v>
      </c>
      <c r="D7" s="210">
        <f>+'PRESU INGRESOS'!E15</f>
        <v>1355315.67</v>
      </c>
      <c r="E7" s="204">
        <v>54</v>
      </c>
      <c r="F7" s="194" t="s">
        <v>131</v>
      </c>
      <c r="G7" s="210">
        <f>+GASTO!D33+GASTO!K33+'GASTO FISDL'!D12+'GASTO DONACION'!D12</f>
        <v>923763.11000000022</v>
      </c>
    </row>
    <row r="8" spans="2:7" ht="15.75" x14ac:dyDescent="0.2">
      <c r="B8" s="204">
        <v>14</v>
      </c>
      <c r="C8" s="194" t="s">
        <v>60</v>
      </c>
      <c r="D8" s="210">
        <f>+'PRESU INGRESOS'!E33</f>
        <v>1150</v>
      </c>
      <c r="E8" s="204">
        <v>55</v>
      </c>
      <c r="F8" s="194" t="s">
        <v>132</v>
      </c>
      <c r="G8" s="210">
        <f>+GASTO!D41+GASTO!K41+'GASTO FISDL'!D25+'GASTO DONACION'!D21</f>
        <v>46453</v>
      </c>
    </row>
    <row r="9" spans="2:7" ht="15.75" x14ac:dyDescent="0.2">
      <c r="B9" s="204">
        <v>15</v>
      </c>
      <c r="C9" s="194" t="s">
        <v>93</v>
      </c>
      <c r="D9" s="211">
        <f>+'PRESU INGRESOS'!E36</f>
        <v>30414.95</v>
      </c>
      <c r="E9" s="204">
        <v>56</v>
      </c>
      <c r="F9" s="194" t="s">
        <v>106</v>
      </c>
      <c r="G9" s="210">
        <f>+GASTO!D48+GASTO!K48</f>
        <v>7200</v>
      </c>
    </row>
    <row r="10" spans="2:7" ht="15.75" x14ac:dyDescent="0.2">
      <c r="B10" s="204">
        <v>16</v>
      </c>
      <c r="C10" s="194" t="s">
        <v>106</v>
      </c>
      <c r="D10" s="210">
        <f>+'PRESU INGRESOS'!D49</f>
        <v>707422.66</v>
      </c>
      <c r="E10" s="204">
        <v>61</v>
      </c>
      <c r="F10" s="194" t="s">
        <v>133</v>
      </c>
      <c r="G10" s="210">
        <f>+GASTO!D76+GASTO!K76</f>
        <v>23740</v>
      </c>
    </row>
    <row r="11" spans="2:7" ht="30.75" customHeight="1" x14ac:dyDescent="0.2">
      <c r="B11" s="204">
        <v>22</v>
      </c>
      <c r="C11" s="194" t="s">
        <v>109</v>
      </c>
      <c r="D11" s="210">
        <f>+'PRESU INGRESOS'!D52</f>
        <v>2832752.4299999997</v>
      </c>
      <c r="E11" s="204"/>
      <c r="F11" s="195" t="s">
        <v>442</v>
      </c>
      <c r="G11" s="210">
        <f>+'FODES 75%'!D23+'FODES 2% '!D11</f>
        <v>3232013.6799999997</v>
      </c>
    </row>
    <row r="12" spans="2:7" ht="15.75" x14ac:dyDescent="0.2">
      <c r="B12" s="204">
        <v>32</v>
      </c>
      <c r="C12" s="194" t="s">
        <v>3</v>
      </c>
      <c r="D12" s="210">
        <f>+'PRESU INGRESOS'!F56</f>
        <v>779435.67999999993</v>
      </c>
      <c r="F12" s="195"/>
      <c r="G12" s="212"/>
    </row>
    <row r="13" spans="2:7" s="52" customFormat="1" ht="15.75" x14ac:dyDescent="0.2">
      <c r="B13" s="206"/>
      <c r="C13" s="195"/>
      <c r="D13" s="212"/>
      <c r="E13" s="207"/>
      <c r="G13" s="205"/>
    </row>
    <row r="14" spans="2:7" ht="18" x14ac:dyDescent="0.2">
      <c r="B14" s="208"/>
      <c r="C14" s="193" t="s">
        <v>134</v>
      </c>
      <c r="D14" s="196">
        <f>SUM(D6:D12)</f>
        <v>5759046.3899999987</v>
      </c>
      <c r="E14" s="208"/>
      <c r="F14" s="193" t="s">
        <v>135</v>
      </c>
      <c r="G14" s="196">
        <f>SUM(G6:G12)</f>
        <v>5759046.3900000006</v>
      </c>
    </row>
    <row r="17" spans="6:7" x14ac:dyDescent="0.2">
      <c r="G17" s="374">
        <f>+D14-G14</f>
        <v>0</v>
      </c>
    </row>
    <row r="23" spans="6:7" ht="15" x14ac:dyDescent="0.25">
      <c r="F23" s="209"/>
    </row>
    <row r="30" spans="6:7" x14ac:dyDescent="0.2">
      <c r="F30" s="200" t="s">
        <v>390</v>
      </c>
    </row>
  </sheetData>
  <mergeCells count="2">
    <mergeCell ref="B2:G2"/>
    <mergeCell ref="B3:G3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F54"/>
  <sheetViews>
    <sheetView workbookViewId="0">
      <pane ySplit="11" topLeftCell="A33" activePane="bottomLeft" state="frozen"/>
      <selection pane="bottomLeft" activeCell="A33" sqref="A33:XFD33"/>
    </sheetView>
  </sheetViews>
  <sheetFormatPr baseColWidth="10" defaultRowHeight="15" x14ac:dyDescent="0.25"/>
  <cols>
    <col min="1" max="1" width="3" style="30" customWidth="1"/>
    <col min="2" max="2" width="5.85546875" style="30" customWidth="1"/>
    <col min="3" max="3" width="43.7109375" style="30" customWidth="1"/>
    <col min="4" max="4" width="18.28515625" style="30" customWidth="1"/>
    <col min="5" max="5" width="17.42578125" style="30" customWidth="1"/>
    <col min="6" max="6" width="13.7109375" style="30" customWidth="1"/>
    <col min="7" max="16384" width="11.42578125" style="30"/>
  </cols>
  <sheetData>
    <row r="2" spans="2:6" ht="15.75" x14ac:dyDescent="0.25">
      <c r="B2" s="429" t="s">
        <v>407</v>
      </c>
      <c r="C2" s="429"/>
      <c r="D2" s="429"/>
      <c r="E2" s="429"/>
      <c r="F2" s="429"/>
    </row>
    <row r="3" spans="2:6" ht="15.75" x14ac:dyDescent="0.25">
      <c r="B3" s="429" t="s">
        <v>223</v>
      </c>
      <c r="C3" s="429"/>
      <c r="D3" s="429"/>
      <c r="E3" s="429"/>
      <c r="F3" s="429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284</v>
      </c>
      <c r="C5" s="427"/>
      <c r="D5" s="427"/>
      <c r="E5" s="427"/>
      <c r="F5" s="427"/>
    </row>
    <row r="6" spans="2:6" ht="15.75" x14ac:dyDescent="0.25">
      <c r="B6" s="427" t="s">
        <v>285</v>
      </c>
      <c r="C6" s="427"/>
      <c r="D6" s="427"/>
      <c r="E6" s="427"/>
      <c r="F6" s="427"/>
    </row>
    <row r="7" spans="2:6" ht="15.75" x14ac:dyDescent="0.25">
      <c r="B7" s="427" t="s">
        <v>226</v>
      </c>
      <c r="C7" s="427"/>
      <c r="D7" s="427"/>
      <c r="E7" s="427"/>
      <c r="F7" s="427"/>
    </row>
    <row r="8" spans="2:6" ht="15.75" x14ac:dyDescent="0.25">
      <c r="B8" s="429" t="s">
        <v>162</v>
      </c>
      <c r="C8" s="429"/>
      <c r="D8" s="429"/>
      <c r="E8" s="429"/>
      <c r="F8" s="429"/>
    </row>
    <row r="9" spans="2:6" x14ac:dyDescent="0.25">
      <c r="B9" s="31"/>
      <c r="C9" s="31"/>
      <c r="D9" s="31"/>
      <c r="E9" s="32"/>
      <c r="F9" s="31"/>
    </row>
    <row r="10" spans="2:6" x14ac:dyDescent="0.25">
      <c r="B10" s="425" t="s">
        <v>228</v>
      </c>
      <c r="C10" s="425" t="s">
        <v>229</v>
      </c>
      <c r="D10" s="97" t="s">
        <v>230</v>
      </c>
      <c r="E10" s="97" t="s">
        <v>231</v>
      </c>
      <c r="F10" s="425" t="s">
        <v>0</v>
      </c>
    </row>
    <row r="11" spans="2:6" x14ac:dyDescent="0.25">
      <c r="B11" s="425"/>
      <c r="C11" s="425"/>
      <c r="D11" s="97" t="s">
        <v>232</v>
      </c>
      <c r="E11" s="354" t="s">
        <v>233</v>
      </c>
      <c r="F11" s="425"/>
    </row>
    <row r="12" spans="2:6" x14ac:dyDescent="0.25">
      <c r="B12" s="76">
        <v>51</v>
      </c>
      <c r="C12" s="105" t="s">
        <v>130</v>
      </c>
      <c r="D12" s="99">
        <f>SUM(D13+D17+D19)</f>
        <v>182200.31</v>
      </c>
      <c r="E12" s="99">
        <f>SUM(E13+E17+E19)</f>
        <v>31798.93</v>
      </c>
      <c r="F12" s="99">
        <f>SUM(F13+F17+F19)</f>
        <v>213999.24000000002</v>
      </c>
    </row>
    <row r="13" spans="2:6" x14ac:dyDescent="0.25">
      <c r="B13" s="81">
        <v>511</v>
      </c>
      <c r="C13" s="113" t="s">
        <v>234</v>
      </c>
      <c r="D13" s="101">
        <f>SUM(D14:D16)</f>
        <v>159365</v>
      </c>
      <c r="E13" s="101">
        <f>SUM(E14:E16)</f>
        <v>27355</v>
      </c>
      <c r="F13" s="101">
        <f>SUM(F14:F16)</f>
        <v>186720</v>
      </c>
    </row>
    <row r="14" spans="2:6" x14ac:dyDescent="0.25">
      <c r="B14" s="84">
        <v>51101</v>
      </c>
      <c r="C14" s="102" t="s">
        <v>235</v>
      </c>
      <c r="D14" s="103">
        <v>140525</v>
      </c>
      <c r="E14" s="103">
        <v>27355</v>
      </c>
      <c r="F14" s="103">
        <f>SUM(D14:E14)</f>
        <v>167880</v>
      </c>
    </row>
    <row r="15" spans="2:6" x14ac:dyDescent="0.25">
      <c r="B15" s="84">
        <v>51103</v>
      </c>
      <c r="C15" s="104" t="s">
        <v>236</v>
      </c>
      <c r="D15" s="103">
        <v>13840</v>
      </c>
      <c r="E15" s="103">
        <v>0</v>
      </c>
      <c r="F15" s="103">
        <f>SUM(D15:E15)</f>
        <v>13840</v>
      </c>
    </row>
    <row r="16" spans="2:6" x14ac:dyDescent="0.25">
      <c r="B16" s="90">
        <v>51107</v>
      </c>
      <c r="C16" s="143" t="s">
        <v>238</v>
      </c>
      <c r="D16" s="103">
        <v>5000</v>
      </c>
      <c r="E16" s="103">
        <v>0</v>
      </c>
      <c r="F16" s="103">
        <f>SUM(D16:E16)</f>
        <v>5000</v>
      </c>
    </row>
    <row r="17" spans="2:6" x14ac:dyDescent="0.25">
      <c r="B17" s="81">
        <v>514</v>
      </c>
      <c r="C17" s="105" t="s">
        <v>239</v>
      </c>
      <c r="D17" s="101">
        <f>SUM(D18:D18)</f>
        <v>11943.99</v>
      </c>
      <c r="E17" s="101">
        <f t="shared" ref="E17" si="0">SUM(E18)</f>
        <v>2324.5500000000002</v>
      </c>
      <c r="F17" s="101">
        <f>SUM(F18:F18)</f>
        <v>14268.54</v>
      </c>
    </row>
    <row r="18" spans="2:6" x14ac:dyDescent="0.25">
      <c r="B18" s="90">
        <v>51401</v>
      </c>
      <c r="C18" s="104" t="s">
        <v>240</v>
      </c>
      <c r="D18" s="103">
        <v>11943.99</v>
      </c>
      <c r="E18" s="103">
        <v>2324.5500000000002</v>
      </c>
      <c r="F18" s="103">
        <f>SUM(D18:E18)</f>
        <v>14268.54</v>
      </c>
    </row>
    <row r="19" spans="2:6" x14ac:dyDescent="0.25">
      <c r="B19" s="81">
        <v>515</v>
      </c>
      <c r="C19" s="105" t="s">
        <v>241</v>
      </c>
      <c r="D19" s="101">
        <f>SUM(D20:D20)</f>
        <v>10891.32</v>
      </c>
      <c r="E19" s="101">
        <f>SUM(E20:E20)</f>
        <v>2119.38</v>
      </c>
      <c r="F19" s="101">
        <f>SUM(F20:F20)</f>
        <v>13010.7</v>
      </c>
    </row>
    <row r="20" spans="2:6" x14ac:dyDescent="0.25">
      <c r="B20" s="90">
        <v>51501</v>
      </c>
      <c r="C20" s="104" t="s">
        <v>240</v>
      </c>
      <c r="D20" s="103">
        <v>10891.32</v>
      </c>
      <c r="E20" s="103">
        <v>2119.38</v>
      </c>
      <c r="F20" s="103">
        <f>SUM(D20:E20)</f>
        <v>13010.7</v>
      </c>
    </row>
    <row r="21" spans="2:6" x14ac:dyDescent="0.25">
      <c r="B21" s="81">
        <v>54</v>
      </c>
      <c r="C21" s="106" t="s">
        <v>286</v>
      </c>
      <c r="D21" s="101">
        <f>SUM(D22+D36+D41)</f>
        <v>140872.83000000002</v>
      </c>
      <c r="E21" s="101">
        <f>SUM(E22+E36+E41)</f>
        <v>165591.16</v>
      </c>
      <c r="F21" s="101">
        <f>SUM(F22+F36+F41)</f>
        <v>306463.99</v>
      </c>
    </row>
    <row r="22" spans="2:6" x14ac:dyDescent="0.25">
      <c r="B22" s="81">
        <v>541</v>
      </c>
      <c r="C22" s="106" t="s">
        <v>287</v>
      </c>
      <c r="D22" s="101">
        <f>SUM(D23:D35)</f>
        <v>39972.83</v>
      </c>
      <c r="E22" s="101">
        <f>SUM(E23:E35)</f>
        <v>16134.41</v>
      </c>
      <c r="F22" s="101">
        <f>SUM(F23:F35)</f>
        <v>56107.24</v>
      </c>
    </row>
    <row r="23" spans="2:6" x14ac:dyDescent="0.25">
      <c r="B23" s="90">
        <v>54104</v>
      </c>
      <c r="C23" s="104" t="s">
        <v>248</v>
      </c>
      <c r="D23" s="103">
        <v>6500</v>
      </c>
      <c r="E23" s="103">
        <v>0</v>
      </c>
      <c r="F23" s="103">
        <f t="shared" ref="F23:F35" si="1">SUM(D23:E23)</f>
        <v>6500</v>
      </c>
    </row>
    <row r="24" spans="2:6" x14ac:dyDescent="0.25">
      <c r="B24" s="90">
        <v>54105</v>
      </c>
      <c r="C24" s="104" t="s">
        <v>249</v>
      </c>
      <c r="D24" s="103">
        <v>800</v>
      </c>
      <c r="E24" s="103">
        <v>0</v>
      </c>
      <c r="F24" s="103">
        <f t="shared" si="1"/>
        <v>800</v>
      </c>
    </row>
    <row r="25" spans="2:6" x14ac:dyDescent="0.25">
      <c r="B25" s="90">
        <v>54106</v>
      </c>
      <c r="C25" s="104" t="s">
        <v>250</v>
      </c>
      <c r="D25" s="112">
        <v>900</v>
      </c>
      <c r="E25" s="103">
        <v>0</v>
      </c>
      <c r="F25" s="103">
        <f t="shared" si="1"/>
        <v>900</v>
      </c>
    </row>
    <row r="26" spans="2:6" x14ac:dyDescent="0.25">
      <c r="B26" s="90">
        <v>54107</v>
      </c>
      <c r="C26" s="104" t="s">
        <v>318</v>
      </c>
      <c r="D26" s="112">
        <v>250</v>
      </c>
      <c r="E26" s="103">
        <v>0</v>
      </c>
      <c r="F26" s="103">
        <f t="shared" si="1"/>
        <v>250</v>
      </c>
    </row>
    <row r="27" spans="2:6" x14ac:dyDescent="0.25">
      <c r="B27" s="90">
        <v>54109</v>
      </c>
      <c r="C27" s="104" t="s">
        <v>294</v>
      </c>
      <c r="D27" s="103">
        <v>5000</v>
      </c>
      <c r="E27" s="103">
        <v>0</v>
      </c>
      <c r="F27" s="103">
        <f t="shared" si="1"/>
        <v>5000</v>
      </c>
    </row>
    <row r="28" spans="2:6" x14ac:dyDescent="0.25">
      <c r="B28" s="90">
        <v>54110</v>
      </c>
      <c r="C28" s="104" t="s">
        <v>333</v>
      </c>
      <c r="D28" s="103">
        <v>7000</v>
      </c>
      <c r="E28" s="103">
        <v>0</v>
      </c>
      <c r="F28" s="103">
        <f t="shared" si="1"/>
        <v>7000</v>
      </c>
    </row>
    <row r="29" spans="2:6" x14ac:dyDescent="0.25">
      <c r="B29" s="90">
        <v>54111</v>
      </c>
      <c r="C29" s="104" t="s">
        <v>334</v>
      </c>
      <c r="D29" s="103">
        <v>6123.2</v>
      </c>
      <c r="E29" s="103">
        <v>3000</v>
      </c>
      <c r="F29" s="103">
        <f t="shared" si="1"/>
        <v>9123.2000000000007</v>
      </c>
    </row>
    <row r="30" spans="2:6" x14ac:dyDescent="0.25">
      <c r="B30" s="90">
        <v>54112</v>
      </c>
      <c r="C30" s="104" t="s">
        <v>252</v>
      </c>
      <c r="D30" s="103">
        <v>6049.63</v>
      </c>
      <c r="E30" s="103">
        <v>3087.09</v>
      </c>
      <c r="F30" s="103">
        <f t="shared" si="1"/>
        <v>9136.7200000000012</v>
      </c>
    </row>
    <row r="31" spans="2:6" x14ac:dyDescent="0.25">
      <c r="B31" s="90">
        <v>54114</v>
      </c>
      <c r="C31" s="104" t="s">
        <v>253</v>
      </c>
      <c r="D31" s="103">
        <v>250</v>
      </c>
      <c r="E31" s="103">
        <v>0</v>
      </c>
      <c r="F31" s="103">
        <f t="shared" si="1"/>
        <v>250</v>
      </c>
    </row>
    <row r="32" spans="2:6" x14ac:dyDescent="0.25">
      <c r="B32" s="90">
        <v>54115</v>
      </c>
      <c r="C32" s="104" t="s">
        <v>254</v>
      </c>
      <c r="D32" s="103">
        <v>100</v>
      </c>
      <c r="E32" s="103">
        <v>0</v>
      </c>
      <c r="F32" s="103">
        <f t="shared" si="1"/>
        <v>100</v>
      </c>
    </row>
    <row r="33" spans="2:6" x14ac:dyDescent="0.25">
      <c r="B33" s="90">
        <v>54118</v>
      </c>
      <c r="C33" s="104" t="s">
        <v>295</v>
      </c>
      <c r="D33" s="112">
        <v>3000</v>
      </c>
      <c r="E33" s="103">
        <v>4000</v>
      </c>
      <c r="F33" s="103">
        <f t="shared" si="1"/>
        <v>7000</v>
      </c>
    </row>
    <row r="34" spans="2:6" x14ac:dyDescent="0.25">
      <c r="B34" s="90">
        <v>54119</v>
      </c>
      <c r="C34" s="104" t="s">
        <v>255</v>
      </c>
      <c r="D34" s="112">
        <v>2000</v>
      </c>
      <c r="E34" s="103">
        <v>1047.32</v>
      </c>
      <c r="F34" s="103">
        <f t="shared" si="1"/>
        <v>3047.3199999999997</v>
      </c>
    </row>
    <row r="35" spans="2:6" x14ac:dyDescent="0.25">
      <c r="B35" s="90">
        <v>54199</v>
      </c>
      <c r="C35" s="104" t="s">
        <v>256</v>
      </c>
      <c r="D35" s="103">
        <v>2000</v>
      </c>
      <c r="E35" s="103">
        <v>5000</v>
      </c>
      <c r="F35" s="103">
        <f t="shared" si="1"/>
        <v>7000</v>
      </c>
    </row>
    <row r="36" spans="2:6" x14ac:dyDescent="0.25">
      <c r="B36" s="81">
        <v>542</v>
      </c>
      <c r="C36" s="106" t="s">
        <v>337</v>
      </c>
      <c r="D36" s="101">
        <f>SUM(D37:D40)</f>
        <v>82000</v>
      </c>
      <c r="E36" s="101">
        <f>SUM(E37:E40)</f>
        <v>133000</v>
      </c>
      <c r="F36" s="101">
        <f>SUM(F37:F40)</f>
        <v>215000</v>
      </c>
    </row>
    <row r="37" spans="2:6" x14ac:dyDescent="0.25">
      <c r="B37" s="90">
        <v>54201</v>
      </c>
      <c r="C37" s="104" t="s">
        <v>343</v>
      </c>
      <c r="D37" s="103">
        <v>20000</v>
      </c>
      <c r="E37" s="103">
        <v>40000</v>
      </c>
      <c r="F37" s="103">
        <f>SUM(D37:E37)</f>
        <v>60000</v>
      </c>
    </row>
    <row r="38" spans="2:6" x14ac:dyDescent="0.25">
      <c r="B38" s="90">
        <v>54202</v>
      </c>
      <c r="C38" s="104" t="s">
        <v>344</v>
      </c>
      <c r="D38" s="103">
        <v>10000</v>
      </c>
      <c r="E38" s="103">
        <v>12000</v>
      </c>
      <c r="F38" s="103">
        <f>SUM(D38:E38)</f>
        <v>22000</v>
      </c>
    </row>
    <row r="39" spans="2:6" x14ac:dyDescent="0.25">
      <c r="B39" s="90">
        <v>54203</v>
      </c>
      <c r="C39" s="104" t="s">
        <v>345</v>
      </c>
      <c r="D39" s="103">
        <v>17000</v>
      </c>
      <c r="E39" s="103">
        <v>23000</v>
      </c>
      <c r="F39" s="103">
        <f>SUM(D39:E39)</f>
        <v>40000</v>
      </c>
    </row>
    <row r="40" spans="2:6" x14ac:dyDescent="0.25">
      <c r="B40" s="90">
        <v>54205</v>
      </c>
      <c r="C40" s="104" t="s">
        <v>359</v>
      </c>
      <c r="D40" s="103">
        <v>35000</v>
      </c>
      <c r="E40" s="103">
        <v>58000</v>
      </c>
      <c r="F40" s="103">
        <f>SUM(D40:E40)</f>
        <v>93000</v>
      </c>
    </row>
    <row r="41" spans="2:6" x14ac:dyDescent="0.25">
      <c r="B41" s="81">
        <v>543</v>
      </c>
      <c r="C41" s="106" t="s">
        <v>257</v>
      </c>
      <c r="D41" s="101">
        <f>SUM(D42:D48)</f>
        <v>18900</v>
      </c>
      <c r="E41" s="101">
        <f>SUM(E42:E48)</f>
        <v>16456.75</v>
      </c>
      <c r="F41" s="101">
        <f>SUM(F42:F48)</f>
        <v>35356.75</v>
      </c>
    </row>
    <row r="42" spans="2:6" x14ac:dyDescent="0.25">
      <c r="B42" s="90">
        <v>54301</v>
      </c>
      <c r="C42" s="104" t="s">
        <v>258</v>
      </c>
      <c r="D42" s="112">
        <v>3000</v>
      </c>
      <c r="E42" s="103">
        <v>3000</v>
      </c>
      <c r="F42" s="103">
        <f t="shared" ref="F42:F48" si="2">SUM(D42:E42)</f>
        <v>6000</v>
      </c>
    </row>
    <row r="43" spans="2:6" x14ac:dyDescent="0.25">
      <c r="B43" s="90">
        <v>54302</v>
      </c>
      <c r="C43" s="104" t="s">
        <v>349</v>
      </c>
      <c r="D43" s="103">
        <v>3000</v>
      </c>
      <c r="E43" s="103">
        <v>3000</v>
      </c>
      <c r="F43" s="103">
        <f t="shared" si="2"/>
        <v>6000</v>
      </c>
    </row>
    <row r="44" spans="2:6" x14ac:dyDescent="0.25">
      <c r="B44" s="90">
        <v>54303</v>
      </c>
      <c r="C44" s="87" t="s">
        <v>360</v>
      </c>
      <c r="D44" s="112">
        <v>2000</v>
      </c>
      <c r="E44" s="103">
        <v>2556.75</v>
      </c>
      <c r="F44" s="103">
        <f t="shared" si="2"/>
        <v>4556.75</v>
      </c>
    </row>
    <row r="45" spans="2:6" x14ac:dyDescent="0.25">
      <c r="B45" s="90">
        <v>54304</v>
      </c>
      <c r="C45" s="104" t="s">
        <v>361</v>
      </c>
      <c r="D45" s="112">
        <v>2000</v>
      </c>
      <c r="E45" s="103">
        <v>4000</v>
      </c>
      <c r="F45" s="103">
        <f t="shared" si="2"/>
        <v>6000</v>
      </c>
    </row>
    <row r="46" spans="2:6" x14ac:dyDescent="0.25">
      <c r="B46" s="90">
        <v>54313</v>
      </c>
      <c r="C46" s="104" t="s">
        <v>261</v>
      </c>
      <c r="D46" s="112">
        <v>900</v>
      </c>
      <c r="E46" s="103">
        <v>0</v>
      </c>
      <c r="F46" s="103">
        <f t="shared" si="2"/>
        <v>900</v>
      </c>
    </row>
    <row r="47" spans="2:6" x14ac:dyDescent="0.25">
      <c r="B47" s="90">
        <v>54317</v>
      </c>
      <c r="C47" s="104" t="s">
        <v>6</v>
      </c>
      <c r="D47" s="112">
        <v>5000</v>
      </c>
      <c r="E47" s="103">
        <v>3900</v>
      </c>
      <c r="F47" s="103">
        <f t="shared" si="2"/>
        <v>8900</v>
      </c>
    </row>
    <row r="48" spans="2:6" x14ac:dyDescent="0.25">
      <c r="B48" s="90">
        <v>54399</v>
      </c>
      <c r="C48" s="104" t="s">
        <v>263</v>
      </c>
      <c r="D48" s="112">
        <v>3000</v>
      </c>
      <c r="E48" s="103">
        <v>0</v>
      </c>
      <c r="F48" s="103">
        <f t="shared" si="2"/>
        <v>3000</v>
      </c>
    </row>
    <row r="49" spans="2:6" x14ac:dyDescent="0.25">
      <c r="B49" s="147"/>
      <c r="C49" s="148"/>
      <c r="D49" s="270"/>
      <c r="E49" s="103"/>
      <c r="F49" s="103"/>
    </row>
    <row r="50" spans="2:6" x14ac:dyDescent="0.25">
      <c r="B50" s="90"/>
      <c r="C50" s="106" t="s">
        <v>70</v>
      </c>
      <c r="D50" s="101">
        <f>SUM(D12+D21)</f>
        <v>323073.14</v>
      </c>
      <c r="E50" s="101">
        <f>SUM(E12+E21)</f>
        <v>197390.09</v>
      </c>
      <c r="F50" s="101">
        <f>SUM(D50:E50)</f>
        <v>520463.23</v>
      </c>
    </row>
    <row r="51" spans="2:6" x14ac:dyDescent="0.25">
      <c r="B51" s="90"/>
      <c r="C51" s="104"/>
      <c r="D51" s="103"/>
      <c r="E51" s="103"/>
      <c r="F51" s="103"/>
    </row>
    <row r="52" spans="2:6" x14ac:dyDescent="0.25">
      <c r="B52" s="81"/>
      <c r="C52" s="106" t="s">
        <v>61</v>
      </c>
      <c r="D52" s="101">
        <f>SUM(D12+D21)</f>
        <v>323073.14</v>
      </c>
      <c r="E52" s="101">
        <f>SUM(E12+E21)</f>
        <v>197390.09</v>
      </c>
      <c r="F52" s="101">
        <f>SUM(F12+F21)</f>
        <v>520463.23</v>
      </c>
    </row>
    <row r="53" spans="2:6" x14ac:dyDescent="0.25">
      <c r="B53" s="81"/>
      <c r="C53" s="106" t="s">
        <v>62</v>
      </c>
      <c r="D53" s="101">
        <f>SUM(D13+D17+D19+D22+D36+D41)</f>
        <v>323073.14</v>
      </c>
      <c r="E53" s="101">
        <f>SUM(E13+E17+E19+E22+E36+E41)</f>
        <v>197390.09</v>
      </c>
      <c r="F53" s="101">
        <f>SUM(F13+F17+F19+F22+F36+F41)</f>
        <v>520463.23000000004</v>
      </c>
    </row>
    <row r="54" spans="2:6" x14ac:dyDescent="0.25">
      <c r="B54" s="81"/>
      <c r="C54" s="106" t="s">
        <v>63</v>
      </c>
      <c r="D54" s="101">
        <f>SUM(D14+D15+D16+D18+D20+D23+D24+D25+D26+D27+D28+D29+D30+D31+D32+D33+D34+D35+D37+D38+D39+D40+D42+D43+D44+D45+D46+D47+D48)</f>
        <v>323073.14</v>
      </c>
      <c r="E54" s="101">
        <f>SUM(E14+E15+E16+E18+E20+E23+E24+E25+E26+E27+E28+E29+E30+E31+E32+E33+E34+E35+E37+E38+E39+E40+E42+E43+E44+E45+E46+E47+E48)</f>
        <v>197390.09</v>
      </c>
      <c r="F54" s="101">
        <f>SUM(F14+F15+F16+F18+F20+F23+F24+F25+F26+F27+F28+F29+F30+F31+F32+F33+F34+F35+F37+F38+F39+F40+F42+F43+F44+F45+F46+F47+F48)</f>
        <v>520463.23000000004</v>
      </c>
    </row>
  </sheetData>
  <mergeCells count="10">
    <mergeCell ref="B8:F8"/>
    <mergeCell ref="B10:B11"/>
    <mergeCell ref="C10:C11"/>
    <mergeCell ref="F10:F11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F52"/>
  <sheetViews>
    <sheetView workbookViewId="0">
      <selection activeCell="H39" sqref="H39"/>
    </sheetView>
  </sheetViews>
  <sheetFormatPr baseColWidth="10" defaultRowHeight="15" x14ac:dyDescent="0.25"/>
  <cols>
    <col min="1" max="1" width="2.7109375" style="30" customWidth="1"/>
    <col min="2" max="2" width="6.5703125" style="30" customWidth="1"/>
    <col min="3" max="3" width="45.140625" style="30" customWidth="1"/>
    <col min="4" max="4" width="12.7109375" style="30" customWidth="1"/>
    <col min="5" max="5" width="14" style="30" customWidth="1"/>
    <col min="6" max="6" width="11.85546875" style="30" customWidth="1"/>
    <col min="7" max="16384" width="11.42578125" style="30"/>
  </cols>
  <sheetData>
    <row r="2" spans="2:6" ht="15.75" x14ac:dyDescent="0.25">
      <c r="B2" s="429" t="s">
        <v>407</v>
      </c>
      <c r="C2" s="429"/>
      <c r="D2" s="429"/>
      <c r="E2" s="429"/>
      <c r="F2" s="429"/>
    </row>
    <row r="3" spans="2:6" ht="15.75" x14ac:dyDescent="0.25">
      <c r="B3" s="429" t="s">
        <v>223</v>
      </c>
      <c r="C3" s="429"/>
      <c r="D3" s="429"/>
      <c r="E3" s="429"/>
      <c r="F3" s="429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284</v>
      </c>
      <c r="C5" s="427"/>
      <c r="D5" s="427"/>
      <c r="E5" s="427"/>
      <c r="F5" s="427"/>
    </row>
    <row r="6" spans="2:6" ht="15.75" x14ac:dyDescent="0.25">
      <c r="B6" s="144" t="s">
        <v>285</v>
      </c>
      <c r="C6" s="145"/>
      <c r="D6" s="145"/>
      <c r="E6" s="145"/>
      <c r="F6" s="145"/>
    </row>
    <row r="7" spans="2:6" ht="15.75" x14ac:dyDescent="0.25">
      <c r="B7" s="427" t="s">
        <v>226</v>
      </c>
      <c r="C7" s="427"/>
      <c r="D7" s="427"/>
      <c r="E7" s="427"/>
      <c r="F7" s="427"/>
    </row>
    <row r="8" spans="2:6" ht="15.75" x14ac:dyDescent="0.25">
      <c r="B8" s="429" t="s">
        <v>362</v>
      </c>
      <c r="C8" s="429"/>
      <c r="D8" s="429"/>
      <c r="E8" s="429"/>
      <c r="F8" s="429"/>
    </row>
    <row r="9" spans="2:6" x14ac:dyDescent="0.25">
      <c r="B9" s="31"/>
      <c r="C9" s="31"/>
      <c r="D9" s="31"/>
      <c r="E9" s="32"/>
      <c r="F9" s="31"/>
    </row>
    <row r="10" spans="2:6" x14ac:dyDescent="0.25">
      <c r="B10" s="425" t="s">
        <v>228</v>
      </c>
      <c r="C10" s="425" t="s">
        <v>229</v>
      </c>
      <c r="D10" s="97" t="s">
        <v>230</v>
      </c>
      <c r="E10" s="97" t="s">
        <v>231</v>
      </c>
      <c r="F10" s="425" t="s">
        <v>0</v>
      </c>
    </row>
    <row r="11" spans="2:6" ht="25.5" x14ac:dyDescent="0.25">
      <c r="B11" s="425"/>
      <c r="C11" s="425"/>
      <c r="D11" s="97" t="s">
        <v>232</v>
      </c>
      <c r="E11" s="354" t="s">
        <v>233</v>
      </c>
      <c r="F11" s="425"/>
    </row>
    <row r="12" spans="2:6" x14ac:dyDescent="0.25">
      <c r="B12" s="76">
        <v>51</v>
      </c>
      <c r="C12" s="105" t="s">
        <v>130</v>
      </c>
      <c r="D12" s="99">
        <f>SUM(D13+D17+D19)</f>
        <v>18105.75</v>
      </c>
      <c r="E12" s="99">
        <f>SUM(E13+E17+E19)</f>
        <v>15833.25</v>
      </c>
      <c r="F12" s="99">
        <f>SUM(F13+F17+F19)</f>
        <v>33939</v>
      </c>
    </row>
    <row r="13" spans="2:6" x14ac:dyDescent="0.25">
      <c r="B13" s="81">
        <v>511</v>
      </c>
      <c r="C13" s="113" t="s">
        <v>234</v>
      </c>
      <c r="D13" s="101">
        <f>SUM(D14:D16)</f>
        <v>15990</v>
      </c>
      <c r="E13" s="101">
        <f t="shared" ref="E13" si="0">SUM(E14:E16)</f>
        <v>13620</v>
      </c>
      <c r="F13" s="101">
        <f>SUM(F14:F16)</f>
        <v>29610</v>
      </c>
    </row>
    <row r="14" spans="2:6" x14ac:dyDescent="0.25">
      <c r="B14" s="84">
        <v>51101</v>
      </c>
      <c r="C14" s="102" t="s">
        <v>235</v>
      </c>
      <c r="D14" s="103">
        <f>+'MEDIO AMBIENTE'!D14+'GESTION DE RIESGO'!D14</f>
        <v>13020</v>
      </c>
      <c r="E14" s="103">
        <f>+'MEDIO AMBIENTE'!E14+'GESTION DE RIESGO'!E14</f>
        <v>13620</v>
      </c>
      <c r="F14" s="103">
        <f>SUM(D14:E14)</f>
        <v>26640</v>
      </c>
    </row>
    <row r="15" spans="2:6" x14ac:dyDescent="0.25">
      <c r="B15" s="84">
        <v>51103</v>
      </c>
      <c r="C15" s="104" t="s">
        <v>236</v>
      </c>
      <c r="D15" s="103">
        <f>+'MEDIO AMBIENTE'!D15+'GESTION DE RIESGO'!D15</f>
        <v>1970</v>
      </c>
      <c r="E15" s="103">
        <f>+'MEDIO AMBIENTE'!E15+'GESTION DE RIESGO'!E15</f>
        <v>0</v>
      </c>
      <c r="F15" s="103">
        <f>SUM(D15:E15)</f>
        <v>1970</v>
      </c>
    </row>
    <row r="16" spans="2:6" x14ac:dyDescent="0.25">
      <c r="B16" s="84">
        <v>51107</v>
      </c>
      <c r="C16" s="143" t="s">
        <v>238</v>
      </c>
      <c r="D16" s="103">
        <f>+'GESTION DE RIESGO'!D16</f>
        <v>1000</v>
      </c>
      <c r="E16" s="103">
        <f>+'GESTION DE RIESGO'!E16</f>
        <v>0</v>
      </c>
      <c r="F16" s="103">
        <f>SUM(D16:E16)</f>
        <v>1000</v>
      </c>
    </row>
    <row r="17" spans="2:6" x14ac:dyDescent="0.25">
      <c r="B17" s="81">
        <v>514</v>
      </c>
      <c r="C17" s="105" t="s">
        <v>239</v>
      </c>
      <c r="D17" s="101">
        <f>SUM(D18)</f>
        <v>1106.7</v>
      </c>
      <c r="E17" s="101">
        <f t="shared" ref="E17:F17" si="1">SUM(E18)</f>
        <v>1157.7</v>
      </c>
      <c r="F17" s="101">
        <f t="shared" si="1"/>
        <v>2264.4</v>
      </c>
    </row>
    <row r="18" spans="2:6" x14ac:dyDescent="0.25">
      <c r="B18" s="90">
        <v>51401</v>
      </c>
      <c r="C18" s="104" t="s">
        <v>240</v>
      </c>
      <c r="D18" s="103">
        <f>+'MEDIO AMBIENTE'!D17+'GESTION DE RIESGO'!D18</f>
        <v>1106.7</v>
      </c>
      <c r="E18" s="103">
        <f>+'MEDIO AMBIENTE'!E17+'GESTION DE RIESGO'!E18</f>
        <v>1157.7</v>
      </c>
      <c r="F18" s="103">
        <f>SUM(D18:E18)</f>
        <v>2264.4</v>
      </c>
    </row>
    <row r="19" spans="2:6" x14ac:dyDescent="0.25">
      <c r="B19" s="81">
        <v>515</v>
      </c>
      <c r="C19" s="106" t="s">
        <v>241</v>
      </c>
      <c r="D19" s="101">
        <f>SUM(D20:D20)</f>
        <v>1009.05</v>
      </c>
      <c r="E19" s="101">
        <f>SUM(E20:E20)</f>
        <v>1055.55</v>
      </c>
      <c r="F19" s="101">
        <f>SUM(F20:F20)</f>
        <v>2064.6</v>
      </c>
    </row>
    <row r="20" spans="2:6" x14ac:dyDescent="0.25">
      <c r="B20" s="90">
        <v>51501</v>
      </c>
      <c r="C20" s="104" t="s">
        <v>240</v>
      </c>
      <c r="D20" s="103">
        <f>+'MEDIO AMBIENTE'!D19+'GESTION DE RIESGO'!D20</f>
        <v>1009.05</v>
      </c>
      <c r="E20" s="103">
        <f>+'MEDIO AMBIENTE'!E19+'GESTION DE RIESGO'!E20</f>
        <v>1055.55</v>
      </c>
      <c r="F20" s="103">
        <f>SUM(D20:E20)</f>
        <v>2064.6</v>
      </c>
    </row>
    <row r="21" spans="2:6" x14ac:dyDescent="0.25">
      <c r="B21" s="81">
        <v>54</v>
      </c>
      <c r="C21" s="106" t="s">
        <v>286</v>
      </c>
      <c r="D21" s="101">
        <f>SUM(D22+D36+D40+D42)</f>
        <v>22374</v>
      </c>
      <c r="E21" s="101">
        <f>SUM(E22+E36+E42)</f>
        <v>8094.8099999999995</v>
      </c>
      <c r="F21" s="101">
        <f>SUM(F22+F36+F40+F42)</f>
        <v>30268.809999999998</v>
      </c>
    </row>
    <row r="22" spans="2:6" x14ac:dyDescent="0.25">
      <c r="B22" s="81">
        <v>541</v>
      </c>
      <c r="C22" s="106" t="s">
        <v>287</v>
      </c>
      <c r="D22" s="101">
        <f>SUM(D23:D35)</f>
        <v>16624</v>
      </c>
      <c r="E22" s="101">
        <f>SUM(E23:E35)</f>
        <v>5661</v>
      </c>
      <c r="F22" s="101">
        <f>SUM(F23:F35)</f>
        <v>22085</v>
      </c>
    </row>
    <row r="23" spans="2:6" x14ac:dyDescent="0.25">
      <c r="B23" s="90">
        <v>54101</v>
      </c>
      <c r="C23" s="104" t="s">
        <v>292</v>
      </c>
      <c r="D23" s="103">
        <f>+'MEDIO AMBIENTE'!D22+'GESTION DE RIESGO'!D23</f>
        <v>2300</v>
      </c>
      <c r="E23" s="103">
        <f>+'MEDIO AMBIENTE'!E22+'GESTION DE RIESGO'!E23</f>
        <v>561</v>
      </c>
      <c r="F23" s="103">
        <f t="shared" ref="F23:F35" si="2">SUM(D23:E23)</f>
        <v>2861</v>
      </c>
    </row>
    <row r="24" spans="2:6" x14ac:dyDescent="0.25">
      <c r="B24" s="90">
        <v>54102</v>
      </c>
      <c r="C24" s="104" t="s">
        <v>363</v>
      </c>
      <c r="D24" s="103">
        <f>+'MEDIO AMBIENTE'!D23</f>
        <v>500</v>
      </c>
      <c r="E24" s="103">
        <f>+'MEDIO AMBIENTE'!E23</f>
        <v>200</v>
      </c>
      <c r="F24" s="103">
        <f>+D24</f>
        <v>500</v>
      </c>
    </row>
    <row r="25" spans="2:6" x14ac:dyDescent="0.25">
      <c r="B25" s="90">
        <v>54103</v>
      </c>
      <c r="C25" s="104" t="s">
        <v>247</v>
      </c>
      <c r="D25" s="103">
        <f>+'MEDIO AMBIENTE'!D24</f>
        <v>600</v>
      </c>
      <c r="E25" s="103">
        <f>+'MEDIO AMBIENTE'!E24</f>
        <v>750</v>
      </c>
      <c r="F25" s="103">
        <f t="shared" ref="F25" si="3">SUM(D25:E25)</f>
        <v>1350</v>
      </c>
    </row>
    <row r="26" spans="2:6" x14ac:dyDescent="0.25">
      <c r="B26" s="90">
        <v>54104</v>
      </c>
      <c r="C26" s="104" t="s">
        <v>248</v>
      </c>
      <c r="D26" s="103">
        <f>+'GESTION DE RIESGO'!D24</f>
        <v>2000</v>
      </c>
      <c r="E26" s="103">
        <f>+'GESTION DE RIESGO'!E24</f>
        <v>0</v>
      </c>
      <c r="F26" s="103">
        <f t="shared" si="2"/>
        <v>2000</v>
      </c>
    </row>
    <row r="27" spans="2:6" x14ac:dyDescent="0.25">
      <c r="B27" s="90">
        <v>54105</v>
      </c>
      <c r="C27" s="104" t="s">
        <v>249</v>
      </c>
      <c r="D27" s="103">
        <f>+'MEDIO AMBIENTE'!D25+'GESTION DE RIESGO'!D25</f>
        <v>474</v>
      </c>
      <c r="E27" s="103">
        <f>+'MEDIO AMBIENTE'!E25+'GESTION DE RIESGO'!E25</f>
        <v>0</v>
      </c>
      <c r="F27" s="103">
        <f t="shared" si="2"/>
        <v>474</v>
      </c>
    </row>
    <row r="28" spans="2:6" x14ac:dyDescent="0.25">
      <c r="B28" s="90">
        <v>54106</v>
      </c>
      <c r="C28" s="104" t="s">
        <v>250</v>
      </c>
      <c r="D28" s="103">
        <f>+'MEDIO AMBIENTE'!D26+'GESTION DE RIESGO'!D26</f>
        <v>450</v>
      </c>
      <c r="E28" s="103">
        <f>+'MEDIO AMBIENTE'!E26+'GESTION DE RIESGO'!E26</f>
        <v>100</v>
      </c>
      <c r="F28" s="103">
        <f t="shared" si="2"/>
        <v>550</v>
      </c>
    </row>
    <row r="29" spans="2:6" x14ac:dyDescent="0.25">
      <c r="B29" s="90">
        <v>54107</v>
      </c>
      <c r="C29" s="104" t="s">
        <v>318</v>
      </c>
      <c r="D29" s="103">
        <f>+'MEDIO AMBIENTE'!D27+'GESTION DE RIESGO'!D27</f>
        <v>3250</v>
      </c>
      <c r="E29" s="103">
        <f>+'MEDIO AMBIENTE'!E27+'GESTION DE RIESGO'!E27</f>
        <v>1150</v>
      </c>
      <c r="F29" s="103">
        <f t="shared" si="2"/>
        <v>4400</v>
      </c>
    </row>
    <row r="30" spans="2:6" x14ac:dyDescent="0.25">
      <c r="B30" s="90">
        <v>54109</v>
      </c>
      <c r="C30" s="104" t="s">
        <v>294</v>
      </c>
      <c r="D30" s="103">
        <f>+'GESTION DE RIESGO'!D28</f>
        <v>500</v>
      </c>
      <c r="E30" s="103">
        <f>+'GESTION DE RIESGO'!E28</f>
        <v>0</v>
      </c>
      <c r="F30" s="103">
        <f t="shared" si="2"/>
        <v>500</v>
      </c>
    </row>
    <row r="31" spans="2:6" x14ac:dyDescent="0.25">
      <c r="B31" s="90">
        <v>54110</v>
      </c>
      <c r="C31" s="104" t="s">
        <v>333</v>
      </c>
      <c r="D31" s="103">
        <f>+'GESTION DE RIESGO'!D29</f>
        <v>3000</v>
      </c>
      <c r="E31" s="103">
        <f>+'GESTION DE RIESGO'!E29</f>
        <v>1500</v>
      </c>
      <c r="F31" s="103">
        <f t="shared" si="2"/>
        <v>4500</v>
      </c>
    </row>
    <row r="32" spans="2:6" x14ac:dyDescent="0.25">
      <c r="B32" s="90">
        <v>54114</v>
      </c>
      <c r="C32" s="104" t="s">
        <v>253</v>
      </c>
      <c r="D32" s="103">
        <f>+'MEDIO AMBIENTE'!D28+'GESTION DE RIESGO'!D30</f>
        <v>400</v>
      </c>
      <c r="E32" s="103">
        <f>+'MEDIO AMBIENTE'!E28+'GESTION DE RIESGO'!E30</f>
        <v>0</v>
      </c>
      <c r="F32" s="103">
        <f t="shared" si="2"/>
        <v>400</v>
      </c>
    </row>
    <row r="33" spans="2:6" x14ac:dyDescent="0.25">
      <c r="B33" s="90">
        <v>54115</v>
      </c>
      <c r="C33" s="104" t="s">
        <v>254</v>
      </c>
      <c r="D33" s="103">
        <f>+'GESTION DE RIESGO'!D31</f>
        <v>350</v>
      </c>
      <c r="E33" s="103">
        <f>+'GESTION DE RIESGO'!E31</f>
        <v>0</v>
      </c>
      <c r="F33" s="103">
        <f t="shared" si="2"/>
        <v>350</v>
      </c>
    </row>
    <row r="34" spans="2:6" x14ac:dyDescent="0.25">
      <c r="B34" s="90">
        <v>54118</v>
      </c>
      <c r="C34" s="104" t="s">
        <v>295</v>
      </c>
      <c r="D34" s="103">
        <f>+'MEDIO AMBIENTE'!D29+'GESTION DE RIESGO'!D32</f>
        <v>1800</v>
      </c>
      <c r="E34" s="103">
        <f>+'MEDIO AMBIENTE'!E29+'GESTION DE RIESGO'!E32</f>
        <v>900</v>
      </c>
      <c r="F34" s="103">
        <f t="shared" si="2"/>
        <v>2700</v>
      </c>
    </row>
    <row r="35" spans="2:6" x14ac:dyDescent="0.25">
      <c r="B35" s="90">
        <v>54199</v>
      </c>
      <c r="C35" s="104" t="s">
        <v>364</v>
      </c>
      <c r="D35" s="103">
        <f>+'GESTION DE RIESGO'!D33</f>
        <v>1000</v>
      </c>
      <c r="E35" s="103">
        <f>+'GESTION DE RIESGO'!E33</f>
        <v>500</v>
      </c>
      <c r="F35" s="103">
        <f t="shared" si="2"/>
        <v>1500</v>
      </c>
    </row>
    <row r="36" spans="2:6" x14ac:dyDescent="0.25">
      <c r="B36" s="81">
        <v>543</v>
      </c>
      <c r="C36" s="106" t="s">
        <v>257</v>
      </c>
      <c r="D36" s="101">
        <f>SUM(D37:D39)</f>
        <v>4100</v>
      </c>
      <c r="E36" s="101">
        <f>SUM(E37:E39)</f>
        <v>2433.81</v>
      </c>
      <c r="F36" s="101">
        <f>SUM(F37:F39)</f>
        <v>6533.8099999999995</v>
      </c>
    </row>
    <row r="37" spans="2:6" x14ac:dyDescent="0.25">
      <c r="B37" s="90">
        <v>54302</v>
      </c>
      <c r="C37" s="104" t="s">
        <v>365</v>
      </c>
      <c r="D37" s="103">
        <f>+'GESTION DE RIESGO'!D35</f>
        <v>3500</v>
      </c>
      <c r="E37" s="103">
        <f>+'GESTION DE RIESGO'!E35</f>
        <v>2233.81</v>
      </c>
      <c r="F37" s="103">
        <f>SUM(D37:E37)</f>
        <v>5733.8099999999995</v>
      </c>
    </row>
    <row r="38" spans="2:6" x14ac:dyDescent="0.25">
      <c r="B38" s="90">
        <v>54304</v>
      </c>
      <c r="C38" s="104" t="s">
        <v>361</v>
      </c>
      <c r="D38" s="103">
        <f>+'MEDIO AMBIENTE'!D31</f>
        <v>400</v>
      </c>
      <c r="E38" s="103">
        <f>+'MEDIO AMBIENTE'!E31</f>
        <v>0</v>
      </c>
      <c r="F38" s="103">
        <f>+D38</f>
        <v>400</v>
      </c>
    </row>
    <row r="39" spans="2:6" x14ac:dyDescent="0.25">
      <c r="B39" s="90">
        <v>54313</v>
      </c>
      <c r="C39" s="104" t="s">
        <v>261</v>
      </c>
      <c r="D39" s="103">
        <f>+'MEDIO AMBIENTE'!D32</f>
        <v>200</v>
      </c>
      <c r="E39" s="103">
        <f>+'MEDIO AMBIENTE'!E32</f>
        <v>200</v>
      </c>
      <c r="F39" s="103">
        <f>SUM(D39:E39)</f>
        <v>400</v>
      </c>
    </row>
    <row r="40" spans="2:6" x14ac:dyDescent="0.25">
      <c r="B40" s="81">
        <v>544</v>
      </c>
      <c r="C40" s="106" t="s">
        <v>264</v>
      </c>
      <c r="D40" s="101">
        <f>SUM(D41)</f>
        <v>150</v>
      </c>
      <c r="E40" s="101">
        <f t="shared" ref="E40:F40" si="4">SUM(E41)</f>
        <v>0</v>
      </c>
      <c r="F40" s="101">
        <f t="shared" si="4"/>
        <v>150</v>
      </c>
    </row>
    <row r="41" spans="2:6" x14ac:dyDescent="0.25">
      <c r="B41" s="90">
        <v>54401</v>
      </c>
      <c r="C41" s="104" t="s">
        <v>265</v>
      </c>
      <c r="D41" s="103">
        <f>+'MEDIO AMBIENTE'!D34</f>
        <v>150</v>
      </c>
      <c r="E41" s="103">
        <f>+'MEDIO AMBIENTE'!E34</f>
        <v>0</v>
      </c>
      <c r="F41" s="103">
        <f>SUM(D41:E41)</f>
        <v>150</v>
      </c>
    </row>
    <row r="42" spans="2:6" x14ac:dyDescent="0.25">
      <c r="B42" s="81">
        <v>545</v>
      </c>
      <c r="C42" s="106" t="s">
        <v>306</v>
      </c>
      <c r="D42" s="101">
        <f>SUM(D43)</f>
        <v>1500</v>
      </c>
      <c r="E42" s="101">
        <f t="shared" ref="E42:F42" si="5">SUM(E43)</f>
        <v>0</v>
      </c>
      <c r="F42" s="101">
        <f t="shared" si="5"/>
        <v>1500</v>
      </c>
    </row>
    <row r="43" spans="2:6" x14ac:dyDescent="0.25">
      <c r="B43" s="90">
        <v>54505</v>
      </c>
      <c r="C43" s="104" t="s">
        <v>366</v>
      </c>
      <c r="D43" s="103">
        <f>+'GESTION DE RIESGO'!D37</f>
        <v>1500</v>
      </c>
      <c r="E43" s="103">
        <f>+'GESTION DE RIESGO'!E37</f>
        <v>0</v>
      </c>
      <c r="F43" s="103">
        <f>SUM(D43:E43)</f>
        <v>1500</v>
      </c>
    </row>
    <row r="44" spans="2:6" x14ac:dyDescent="0.25">
      <c r="B44" s="81">
        <v>61</v>
      </c>
      <c r="C44" s="106" t="s">
        <v>280</v>
      </c>
      <c r="D44" s="101">
        <f>SUM(D45)</f>
        <v>150</v>
      </c>
      <c r="E44" s="101">
        <f t="shared" ref="E44:F44" si="6">SUM(E45)</f>
        <v>0</v>
      </c>
      <c r="F44" s="101">
        <f t="shared" si="6"/>
        <v>150</v>
      </c>
    </row>
    <row r="45" spans="2:6" x14ac:dyDescent="0.25">
      <c r="B45" s="81">
        <v>611</v>
      </c>
      <c r="C45" s="106" t="s">
        <v>281</v>
      </c>
      <c r="D45" s="101">
        <f>SUM(D46:D46)</f>
        <v>150</v>
      </c>
      <c r="E45" s="101">
        <f>SUM(E46:E46)</f>
        <v>0</v>
      </c>
      <c r="F45" s="101">
        <f>SUM(F46:F46)</f>
        <v>150</v>
      </c>
    </row>
    <row r="46" spans="2:6" x14ac:dyDescent="0.25">
      <c r="B46" s="90">
        <v>61101</v>
      </c>
      <c r="C46" s="104" t="s">
        <v>282</v>
      </c>
      <c r="D46" s="103">
        <f>+'MEDIO AMBIENTE'!D37</f>
        <v>150</v>
      </c>
      <c r="E46" s="103">
        <f>+'MEDIO AMBIENTE'!E37</f>
        <v>0</v>
      </c>
      <c r="F46" s="103">
        <f>SUM(D46:E46)</f>
        <v>150</v>
      </c>
    </row>
    <row r="47" spans="2:6" x14ac:dyDescent="0.25">
      <c r="B47" s="90"/>
      <c r="C47" s="104"/>
      <c r="D47" s="103"/>
      <c r="E47" s="103"/>
      <c r="F47" s="103"/>
    </row>
    <row r="48" spans="2:6" x14ac:dyDescent="0.25">
      <c r="B48" s="90"/>
      <c r="C48" s="106" t="s">
        <v>70</v>
      </c>
      <c r="D48" s="101">
        <f>SUM(D12+D21+D44)</f>
        <v>40629.75</v>
      </c>
      <c r="E48" s="101">
        <f>SUM(E12+E21)</f>
        <v>23928.059999999998</v>
      </c>
      <c r="F48" s="101">
        <f>SUM(D48:E48)</f>
        <v>64557.81</v>
      </c>
    </row>
    <row r="49" spans="2:6" x14ac:dyDescent="0.25">
      <c r="B49" s="90"/>
      <c r="C49" s="104"/>
      <c r="D49" s="103"/>
      <c r="E49" s="103"/>
      <c r="F49" s="103"/>
    </row>
    <row r="50" spans="2:6" x14ac:dyDescent="0.25">
      <c r="B50" s="81"/>
      <c r="C50" s="106" t="s">
        <v>61</v>
      </c>
      <c r="D50" s="101">
        <f>SUM(D12+D21+D44)</f>
        <v>40629.75</v>
      </c>
      <c r="E50" s="101">
        <f>SUM(E12+E21)</f>
        <v>23928.059999999998</v>
      </c>
      <c r="F50" s="101">
        <f>SUM(F12+F21+F44)</f>
        <v>64357.81</v>
      </c>
    </row>
    <row r="51" spans="2:6" x14ac:dyDescent="0.25">
      <c r="B51" s="81"/>
      <c r="C51" s="106" t="s">
        <v>62</v>
      </c>
      <c r="D51" s="101">
        <f>SUM(D13+D17+D19+D22+D36+D40+D42+D45)</f>
        <v>40629.75</v>
      </c>
      <c r="E51" s="101">
        <f>SUM(E13+E17+E19+E22+E36+E42)</f>
        <v>23928.06</v>
      </c>
      <c r="F51" s="101">
        <f>SUM(F13+F17+F19+F22+F36+F40+F42+F45)</f>
        <v>64357.81</v>
      </c>
    </row>
    <row r="52" spans="2:6" x14ac:dyDescent="0.25">
      <c r="B52" s="81"/>
      <c r="C52" s="106" t="s">
        <v>63</v>
      </c>
      <c r="D52" s="101">
        <f>SUM(D14+D15+D16+D18+D20+D23+D24+D25+D26+D27+D28+D29+D30+D31+D32+D33+D34+D35+D37+D38+D39+D41+D43+D46)</f>
        <v>40629.75</v>
      </c>
      <c r="E52" s="101">
        <f>SUM(E14+E15+E16+E18+E20+E23+E24+E25+E26+E27+E28+E29+E30+E31+E32+E33+E34+E35+E37+E38+E39+E41+E43+E46)</f>
        <v>23928.06</v>
      </c>
      <c r="F52" s="101">
        <f>SUM(F14+F15+F16+F18+F20+F23+F24+F25+F26+F27+F28+F29+F30+F31+F32+F33+F34+F35+F37+F38+F39+F41+F43+F46)</f>
        <v>64357.81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F43"/>
  <sheetViews>
    <sheetView workbookViewId="0">
      <pane ySplit="11" topLeftCell="A12" activePane="bottomLeft" state="frozen"/>
      <selection pane="bottomLeft" activeCell="H20" sqref="H20"/>
    </sheetView>
  </sheetViews>
  <sheetFormatPr baseColWidth="10" defaultRowHeight="15" x14ac:dyDescent="0.25"/>
  <cols>
    <col min="1" max="1" width="3.140625" style="30" customWidth="1"/>
    <col min="2" max="2" width="6.7109375" style="30" customWidth="1"/>
    <col min="3" max="3" width="40.7109375" style="30" customWidth="1"/>
    <col min="4" max="4" width="13.85546875" style="30" customWidth="1"/>
    <col min="5" max="5" width="16.42578125" style="30" customWidth="1"/>
    <col min="6" max="6" width="13" style="30" customWidth="1"/>
    <col min="7" max="16384" width="11.42578125" style="30"/>
  </cols>
  <sheetData>
    <row r="2" spans="2:6" ht="15.75" x14ac:dyDescent="0.25">
      <c r="B2" s="429" t="s">
        <v>407</v>
      </c>
      <c r="C2" s="429"/>
      <c r="D2" s="429"/>
      <c r="E2" s="429"/>
      <c r="F2" s="429"/>
    </row>
    <row r="3" spans="2:6" ht="15.75" x14ac:dyDescent="0.25">
      <c r="B3" s="429" t="s">
        <v>223</v>
      </c>
      <c r="C3" s="429"/>
      <c r="D3" s="429"/>
      <c r="E3" s="429"/>
      <c r="F3" s="429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284</v>
      </c>
      <c r="C5" s="427"/>
      <c r="D5" s="427"/>
      <c r="E5" s="427"/>
      <c r="F5" s="427"/>
    </row>
    <row r="6" spans="2:6" ht="15.75" x14ac:dyDescent="0.25">
      <c r="B6" s="144" t="s">
        <v>285</v>
      </c>
      <c r="C6" s="145"/>
      <c r="D6" s="145"/>
      <c r="E6" s="145"/>
      <c r="F6" s="145"/>
    </row>
    <row r="7" spans="2:6" ht="15.75" x14ac:dyDescent="0.25">
      <c r="B7" s="427" t="s">
        <v>226</v>
      </c>
      <c r="C7" s="427"/>
      <c r="D7" s="427"/>
      <c r="E7" s="427"/>
      <c r="F7" s="427"/>
    </row>
    <row r="8" spans="2:6" ht="15.75" x14ac:dyDescent="0.25">
      <c r="B8" s="429" t="s">
        <v>163</v>
      </c>
      <c r="C8" s="429"/>
      <c r="D8" s="429"/>
      <c r="E8" s="429"/>
      <c r="F8" s="429"/>
    </row>
    <row r="9" spans="2:6" x14ac:dyDescent="0.25">
      <c r="B9" s="31"/>
      <c r="C9" s="31"/>
      <c r="D9" s="31"/>
      <c r="E9" s="32"/>
      <c r="F9" s="31"/>
    </row>
    <row r="10" spans="2:6" x14ac:dyDescent="0.25">
      <c r="B10" s="425" t="s">
        <v>228</v>
      </c>
      <c r="C10" s="425" t="s">
        <v>229</v>
      </c>
      <c r="D10" s="97" t="s">
        <v>230</v>
      </c>
      <c r="E10" s="97" t="s">
        <v>231</v>
      </c>
      <c r="F10" s="425" t="s">
        <v>0</v>
      </c>
    </row>
    <row r="11" spans="2:6" x14ac:dyDescent="0.25">
      <c r="B11" s="425"/>
      <c r="C11" s="425"/>
      <c r="D11" s="97" t="s">
        <v>232</v>
      </c>
      <c r="E11" s="97" t="s">
        <v>233</v>
      </c>
      <c r="F11" s="425"/>
    </row>
    <row r="12" spans="2:6" x14ac:dyDescent="0.25">
      <c r="B12" s="76">
        <v>51</v>
      </c>
      <c r="C12" s="105" t="s">
        <v>130</v>
      </c>
      <c r="D12" s="99">
        <f>SUM(D13+D16+D18)</f>
        <v>7585.75</v>
      </c>
      <c r="E12" s="99">
        <f>SUM(E13+E16+E18)</f>
        <v>6765.75</v>
      </c>
      <c r="F12" s="99">
        <f>SUM(F13+F16+F18)</f>
        <v>14351.5</v>
      </c>
    </row>
    <row r="13" spans="2:6" x14ac:dyDescent="0.25">
      <c r="B13" s="81">
        <v>511</v>
      </c>
      <c r="C13" s="113" t="s">
        <v>234</v>
      </c>
      <c r="D13" s="101">
        <f>SUM(D14:D15)</f>
        <v>6640</v>
      </c>
      <c r="E13" s="101">
        <f>SUM(E14:E15)</f>
        <v>5820</v>
      </c>
      <c r="F13" s="101">
        <f>SUM(F14:F15)</f>
        <v>12460</v>
      </c>
    </row>
    <row r="14" spans="2:6" x14ac:dyDescent="0.25">
      <c r="B14" s="84">
        <v>51101</v>
      </c>
      <c r="C14" s="102" t="s">
        <v>235</v>
      </c>
      <c r="D14" s="103">
        <v>5820</v>
      </c>
      <c r="E14" s="103">
        <v>5820</v>
      </c>
      <c r="F14" s="103">
        <f>SUM(D14:E14)</f>
        <v>11640</v>
      </c>
    </row>
    <row r="15" spans="2:6" x14ac:dyDescent="0.25">
      <c r="B15" s="84">
        <v>51103</v>
      </c>
      <c r="C15" s="104" t="s">
        <v>236</v>
      </c>
      <c r="D15" s="103">
        <v>820</v>
      </c>
      <c r="E15" s="103">
        <v>0</v>
      </c>
      <c r="F15" s="103">
        <f>SUM(D15:E15)</f>
        <v>820</v>
      </c>
    </row>
    <row r="16" spans="2:6" x14ac:dyDescent="0.25">
      <c r="B16" s="81">
        <v>514</v>
      </c>
      <c r="C16" s="105" t="s">
        <v>239</v>
      </c>
      <c r="D16" s="101">
        <f>SUM(D17)</f>
        <v>494.7</v>
      </c>
      <c r="E16" s="101">
        <f t="shared" ref="E16:F16" si="0">SUM(E17)</f>
        <v>494.7</v>
      </c>
      <c r="F16" s="101">
        <f t="shared" si="0"/>
        <v>989.4</v>
      </c>
    </row>
    <row r="17" spans="2:6" x14ac:dyDescent="0.25">
      <c r="B17" s="90">
        <v>51401</v>
      </c>
      <c r="C17" s="104" t="s">
        <v>240</v>
      </c>
      <c r="D17" s="103">
        <v>494.7</v>
      </c>
      <c r="E17" s="103">
        <v>494.7</v>
      </c>
      <c r="F17" s="103">
        <f>SUM(D17:E17)</f>
        <v>989.4</v>
      </c>
    </row>
    <row r="18" spans="2:6" x14ac:dyDescent="0.25">
      <c r="B18" s="81">
        <v>515</v>
      </c>
      <c r="C18" s="106" t="s">
        <v>241</v>
      </c>
      <c r="D18" s="101">
        <f>SUM(D19:D19)</f>
        <v>451.05</v>
      </c>
      <c r="E18" s="101">
        <f>SUM(E19:E19)</f>
        <v>451.05</v>
      </c>
      <c r="F18" s="101">
        <f>SUM(F19:F19)</f>
        <v>902.1</v>
      </c>
    </row>
    <row r="19" spans="2:6" x14ac:dyDescent="0.25">
      <c r="B19" s="90">
        <v>51501</v>
      </c>
      <c r="C19" s="104" t="s">
        <v>240</v>
      </c>
      <c r="D19" s="103">
        <v>451.05</v>
      </c>
      <c r="E19" s="103">
        <v>451.05</v>
      </c>
      <c r="F19" s="103">
        <f>SUM(D19:E19)</f>
        <v>902.1</v>
      </c>
    </row>
    <row r="20" spans="2:6" x14ac:dyDescent="0.25">
      <c r="B20" s="81">
        <v>54</v>
      </c>
      <c r="C20" s="106" t="s">
        <v>286</v>
      </c>
      <c r="D20" s="101">
        <f>SUM(D21+D30+D33)</f>
        <v>3424</v>
      </c>
      <c r="E20" s="101">
        <f>SUM(E21+E30+E33)</f>
        <v>2361</v>
      </c>
      <c r="F20" s="101">
        <f>SUM(F21+F30+F33)</f>
        <v>5585</v>
      </c>
    </row>
    <row r="21" spans="2:6" x14ac:dyDescent="0.25">
      <c r="B21" s="81">
        <v>541</v>
      </c>
      <c r="C21" s="106" t="s">
        <v>287</v>
      </c>
      <c r="D21" s="101">
        <f>SUM(D22:D29)</f>
        <v>2674</v>
      </c>
      <c r="E21" s="101">
        <f>SUM(E22:E29)</f>
        <v>2161</v>
      </c>
      <c r="F21" s="101">
        <f>SUM(F22:F29)</f>
        <v>4635</v>
      </c>
    </row>
    <row r="22" spans="2:6" x14ac:dyDescent="0.25">
      <c r="B22" s="90">
        <v>54101</v>
      </c>
      <c r="C22" s="104" t="s">
        <v>246</v>
      </c>
      <c r="D22" s="112">
        <v>300</v>
      </c>
      <c r="E22" s="103">
        <v>61</v>
      </c>
      <c r="F22" s="103">
        <f>SUM(D22:E22)</f>
        <v>361</v>
      </c>
    </row>
    <row r="23" spans="2:6" x14ac:dyDescent="0.25">
      <c r="B23" s="90">
        <v>54102</v>
      </c>
      <c r="C23" s="104" t="s">
        <v>363</v>
      </c>
      <c r="D23" s="112">
        <v>500</v>
      </c>
      <c r="E23" s="103">
        <v>200</v>
      </c>
      <c r="F23" s="103">
        <f>+D23</f>
        <v>500</v>
      </c>
    </row>
    <row r="24" spans="2:6" x14ac:dyDescent="0.25">
      <c r="B24" s="90">
        <v>54103</v>
      </c>
      <c r="C24" s="104" t="s">
        <v>247</v>
      </c>
      <c r="D24" s="112">
        <v>600</v>
      </c>
      <c r="E24" s="103">
        <v>750</v>
      </c>
      <c r="F24" s="103">
        <f t="shared" ref="F24:F29" si="1">SUM(D24:E24)</f>
        <v>1350</v>
      </c>
    </row>
    <row r="25" spans="2:6" x14ac:dyDescent="0.25">
      <c r="B25" s="90">
        <v>54105</v>
      </c>
      <c r="C25" s="104" t="s">
        <v>249</v>
      </c>
      <c r="D25" s="103">
        <v>124</v>
      </c>
      <c r="E25" s="103">
        <v>0</v>
      </c>
      <c r="F25" s="103">
        <f t="shared" si="1"/>
        <v>124</v>
      </c>
    </row>
    <row r="26" spans="2:6" x14ac:dyDescent="0.25">
      <c r="B26" s="90">
        <v>54106</v>
      </c>
      <c r="C26" s="104" t="s">
        <v>250</v>
      </c>
      <c r="D26" s="103">
        <v>50</v>
      </c>
      <c r="E26" s="103">
        <v>0</v>
      </c>
      <c r="F26" s="103">
        <f t="shared" si="1"/>
        <v>50</v>
      </c>
    </row>
    <row r="27" spans="2:6" x14ac:dyDescent="0.25">
      <c r="B27" s="90">
        <v>54107</v>
      </c>
      <c r="C27" s="104" t="s">
        <v>318</v>
      </c>
      <c r="D27" s="103">
        <v>750</v>
      </c>
      <c r="E27" s="103">
        <v>750</v>
      </c>
      <c r="F27" s="103">
        <f t="shared" si="1"/>
        <v>1500</v>
      </c>
    </row>
    <row r="28" spans="2:6" x14ac:dyDescent="0.25">
      <c r="B28" s="90">
        <v>54114</v>
      </c>
      <c r="C28" s="104" t="s">
        <v>253</v>
      </c>
      <c r="D28" s="103">
        <v>50</v>
      </c>
      <c r="E28" s="103">
        <v>0</v>
      </c>
      <c r="F28" s="103">
        <f t="shared" si="1"/>
        <v>50</v>
      </c>
    </row>
    <row r="29" spans="2:6" x14ac:dyDescent="0.25">
      <c r="B29" s="90">
        <v>54118</v>
      </c>
      <c r="C29" s="104" t="s">
        <v>323</v>
      </c>
      <c r="D29" s="103">
        <v>300</v>
      </c>
      <c r="E29" s="103">
        <v>400</v>
      </c>
      <c r="F29" s="103">
        <f t="shared" si="1"/>
        <v>700</v>
      </c>
    </row>
    <row r="30" spans="2:6" x14ac:dyDescent="0.25">
      <c r="B30" s="81">
        <v>543</v>
      </c>
      <c r="C30" s="106" t="s">
        <v>257</v>
      </c>
      <c r="D30" s="101">
        <f>SUM(D31:D32)</f>
        <v>600</v>
      </c>
      <c r="E30" s="101">
        <f>SUM(E31:E32)</f>
        <v>200</v>
      </c>
      <c r="F30" s="101">
        <f>SUM(F31:F32)</f>
        <v>800</v>
      </c>
    </row>
    <row r="31" spans="2:6" x14ac:dyDescent="0.25">
      <c r="B31" s="90">
        <v>54304</v>
      </c>
      <c r="C31" s="104" t="s">
        <v>361</v>
      </c>
      <c r="D31" s="103">
        <v>400</v>
      </c>
      <c r="E31" s="101"/>
      <c r="F31" s="103">
        <f>+D31</f>
        <v>400</v>
      </c>
    </row>
    <row r="32" spans="2:6" x14ac:dyDescent="0.25">
      <c r="B32" s="90">
        <v>54313</v>
      </c>
      <c r="C32" s="104" t="s">
        <v>261</v>
      </c>
      <c r="D32" s="103">
        <v>200</v>
      </c>
      <c r="E32" s="103">
        <v>200</v>
      </c>
      <c r="F32" s="103">
        <f>SUM(D32:E32)</f>
        <v>400</v>
      </c>
    </row>
    <row r="33" spans="2:6" x14ac:dyDescent="0.25">
      <c r="B33" s="81">
        <v>544</v>
      </c>
      <c r="C33" s="106" t="s">
        <v>264</v>
      </c>
      <c r="D33" s="101">
        <f>SUM(D34)</f>
        <v>150</v>
      </c>
      <c r="E33" s="101">
        <f t="shared" ref="E33:F33" si="2">SUM(E34)</f>
        <v>0</v>
      </c>
      <c r="F33" s="101">
        <f t="shared" si="2"/>
        <v>150</v>
      </c>
    </row>
    <row r="34" spans="2:6" x14ac:dyDescent="0.25">
      <c r="B34" s="90">
        <v>54401</v>
      </c>
      <c r="C34" s="104" t="s">
        <v>265</v>
      </c>
      <c r="D34" s="103">
        <v>150</v>
      </c>
      <c r="E34" s="103">
        <v>0</v>
      </c>
      <c r="F34" s="103">
        <f>SUM(D34:E34)</f>
        <v>150</v>
      </c>
    </row>
    <row r="35" spans="2:6" x14ac:dyDescent="0.25">
      <c r="B35" s="81">
        <v>61</v>
      </c>
      <c r="C35" s="106" t="s">
        <v>280</v>
      </c>
      <c r="D35" s="101">
        <f>SUM(D36)</f>
        <v>150</v>
      </c>
      <c r="E35" s="101">
        <f t="shared" ref="E35:F35" si="3">SUM(E36)</f>
        <v>0</v>
      </c>
      <c r="F35" s="101">
        <f t="shared" si="3"/>
        <v>150</v>
      </c>
    </row>
    <row r="36" spans="2:6" x14ac:dyDescent="0.25">
      <c r="B36" s="81">
        <v>611</v>
      </c>
      <c r="C36" s="106" t="s">
        <v>281</v>
      </c>
      <c r="D36" s="101">
        <f>SUM(D37:D37)</f>
        <v>150</v>
      </c>
      <c r="E36" s="101">
        <f>SUM(E37:E37)</f>
        <v>0</v>
      </c>
      <c r="F36" s="101">
        <f>SUM(F37:F37)</f>
        <v>150</v>
      </c>
    </row>
    <row r="37" spans="2:6" x14ac:dyDescent="0.25">
      <c r="B37" s="90">
        <v>61101</v>
      </c>
      <c r="C37" s="104" t="s">
        <v>282</v>
      </c>
      <c r="D37" s="103">
        <v>150</v>
      </c>
      <c r="E37" s="103">
        <v>0</v>
      </c>
      <c r="F37" s="103">
        <f>SUM(D37:E37)</f>
        <v>150</v>
      </c>
    </row>
    <row r="38" spans="2:6" x14ac:dyDescent="0.25">
      <c r="B38" s="90"/>
      <c r="C38" s="104"/>
      <c r="D38" s="103"/>
      <c r="E38" s="103"/>
      <c r="F38" s="103"/>
    </row>
    <row r="39" spans="2:6" x14ac:dyDescent="0.25">
      <c r="B39" s="90"/>
      <c r="C39" s="106" t="s">
        <v>70</v>
      </c>
      <c r="D39" s="101">
        <f>SUM(D12+D20+D35)</f>
        <v>11159.75</v>
      </c>
      <c r="E39" s="101">
        <f>SUM(E12+E20+E35)</f>
        <v>9126.75</v>
      </c>
      <c r="F39" s="101">
        <f>SUM(D39:E39)</f>
        <v>20286.5</v>
      </c>
    </row>
    <row r="40" spans="2:6" x14ac:dyDescent="0.25">
      <c r="B40" s="90"/>
      <c r="C40" s="104"/>
      <c r="D40" s="103"/>
      <c r="E40" s="103"/>
      <c r="F40" s="103"/>
    </row>
    <row r="41" spans="2:6" x14ac:dyDescent="0.25">
      <c r="B41" s="81"/>
      <c r="C41" s="106" t="s">
        <v>61</v>
      </c>
      <c r="D41" s="101">
        <f>SUM(D12+D20+D35)</f>
        <v>11159.75</v>
      </c>
      <c r="E41" s="101">
        <f>SUM(E12+E20+E35)</f>
        <v>9126.75</v>
      </c>
      <c r="F41" s="101">
        <f>SUM(F12+F20+F35)</f>
        <v>20086.5</v>
      </c>
    </row>
    <row r="42" spans="2:6" x14ac:dyDescent="0.25">
      <c r="B42" s="81"/>
      <c r="C42" s="106" t="s">
        <v>62</v>
      </c>
      <c r="D42" s="101">
        <f>SUM(D13+D16+D18+D21+D30+D33+D36)</f>
        <v>11159.75</v>
      </c>
      <c r="E42" s="101">
        <f>SUM(E13+E16+E18+E21+E30+E33+E36)</f>
        <v>9126.75</v>
      </c>
      <c r="F42" s="101">
        <f>SUM(F13+F16+F18+F21+F30+F33+F36)</f>
        <v>20086.5</v>
      </c>
    </row>
    <row r="43" spans="2:6" x14ac:dyDescent="0.25">
      <c r="B43" s="81"/>
      <c r="C43" s="106" t="s">
        <v>63</v>
      </c>
      <c r="D43" s="101">
        <f>SUM(D14+D15+D17+D19+D22+D23+D24+D25+D26+D27+D28+D29+D31+D32+D34+D37)</f>
        <v>11159.75</v>
      </c>
      <c r="E43" s="101">
        <f>SUM(E14+E15+E17+E19+E22+E24+E25+E26+E27+E28+E29+E32+E34+E37)</f>
        <v>8926.75</v>
      </c>
      <c r="F43" s="101">
        <f>SUM(F14+F15+F17+F19+F22+F23+F24+F25+F26+F27+F28+F29+F31+F32+F34+F37)</f>
        <v>20086.5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G43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I22" sqref="I22"/>
    </sheetView>
  </sheetViews>
  <sheetFormatPr baseColWidth="10" defaultRowHeight="15" x14ac:dyDescent="0.25"/>
  <cols>
    <col min="1" max="1" width="3" style="30" customWidth="1"/>
    <col min="2" max="2" width="8.85546875" style="30" customWidth="1"/>
    <col min="3" max="3" width="45.5703125" style="30" customWidth="1"/>
    <col min="4" max="4" width="13.85546875" style="30" customWidth="1"/>
    <col min="5" max="5" width="15.7109375" style="30" customWidth="1"/>
    <col min="6" max="16384" width="11.42578125" style="30"/>
  </cols>
  <sheetData>
    <row r="2" spans="2:6" ht="15.75" x14ac:dyDescent="0.25">
      <c r="B2" s="429" t="s">
        <v>407</v>
      </c>
      <c r="C2" s="429"/>
      <c r="D2" s="429"/>
      <c r="E2" s="429"/>
      <c r="F2" s="429"/>
    </row>
    <row r="3" spans="2:6" ht="15.75" x14ac:dyDescent="0.25">
      <c r="B3" s="429" t="s">
        <v>223</v>
      </c>
      <c r="C3" s="429"/>
      <c r="D3" s="429"/>
      <c r="E3" s="429"/>
      <c r="F3" s="429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284</v>
      </c>
      <c r="C5" s="427"/>
      <c r="D5" s="427"/>
      <c r="E5" s="427"/>
      <c r="F5" s="427"/>
    </row>
    <row r="6" spans="2:6" ht="15.75" x14ac:dyDescent="0.25">
      <c r="B6" s="144" t="s">
        <v>285</v>
      </c>
      <c r="C6" s="145"/>
      <c r="D6" s="145"/>
      <c r="E6" s="145"/>
      <c r="F6" s="145"/>
    </row>
    <row r="7" spans="2:6" ht="15.75" x14ac:dyDescent="0.25">
      <c r="B7" s="427" t="s">
        <v>226</v>
      </c>
      <c r="C7" s="427"/>
      <c r="D7" s="427"/>
      <c r="E7" s="427"/>
      <c r="F7" s="427"/>
    </row>
    <row r="8" spans="2:6" ht="15.75" x14ac:dyDescent="0.25">
      <c r="B8" s="429" t="s">
        <v>164</v>
      </c>
      <c r="C8" s="429"/>
      <c r="D8" s="429"/>
      <c r="E8" s="429"/>
      <c r="F8" s="429"/>
    </row>
    <row r="9" spans="2:6" x14ac:dyDescent="0.25">
      <c r="B9" s="31"/>
      <c r="C9" s="31"/>
      <c r="D9" s="31"/>
      <c r="E9" s="32"/>
      <c r="F9" s="31"/>
    </row>
    <row r="10" spans="2:6" x14ac:dyDescent="0.25">
      <c r="B10" s="425" t="s">
        <v>228</v>
      </c>
      <c r="C10" s="425" t="s">
        <v>229</v>
      </c>
      <c r="D10" s="97" t="s">
        <v>230</v>
      </c>
      <c r="E10" s="97" t="s">
        <v>231</v>
      </c>
      <c r="F10" s="425" t="s">
        <v>0</v>
      </c>
    </row>
    <row r="11" spans="2:6" x14ac:dyDescent="0.25">
      <c r="B11" s="425"/>
      <c r="C11" s="425"/>
      <c r="D11" s="97" t="s">
        <v>232</v>
      </c>
      <c r="E11" s="97" t="s">
        <v>233</v>
      </c>
      <c r="F11" s="425"/>
    </row>
    <row r="12" spans="2:6" x14ac:dyDescent="0.25">
      <c r="B12" s="76">
        <v>51</v>
      </c>
      <c r="C12" s="105" t="s">
        <v>130</v>
      </c>
      <c r="D12" s="99">
        <f>SUM(D13+D17+D19)</f>
        <v>10520</v>
      </c>
      <c r="E12" s="99">
        <f>SUM(E13+E17+E19)</f>
        <v>9067.5</v>
      </c>
      <c r="F12" s="99">
        <f>SUM(F13+F17+F19)</f>
        <v>19587.5</v>
      </c>
    </row>
    <row r="13" spans="2:6" x14ac:dyDescent="0.25">
      <c r="B13" s="81">
        <v>511</v>
      </c>
      <c r="C13" s="113" t="s">
        <v>234</v>
      </c>
      <c r="D13" s="101">
        <f>SUM(D14:D16)</f>
        <v>9350</v>
      </c>
      <c r="E13" s="101">
        <f t="shared" ref="E13" si="0">SUM(E14:E16)</f>
        <v>7800</v>
      </c>
      <c r="F13" s="101">
        <f>SUM(F14:F16)</f>
        <v>17150</v>
      </c>
    </row>
    <row r="14" spans="2:6" x14ac:dyDescent="0.25">
      <c r="B14" s="84">
        <v>51101</v>
      </c>
      <c r="C14" s="102" t="s">
        <v>235</v>
      </c>
      <c r="D14" s="103">
        <v>7200</v>
      </c>
      <c r="E14" s="103">
        <v>7800</v>
      </c>
      <c r="F14" s="103">
        <f>SUM(D14:E14)</f>
        <v>15000</v>
      </c>
    </row>
    <row r="15" spans="2:6" x14ac:dyDescent="0.25">
      <c r="B15" s="84">
        <v>51103</v>
      </c>
      <c r="C15" s="104" t="s">
        <v>236</v>
      </c>
      <c r="D15" s="103">
        <v>1150</v>
      </c>
      <c r="E15" s="103">
        <v>0</v>
      </c>
      <c r="F15" s="103">
        <f>SUM(D15:E15)</f>
        <v>1150</v>
      </c>
    </row>
    <row r="16" spans="2:6" x14ac:dyDescent="0.25">
      <c r="B16" s="84">
        <v>51107</v>
      </c>
      <c r="C16" s="143" t="s">
        <v>238</v>
      </c>
      <c r="D16" s="103">
        <v>1000</v>
      </c>
      <c r="E16" s="103">
        <v>0</v>
      </c>
      <c r="F16" s="103">
        <f>SUM(D16:E16)</f>
        <v>1000</v>
      </c>
    </row>
    <row r="17" spans="2:6" x14ac:dyDescent="0.25">
      <c r="B17" s="81">
        <v>514</v>
      </c>
      <c r="C17" s="105" t="s">
        <v>239</v>
      </c>
      <c r="D17" s="101">
        <f>SUM(D18)</f>
        <v>612</v>
      </c>
      <c r="E17" s="101">
        <f t="shared" ref="E17:F17" si="1">SUM(E18)</f>
        <v>663</v>
      </c>
      <c r="F17" s="101">
        <f t="shared" si="1"/>
        <v>1275</v>
      </c>
    </row>
    <row r="18" spans="2:6" x14ac:dyDescent="0.25">
      <c r="B18" s="90">
        <v>51401</v>
      </c>
      <c r="C18" s="104" t="s">
        <v>240</v>
      </c>
      <c r="D18" s="103">
        <v>612</v>
      </c>
      <c r="E18" s="103">
        <v>663</v>
      </c>
      <c r="F18" s="103">
        <f>SUM(D18:E18)</f>
        <v>1275</v>
      </c>
    </row>
    <row r="19" spans="2:6" x14ac:dyDescent="0.25">
      <c r="B19" s="81">
        <v>515</v>
      </c>
      <c r="C19" s="106" t="s">
        <v>241</v>
      </c>
      <c r="D19" s="101">
        <f>SUM(D20:D20)</f>
        <v>558</v>
      </c>
      <c r="E19" s="101">
        <f>SUM(E20:E20)</f>
        <v>604.5</v>
      </c>
      <c r="F19" s="101">
        <f>SUM(F20:F20)</f>
        <v>1162.5</v>
      </c>
    </row>
    <row r="20" spans="2:6" x14ac:dyDescent="0.25">
      <c r="B20" s="90">
        <v>51501</v>
      </c>
      <c r="C20" s="104" t="s">
        <v>240</v>
      </c>
      <c r="D20" s="103">
        <v>558</v>
      </c>
      <c r="E20" s="103">
        <v>604.5</v>
      </c>
      <c r="F20" s="103">
        <f>SUM(D20:E20)</f>
        <v>1162.5</v>
      </c>
    </row>
    <row r="21" spans="2:6" x14ac:dyDescent="0.25">
      <c r="B21" s="81">
        <v>54</v>
      </c>
      <c r="C21" s="106" t="s">
        <v>286</v>
      </c>
      <c r="D21" s="101">
        <f>SUM(D22+D34+D36)</f>
        <v>18950</v>
      </c>
      <c r="E21" s="101">
        <f>SUM(E22+E34+E36)</f>
        <v>5733.8099999999995</v>
      </c>
      <c r="F21" s="101">
        <f>SUM(F22+F34+F36)</f>
        <v>24683.809999999998</v>
      </c>
    </row>
    <row r="22" spans="2:6" x14ac:dyDescent="0.25">
      <c r="B22" s="81">
        <v>541</v>
      </c>
      <c r="C22" s="106" t="s">
        <v>287</v>
      </c>
      <c r="D22" s="101">
        <f>SUM(D23:D33)</f>
        <v>13950</v>
      </c>
      <c r="E22" s="101">
        <f>SUM(E23:E33)</f>
        <v>3500</v>
      </c>
      <c r="F22" s="101">
        <f>SUM(F23:F33)</f>
        <v>17450</v>
      </c>
    </row>
    <row r="23" spans="2:6" x14ac:dyDescent="0.25">
      <c r="B23" s="90">
        <v>54101</v>
      </c>
      <c r="C23" s="104" t="s">
        <v>292</v>
      </c>
      <c r="D23" s="103">
        <v>2000</v>
      </c>
      <c r="E23" s="103">
        <v>500</v>
      </c>
      <c r="F23" s="103">
        <f t="shared" ref="F23:F33" si="2">SUM(D23:E23)</f>
        <v>2500</v>
      </c>
    </row>
    <row r="24" spans="2:6" x14ac:dyDescent="0.25">
      <c r="B24" s="90">
        <v>54104</v>
      </c>
      <c r="C24" s="104" t="s">
        <v>248</v>
      </c>
      <c r="D24" s="103">
        <v>2000</v>
      </c>
      <c r="E24" s="103">
        <v>0</v>
      </c>
      <c r="F24" s="103">
        <f t="shared" si="2"/>
        <v>2000</v>
      </c>
    </row>
    <row r="25" spans="2:6" x14ac:dyDescent="0.25">
      <c r="B25" s="90">
        <v>54105</v>
      </c>
      <c r="C25" s="104" t="s">
        <v>249</v>
      </c>
      <c r="D25" s="103">
        <v>350</v>
      </c>
      <c r="E25" s="103">
        <v>0</v>
      </c>
      <c r="F25" s="103">
        <f t="shared" si="2"/>
        <v>350</v>
      </c>
    </row>
    <row r="26" spans="2:6" x14ac:dyDescent="0.25">
      <c r="B26" s="90">
        <v>54106</v>
      </c>
      <c r="C26" s="104" t="s">
        <v>250</v>
      </c>
      <c r="D26" s="103">
        <v>400</v>
      </c>
      <c r="E26" s="103">
        <v>100</v>
      </c>
      <c r="F26" s="103">
        <f t="shared" si="2"/>
        <v>500</v>
      </c>
    </row>
    <row r="27" spans="2:6" x14ac:dyDescent="0.25">
      <c r="B27" s="90">
        <v>54107</v>
      </c>
      <c r="C27" s="104" t="s">
        <v>318</v>
      </c>
      <c r="D27" s="103">
        <v>2500</v>
      </c>
      <c r="E27" s="103">
        <v>400</v>
      </c>
      <c r="F27" s="103">
        <f t="shared" si="2"/>
        <v>2900</v>
      </c>
    </row>
    <row r="28" spans="2:6" x14ac:dyDescent="0.25">
      <c r="B28" s="90">
        <v>54109</v>
      </c>
      <c r="C28" s="104" t="s">
        <v>294</v>
      </c>
      <c r="D28" s="112">
        <v>500</v>
      </c>
      <c r="E28" s="103">
        <v>0</v>
      </c>
      <c r="F28" s="103">
        <f t="shared" si="2"/>
        <v>500</v>
      </c>
    </row>
    <row r="29" spans="2:6" x14ac:dyDescent="0.25">
      <c r="B29" s="90">
        <v>54110</v>
      </c>
      <c r="C29" s="104" t="s">
        <v>333</v>
      </c>
      <c r="D29" s="103">
        <v>3000</v>
      </c>
      <c r="E29" s="103">
        <v>1500</v>
      </c>
      <c r="F29" s="103">
        <f t="shared" si="2"/>
        <v>4500</v>
      </c>
    </row>
    <row r="30" spans="2:6" x14ac:dyDescent="0.25">
      <c r="B30" s="90">
        <v>54114</v>
      </c>
      <c r="C30" s="104" t="s">
        <v>253</v>
      </c>
      <c r="D30" s="103">
        <v>350</v>
      </c>
      <c r="E30" s="103">
        <v>0</v>
      </c>
      <c r="F30" s="103">
        <f t="shared" si="2"/>
        <v>350</v>
      </c>
    </row>
    <row r="31" spans="2:6" x14ac:dyDescent="0.25">
      <c r="B31" s="90">
        <v>54115</v>
      </c>
      <c r="C31" s="104" t="s">
        <v>254</v>
      </c>
      <c r="D31" s="103">
        <v>350</v>
      </c>
      <c r="E31" s="103">
        <v>0</v>
      </c>
      <c r="F31" s="103">
        <f t="shared" si="2"/>
        <v>350</v>
      </c>
    </row>
    <row r="32" spans="2:6" x14ac:dyDescent="0.25">
      <c r="B32" s="90">
        <v>54118</v>
      </c>
      <c r="C32" s="104" t="s">
        <v>295</v>
      </c>
      <c r="D32" s="103">
        <v>1500</v>
      </c>
      <c r="E32" s="103">
        <v>500</v>
      </c>
      <c r="F32" s="103">
        <f t="shared" si="2"/>
        <v>2000</v>
      </c>
    </row>
    <row r="33" spans="2:7" x14ac:dyDescent="0.25">
      <c r="B33" s="90">
        <v>54199</v>
      </c>
      <c r="C33" s="104" t="s">
        <v>364</v>
      </c>
      <c r="D33" s="103">
        <v>1000</v>
      </c>
      <c r="E33" s="103">
        <v>500</v>
      </c>
      <c r="F33" s="103">
        <f t="shared" si="2"/>
        <v>1500</v>
      </c>
      <c r="G33" s="373"/>
    </row>
    <row r="34" spans="2:7" x14ac:dyDescent="0.25">
      <c r="B34" s="81">
        <v>543</v>
      </c>
      <c r="C34" s="106" t="s">
        <v>257</v>
      </c>
      <c r="D34" s="101">
        <f>SUM(D35:D35)</f>
        <v>3500</v>
      </c>
      <c r="E34" s="101">
        <f>SUM(E35:E35)</f>
        <v>2233.81</v>
      </c>
      <c r="F34" s="101">
        <f>SUM(F35:F35)</f>
        <v>5733.8099999999995</v>
      </c>
    </row>
    <row r="35" spans="2:7" x14ac:dyDescent="0.25">
      <c r="B35" s="90">
        <v>54302</v>
      </c>
      <c r="C35" s="104" t="s">
        <v>365</v>
      </c>
      <c r="D35" s="103">
        <v>3500</v>
      </c>
      <c r="E35" s="103">
        <v>2233.81</v>
      </c>
      <c r="F35" s="103">
        <f>SUM(D35:E35)</f>
        <v>5733.8099999999995</v>
      </c>
    </row>
    <row r="36" spans="2:7" x14ac:dyDescent="0.25">
      <c r="B36" s="81">
        <v>545</v>
      </c>
      <c r="C36" s="106" t="s">
        <v>306</v>
      </c>
      <c r="D36" s="101">
        <f>SUM(D37)</f>
        <v>1500</v>
      </c>
      <c r="E36" s="101">
        <f t="shared" ref="E36:F36" si="3">SUM(E37)</f>
        <v>0</v>
      </c>
      <c r="F36" s="101">
        <f t="shared" si="3"/>
        <v>1500</v>
      </c>
    </row>
    <row r="37" spans="2:7" x14ac:dyDescent="0.25">
      <c r="B37" s="90">
        <v>54505</v>
      </c>
      <c r="C37" s="104" t="s">
        <v>366</v>
      </c>
      <c r="D37" s="103">
        <v>1500</v>
      </c>
      <c r="E37" s="103"/>
      <c r="F37" s="103">
        <f>SUM(D37:E37)</f>
        <v>1500</v>
      </c>
    </row>
    <row r="38" spans="2:7" x14ac:dyDescent="0.25">
      <c r="B38" s="90"/>
      <c r="C38" s="104"/>
      <c r="D38" s="103"/>
      <c r="E38" s="103"/>
      <c r="F38" s="103"/>
    </row>
    <row r="39" spans="2:7" x14ac:dyDescent="0.25">
      <c r="B39" s="90"/>
      <c r="C39" s="106" t="s">
        <v>70</v>
      </c>
      <c r="D39" s="101">
        <f>SUM(D12+D21)</f>
        <v>29470</v>
      </c>
      <c r="E39" s="101">
        <f>SUM(E12+E21)</f>
        <v>14801.31</v>
      </c>
      <c r="F39" s="101">
        <f>SUM(D39:E39)</f>
        <v>44271.31</v>
      </c>
    </row>
    <row r="40" spans="2:7" x14ac:dyDescent="0.25">
      <c r="B40" s="90"/>
      <c r="C40" s="104"/>
      <c r="D40" s="103"/>
      <c r="E40" s="103"/>
      <c r="F40" s="103"/>
    </row>
    <row r="41" spans="2:7" x14ac:dyDescent="0.25">
      <c r="B41" s="81"/>
      <c r="C41" s="106" t="s">
        <v>61</v>
      </c>
      <c r="D41" s="101">
        <f>SUM(D12+D21)</f>
        <v>29470</v>
      </c>
      <c r="E41" s="101">
        <f>SUM(E12+E21)</f>
        <v>14801.31</v>
      </c>
      <c r="F41" s="101">
        <f>SUM(F12+F21)</f>
        <v>44271.31</v>
      </c>
    </row>
    <row r="42" spans="2:7" x14ac:dyDescent="0.25">
      <c r="B42" s="81"/>
      <c r="C42" s="106" t="s">
        <v>62</v>
      </c>
      <c r="D42" s="101">
        <f>SUM(D13+D17+D19+D22+D34+D36)</f>
        <v>29470</v>
      </c>
      <c r="E42" s="101">
        <f>SUM(E13+E17+E19+E22+E34+E36)</f>
        <v>14801.31</v>
      </c>
      <c r="F42" s="101">
        <f>SUM(F13+F17+F19+F22+F34+F36)</f>
        <v>44271.31</v>
      </c>
    </row>
    <row r="43" spans="2:7" x14ac:dyDescent="0.25">
      <c r="B43" s="81"/>
      <c r="C43" s="106" t="s">
        <v>63</v>
      </c>
      <c r="D43" s="101">
        <f>SUM(D14+D15+D16+D18+D20+D23+D24+D25+D26+D27+D28+D29+D30+D31+D32+D33+D35+D37)</f>
        <v>29470</v>
      </c>
      <c r="E43" s="101">
        <f>SUM(E14+E15+E16+E18+E20+E23+E24+E25+E26+E27+E28+E29+E30+E31+E32+E33+E35+E37)</f>
        <v>14801.31</v>
      </c>
      <c r="F43" s="101">
        <f>SUM(F14+F15+F16+F18+F20+F23+F24+F25+F26+F27+F28+F29+F30+F31+F32+F33+F35+F37)</f>
        <v>44271.31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F33"/>
  <sheetViews>
    <sheetView workbookViewId="0">
      <pane ySplit="11" topLeftCell="A12" activePane="bottomLeft" state="frozen"/>
      <selection pane="bottomLeft" activeCell="H17" sqref="H17"/>
    </sheetView>
  </sheetViews>
  <sheetFormatPr baseColWidth="10" defaultRowHeight="15" x14ac:dyDescent="0.25"/>
  <cols>
    <col min="1" max="1" width="4.28515625" style="30" customWidth="1"/>
    <col min="2" max="2" width="9.42578125" style="30" customWidth="1"/>
    <col min="3" max="3" width="43" style="30" customWidth="1"/>
    <col min="4" max="4" width="14.140625" style="30" customWidth="1"/>
    <col min="5" max="5" width="15.85546875" style="30" customWidth="1"/>
    <col min="6" max="6" width="12.42578125" style="30" customWidth="1"/>
    <col min="7" max="16384" width="11.42578125" style="30"/>
  </cols>
  <sheetData>
    <row r="2" spans="2:6" ht="15.75" x14ac:dyDescent="0.25">
      <c r="B2" s="429" t="s">
        <v>407</v>
      </c>
      <c r="C2" s="429"/>
      <c r="D2" s="429"/>
      <c r="E2" s="429"/>
      <c r="F2" s="429"/>
    </row>
    <row r="3" spans="2:6" ht="15.75" x14ac:dyDescent="0.25">
      <c r="B3" s="429" t="s">
        <v>223</v>
      </c>
      <c r="C3" s="429"/>
      <c r="D3" s="429"/>
      <c r="E3" s="429"/>
      <c r="F3" s="429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284</v>
      </c>
      <c r="C5" s="427"/>
      <c r="D5" s="427"/>
      <c r="E5" s="427"/>
      <c r="F5" s="427"/>
    </row>
    <row r="6" spans="2:6" ht="15.75" x14ac:dyDescent="0.25">
      <c r="B6" s="144" t="s">
        <v>285</v>
      </c>
      <c r="C6" s="145"/>
      <c r="D6" s="145"/>
      <c r="E6" s="145"/>
      <c r="F6" s="145"/>
    </row>
    <row r="7" spans="2:6" ht="15.75" x14ac:dyDescent="0.25">
      <c r="B7" s="427" t="s">
        <v>226</v>
      </c>
      <c r="C7" s="427"/>
      <c r="D7" s="427"/>
      <c r="E7" s="427"/>
      <c r="F7" s="427"/>
    </row>
    <row r="8" spans="2:6" ht="15.75" x14ac:dyDescent="0.25">
      <c r="B8" s="426" t="s">
        <v>165</v>
      </c>
      <c r="C8" s="426"/>
      <c r="D8" s="426"/>
      <c r="E8" s="426"/>
      <c r="F8" s="426"/>
    </row>
    <row r="9" spans="2:6" x14ac:dyDescent="0.25">
      <c r="B9" s="31"/>
      <c r="C9" s="31"/>
      <c r="D9" s="31"/>
      <c r="E9" s="32"/>
      <c r="F9" s="31"/>
    </row>
    <row r="10" spans="2:6" x14ac:dyDescent="0.25">
      <c r="B10" s="425" t="s">
        <v>228</v>
      </c>
      <c r="C10" s="425" t="s">
        <v>229</v>
      </c>
      <c r="D10" s="97" t="s">
        <v>230</v>
      </c>
      <c r="E10" s="97" t="s">
        <v>231</v>
      </c>
      <c r="F10" s="425" t="s">
        <v>0</v>
      </c>
    </row>
    <row r="11" spans="2:6" x14ac:dyDescent="0.25">
      <c r="B11" s="425"/>
      <c r="C11" s="425"/>
      <c r="D11" s="97" t="s">
        <v>232</v>
      </c>
      <c r="E11" s="97" t="s">
        <v>233</v>
      </c>
      <c r="F11" s="425"/>
    </row>
    <row r="12" spans="2:6" x14ac:dyDescent="0.25">
      <c r="B12" s="76">
        <v>51</v>
      </c>
      <c r="C12" s="105" t="s">
        <v>130</v>
      </c>
      <c r="D12" s="99">
        <f>SUM(D13+D16+D18)</f>
        <v>20532.5</v>
      </c>
      <c r="E12" s="99">
        <f>SUM(E13+E16+E18)</f>
        <v>5580</v>
      </c>
      <c r="F12" s="99">
        <f>SUM(F13+F16+F18)</f>
        <v>26112.5</v>
      </c>
    </row>
    <row r="13" spans="2:6" x14ac:dyDescent="0.25">
      <c r="B13" s="81">
        <v>511</v>
      </c>
      <c r="C13" s="113" t="s">
        <v>367</v>
      </c>
      <c r="D13" s="101">
        <f>SUM(D14:D15)</f>
        <v>17900</v>
      </c>
      <c r="E13" s="101">
        <f>SUM(E14:E15)</f>
        <v>4800</v>
      </c>
      <c r="F13" s="101">
        <f>SUM(F14:F15)</f>
        <v>22700</v>
      </c>
    </row>
    <row r="14" spans="2:6" x14ac:dyDescent="0.25">
      <c r="B14" s="84">
        <v>51101</v>
      </c>
      <c r="C14" s="102" t="s">
        <v>235</v>
      </c>
      <c r="D14" s="103">
        <v>16200</v>
      </c>
      <c r="E14" s="103">
        <v>4800</v>
      </c>
      <c r="F14" s="103">
        <f>SUM(D14:E14)</f>
        <v>21000</v>
      </c>
    </row>
    <row r="15" spans="2:6" x14ac:dyDescent="0.25">
      <c r="B15" s="84">
        <v>51103</v>
      </c>
      <c r="C15" s="104" t="s">
        <v>236</v>
      </c>
      <c r="D15" s="103">
        <v>1700</v>
      </c>
      <c r="E15" s="103">
        <v>0</v>
      </c>
      <c r="F15" s="103">
        <f>SUM(D15:E15)</f>
        <v>1700</v>
      </c>
    </row>
    <row r="16" spans="2:6" x14ac:dyDescent="0.25">
      <c r="B16" s="81">
        <v>514</v>
      </c>
      <c r="C16" s="105" t="s">
        <v>239</v>
      </c>
      <c r="D16" s="101">
        <f>SUM(D17:D17)</f>
        <v>1377</v>
      </c>
      <c r="E16" s="101">
        <f t="shared" ref="E16" si="0">SUM(E17)</f>
        <v>408</v>
      </c>
      <c r="F16" s="101">
        <f>SUM(F17:F17)</f>
        <v>1785</v>
      </c>
    </row>
    <row r="17" spans="2:6" x14ac:dyDescent="0.25">
      <c r="B17" s="90">
        <v>51401</v>
      </c>
      <c r="C17" s="104" t="s">
        <v>240</v>
      </c>
      <c r="D17" s="103">
        <v>1377</v>
      </c>
      <c r="E17" s="103">
        <v>408</v>
      </c>
      <c r="F17" s="103">
        <f>SUM(D17:E17)</f>
        <v>1785</v>
      </c>
    </row>
    <row r="18" spans="2:6" x14ac:dyDescent="0.25">
      <c r="B18" s="81">
        <v>515</v>
      </c>
      <c r="C18" s="106" t="s">
        <v>241</v>
      </c>
      <c r="D18" s="101">
        <f>SUM(D19:D19)</f>
        <v>1255.5</v>
      </c>
      <c r="E18" s="101">
        <f>SUM(E19:E19)</f>
        <v>372</v>
      </c>
      <c r="F18" s="101">
        <f>SUM(F19:F19)</f>
        <v>1627.5</v>
      </c>
    </row>
    <row r="19" spans="2:6" x14ac:dyDescent="0.25">
      <c r="B19" s="90">
        <v>51501</v>
      </c>
      <c r="C19" s="104" t="s">
        <v>240</v>
      </c>
      <c r="D19" s="103">
        <v>1255.5</v>
      </c>
      <c r="E19" s="103">
        <v>372</v>
      </c>
      <c r="F19" s="103">
        <f>SUM(D19:E19)</f>
        <v>1627.5</v>
      </c>
    </row>
    <row r="20" spans="2:6" x14ac:dyDescent="0.25">
      <c r="B20" s="81">
        <v>54</v>
      </c>
      <c r="C20" s="106" t="s">
        <v>286</v>
      </c>
      <c r="D20" s="101">
        <f>SUM(D21+D26)</f>
        <v>1200</v>
      </c>
      <c r="E20" s="101">
        <f>SUM(E21+E26)</f>
        <v>0</v>
      </c>
      <c r="F20" s="101">
        <f>SUM(F21+F26)</f>
        <v>1200</v>
      </c>
    </row>
    <row r="21" spans="2:6" x14ac:dyDescent="0.25">
      <c r="B21" s="81">
        <v>541</v>
      </c>
      <c r="C21" s="106" t="s">
        <v>287</v>
      </c>
      <c r="D21" s="101">
        <f>SUM(D22:D25)</f>
        <v>950</v>
      </c>
      <c r="E21" s="101">
        <f>SUM(E22:E25)</f>
        <v>0</v>
      </c>
      <c r="F21" s="101">
        <f>SUM(F22:F25)</f>
        <v>950</v>
      </c>
    </row>
    <row r="22" spans="2:6" x14ac:dyDescent="0.25">
      <c r="B22" s="90">
        <v>54101</v>
      </c>
      <c r="C22" s="104" t="s">
        <v>246</v>
      </c>
      <c r="D22" s="103">
        <v>650</v>
      </c>
      <c r="E22" s="103">
        <v>0</v>
      </c>
      <c r="F22" s="103">
        <f>SUM(D22:E22)</f>
        <v>650</v>
      </c>
    </row>
    <row r="23" spans="2:6" x14ac:dyDescent="0.25">
      <c r="B23" s="90">
        <v>54105</v>
      </c>
      <c r="C23" s="104" t="s">
        <v>249</v>
      </c>
      <c r="D23" s="103">
        <v>100</v>
      </c>
      <c r="E23" s="103">
        <v>0</v>
      </c>
      <c r="F23" s="103">
        <f>SUM(D23:E23)</f>
        <v>100</v>
      </c>
    </row>
    <row r="24" spans="2:6" x14ac:dyDescent="0.25">
      <c r="B24" s="90">
        <v>54114</v>
      </c>
      <c r="C24" s="104" t="s">
        <v>253</v>
      </c>
      <c r="D24" s="103">
        <v>100</v>
      </c>
      <c r="E24" s="103">
        <v>0</v>
      </c>
      <c r="F24" s="103">
        <f>SUM(D24:E24)</f>
        <v>100</v>
      </c>
    </row>
    <row r="25" spans="2:6" x14ac:dyDescent="0.25">
      <c r="B25" s="90">
        <v>54115</v>
      </c>
      <c r="C25" s="104" t="s">
        <v>254</v>
      </c>
      <c r="D25" s="103">
        <v>100</v>
      </c>
      <c r="E25" s="103">
        <v>0</v>
      </c>
      <c r="F25" s="103">
        <f>SUM(D25:E25)</f>
        <v>100</v>
      </c>
    </row>
    <row r="26" spans="2:6" x14ac:dyDescent="0.25">
      <c r="B26" s="81">
        <v>543</v>
      </c>
      <c r="C26" s="106" t="s">
        <v>257</v>
      </c>
      <c r="D26" s="101">
        <f>SUM(D27:D27)</f>
        <v>250</v>
      </c>
      <c r="E26" s="101">
        <f>SUM(E27:E27)</f>
        <v>0</v>
      </c>
      <c r="F26" s="101">
        <f>SUM(F27:F27)</f>
        <v>250</v>
      </c>
    </row>
    <row r="27" spans="2:6" x14ac:dyDescent="0.25">
      <c r="B27" s="90">
        <v>54304</v>
      </c>
      <c r="C27" s="104" t="s">
        <v>361</v>
      </c>
      <c r="D27" s="103">
        <v>250</v>
      </c>
      <c r="E27" s="103">
        <v>0</v>
      </c>
      <c r="F27" s="103">
        <f>SUM(D27:E27)</f>
        <v>250</v>
      </c>
    </row>
    <row r="28" spans="2:6" x14ac:dyDescent="0.25">
      <c r="B28" s="90"/>
      <c r="C28" s="104"/>
      <c r="D28" s="103"/>
      <c r="E28" s="103"/>
      <c r="F28" s="103"/>
    </row>
    <row r="29" spans="2:6" x14ac:dyDescent="0.25">
      <c r="B29" s="90"/>
      <c r="C29" s="106" t="s">
        <v>70</v>
      </c>
      <c r="D29" s="101">
        <f>SUM(D12+D20)</f>
        <v>21732.5</v>
      </c>
      <c r="E29" s="101">
        <f>SUM(E12+E20)</f>
        <v>5580</v>
      </c>
      <c r="F29" s="101">
        <f>SUM(D29:E29)</f>
        <v>27312.5</v>
      </c>
    </row>
    <row r="30" spans="2:6" x14ac:dyDescent="0.25">
      <c r="B30" s="90"/>
      <c r="C30" s="104"/>
      <c r="D30" s="103"/>
      <c r="E30" s="103"/>
      <c r="F30" s="103"/>
    </row>
    <row r="31" spans="2:6" x14ac:dyDescent="0.25">
      <c r="B31" s="81"/>
      <c r="C31" s="106" t="s">
        <v>61</v>
      </c>
      <c r="D31" s="101">
        <f>SUM(D12+D20)</f>
        <v>21732.5</v>
      </c>
      <c r="E31" s="101">
        <f>SUM(E12+E20)</f>
        <v>5580</v>
      </c>
      <c r="F31" s="101">
        <f>SUM(F12+F20)</f>
        <v>27312.5</v>
      </c>
    </row>
    <row r="32" spans="2:6" x14ac:dyDescent="0.25">
      <c r="B32" s="81"/>
      <c r="C32" s="106" t="s">
        <v>62</v>
      </c>
      <c r="D32" s="101">
        <f>SUM(D13+D16+D18+D21+D26)</f>
        <v>21732.5</v>
      </c>
      <c r="E32" s="101">
        <f>SUM(E13+E16+E18+E21+E26)</f>
        <v>5580</v>
      </c>
      <c r="F32" s="101">
        <f>SUM(F13+F16+F18+F21+F26)</f>
        <v>27312.5</v>
      </c>
    </row>
    <row r="33" spans="2:6" x14ac:dyDescent="0.25">
      <c r="B33" s="81"/>
      <c r="C33" s="106" t="s">
        <v>63</v>
      </c>
      <c r="D33" s="101">
        <f>SUM(D14+D15+D17+D19+D22+D23+D24+D25+D27)</f>
        <v>21732.5</v>
      </c>
      <c r="E33" s="101">
        <f>SUM(E14+E15+E17+E19+E22+E23+E24+E25+E27)</f>
        <v>5580</v>
      </c>
      <c r="F33" s="101">
        <f>SUM(F14+F15+F17+F19+F22+F23+F24+F25+F27)</f>
        <v>27312.5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F40"/>
  <sheetViews>
    <sheetView workbookViewId="0">
      <pane ySplit="11" topLeftCell="A12" activePane="bottomLeft" state="frozen"/>
      <selection pane="bottomLeft" activeCell="H15" sqref="H15"/>
    </sheetView>
  </sheetViews>
  <sheetFormatPr baseColWidth="10" defaultRowHeight="15" x14ac:dyDescent="0.25"/>
  <cols>
    <col min="1" max="1" width="2.85546875" style="30" customWidth="1"/>
    <col min="2" max="2" width="8.5703125" style="30" customWidth="1"/>
    <col min="3" max="3" width="42.140625" style="30" customWidth="1"/>
    <col min="4" max="4" width="14.140625" style="30" customWidth="1"/>
    <col min="5" max="5" width="16.28515625" style="30" customWidth="1"/>
    <col min="6" max="6" width="14" style="30" customWidth="1"/>
    <col min="7" max="16384" width="11.42578125" style="30"/>
  </cols>
  <sheetData>
    <row r="2" spans="2:6" ht="15.75" x14ac:dyDescent="0.25">
      <c r="B2" s="429" t="s">
        <v>407</v>
      </c>
      <c r="C2" s="429"/>
      <c r="D2" s="429"/>
      <c r="E2" s="429"/>
      <c r="F2" s="429"/>
    </row>
    <row r="3" spans="2:6" ht="15.75" x14ac:dyDescent="0.25">
      <c r="B3" s="429" t="s">
        <v>223</v>
      </c>
      <c r="C3" s="429"/>
      <c r="D3" s="429"/>
      <c r="E3" s="429"/>
      <c r="F3" s="429"/>
    </row>
    <row r="4" spans="2:6" ht="15.75" x14ac:dyDescent="0.25">
      <c r="B4" s="427" t="s">
        <v>224</v>
      </c>
      <c r="C4" s="427"/>
      <c r="D4" s="427"/>
      <c r="E4" s="427"/>
      <c r="F4" s="427"/>
    </row>
    <row r="5" spans="2:6" ht="15.75" x14ac:dyDescent="0.25">
      <c r="B5" s="427" t="s">
        <v>284</v>
      </c>
      <c r="C5" s="427"/>
      <c r="D5" s="427"/>
      <c r="E5" s="427"/>
      <c r="F5" s="427"/>
    </row>
    <row r="6" spans="2:6" ht="15.75" x14ac:dyDescent="0.25">
      <c r="B6" s="144" t="s">
        <v>285</v>
      </c>
      <c r="C6" s="145"/>
      <c r="D6" s="145"/>
      <c r="E6" s="145"/>
      <c r="F6" s="145"/>
    </row>
    <row r="7" spans="2:6" ht="15.75" x14ac:dyDescent="0.25">
      <c r="B7" s="427" t="s">
        <v>226</v>
      </c>
      <c r="C7" s="427"/>
      <c r="D7" s="427"/>
      <c r="E7" s="427"/>
      <c r="F7" s="427"/>
    </row>
    <row r="8" spans="2:6" ht="15.75" x14ac:dyDescent="0.25">
      <c r="B8" s="426" t="s">
        <v>194</v>
      </c>
      <c r="C8" s="426"/>
      <c r="D8" s="426"/>
      <c r="E8" s="426"/>
      <c r="F8" s="426"/>
    </row>
    <row r="9" spans="2:6" x14ac:dyDescent="0.25">
      <c r="B9" s="31"/>
      <c r="C9" s="31"/>
      <c r="D9" s="31"/>
      <c r="E9" s="41"/>
      <c r="F9" s="31"/>
    </row>
    <row r="10" spans="2:6" x14ac:dyDescent="0.25">
      <c r="B10" s="425" t="s">
        <v>228</v>
      </c>
      <c r="C10" s="425" t="s">
        <v>229</v>
      </c>
      <c r="D10" s="97" t="s">
        <v>230</v>
      </c>
      <c r="E10" s="97" t="s">
        <v>231</v>
      </c>
      <c r="F10" s="425" t="s">
        <v>0</v>
      </c>
    </row>
    <row r="11" spans="2:6" x14ac:dyDescent="0.25">
      <c r="B11" s="425"/>
      <c r="C11" s="425"/>
      <c r="D11" s="97" t="s">
        <v>232</v>
      </c>
      <c r="E11" s="97" t="s">
        <v>233</v>
      </c>
      <c r="F11" s="425"/>
    </row>
    <row r="12" spans="2:6" x14ac:dyDescent="0.25">
      <c r="B12" s="76">
        <v>51</v>
      </c>
      <c r="C12" s="105" t="s">
        <v>130</v>
      </c>
      <c r="D12" s="99">
        <f>SUM(D13+D16+D18)</f>
        <v>135326.88</v>
      </c>
      <c r="E12" s="99">
        <f>SUM(E13+E16+E18)</f>
        <v>20053.12</v>
      </c>
      <c r="F12" s="99">
        <f>SUM(F13+F16+F18)</f>
        <v>155380</v>
      </c>
    </row>
    <row r="13" spans="2:6" x14ac:dyDescent="0.25">
      <c r="B13" s="81">
        <v>511</v>
      </c>
      <c r="C13" s="113" t="s">
        <v>234</v>
      </c>
      <c r="D13" s="101">
        <f>SUM(D14:D15)</f>
        <v>117850</v>
      </c>
      <c r="E13" s="101">
        <f>SUM(E14:E15)</f>
        <v>17250</v>
      </c>
      <c r="F13" s="101">
        <f>SUM(F14:F15)</f>
        <v>135100</v>
      </c>
    </row>
    <row r="14" spans="2:6" x14ac:dyDescent="0.25">
      <c r="B14" s="84">
        <v>51101</v>
      </c>
      <c r="C14" s="102" t="s">
        <v>235</v>
      </c>
      <c r="D14" s="103">
        <v>107550</v>
      </c>
      <c r="E14" s="103">
        <v>17250</v>
      </c>
      <c r="F14" s="103">
        <f>SUM(D14:E14)</f>
        <v>124800</v>
      </c>
    </row>
    <row r="15" spans="2:6" x14ac:dyDescent="0.25">
      <c r="B15" s="84">
        <v>51103</v>
      </c>
      <c r="C15" s="104" t="s">
        <v>236</v>
      </c>
      <c r="D15" s="103">
        <v>10300</v>
      </c>
      <c r="E15" s="103">
        <v>0</v>
      </c>
      <c r="F15" s="103">
        <f>SUM(D15:E15)</f>
        <v>10300</v>
      </c>
    </row>
    <row r="16" spans="2:6" x14ac:dyDescent="0.25">
      <c r="B16" s="81">
        <v>514</v>
      </c>
      <c r="C16" s="105" t="s">
        <v>239</v>
      </c>
      <c r="D16" s="101">
        <f>SUM(D17:D17)</f>
        <v>9141.75</v>
      </c>
      <c r="E16" s="101">
        <f>SUM(E17:E17)</f>
        <v>1466.25</v>
      </c>
      <c r="F16" s="101">
        <f>SUM(F17:F17)</f>
        <v>10608</v>
      </c>
    </row>
    <row r="17" spans="2:6" x14ac:dyDescent="0.25">
      <c r="B17" s="90">
        <v>51401</v>
      </c>
      <c r="C17" s="104" t="s">
        <v>240</v>
      </c>
      <c r="D17" s="103">
        <v>9141.75</v>
      </c>
      <c r="E17" s="103">
        <v>1466.25</v>
      </c>
      <c r="F17" s="103">
        <f>SUM(D17:E17)</f>
        <v>10608</v>
      </c>
    </row>
    <row r="18" spans="2:6" x14ac:dyDescent="0.25">
      <c r="B18" s="81">
        <v>515</v>
      </c>
      <c r="C18" s="106" t="s">
        <v>241</v>
      </c>
      <c r="D18" s="101">
        <f>SUM(D19:D19)</f>
        <v>8335.1299999999992</v>
      </c>
      <c r="E18" s="101">
        <f>SUM(E19:E19)</f>
        <v>1336.87</v>
      </c>
      <c r="F18" s="101">
        <f>SUM(F19:F19)</f>
        <v>9672</v>
      </c>
    </row>
    <row r="19" spans="2:6" x14ac:dyDescent="0.25">
      <c r="B19" s="90">
        <v>51501</v>
      </c>
      <c r="C19" s="104" t="s">
        <v>240</v>
      </c>
      <c r="D19" s="103">
        <v>8335.1299999999992</v>
      </c>
      <c r="E19" s="103">
        <v>1336.87</v>
      </c>
      <c r="F19" s="103">
        <f>SUM(D19:E19)</f>
        <v>9672</v>
      </c>
    </row>
    <row r="20" spans="2:6" x14ac:dyDescent="0.25">
      <c r="B20" s="81">
        <v>54</v>
      </c>
      <c r="C20" s="106" t="s">
        <v>286</v>
      </c>
      <c r="D20" s="109">
        <f>SUM(D21+D27+D30)</f>
        <v>19290</v>
      </c>
      <c r="E20" s="109">
        <f>SUM(E21+E27+E30)</f>
        <v>6000</v>
      </c>
      <c r="F20" s="101">
        <f>SUM(F21+F27+F30)</f>
        <v>25290</v>
      </c>
    </row>
    <row r="21" spans="2:6" x14ac:dyDescent="0.25">
      <c r="B21" s="81">
        <v>541</v>
      </c>
      <c r="C21" s="106" t="s">
        <v>287</v>
      </c>
      <c r="D21" s="109">
        <f>SUM(D22:D26)</f>
        <v>14040</v>
      </c>
      <c r="E21" s="109">
        <f>SUM(E22:E26)</f>
        <v>4000</v>
      </c>
      <c r="F21" s="101">
        <f>SUM(F22:F26)</f>
        <v>18040</v>
      </c>
    </row>
    <row r="22" spans="2:6" x14ac:dyDescent="0.25">
      <c r="B22" s="90">
        <v>54101</v>
      </c>
      <c r="C22" s="104" t="s">
        <v>246</v>
      </c>
      <c r="D22" s="112">
        <v>7000</v>
      </c>
      <c r="E22" s="112">
        <v>4000</v>
      </c>
      <c r="F22" s="103">
        <f>SUM(D22:E22)</f>
        <v>11000</v>
      </c>
    </row>
    <row r="23" spans="2:6" x14ac:dyDescent="0.25">
      <c r="B23" s="90">
        <v>54104</v>
      </c>
      <c r="C23" s="104" t="s">
        <v>248</v>
      </c>
      <c r="D23" s="112">
        <v>5500</v>
      </c>
      <c r="E23" s="112">
        <v>0</v>
      </c>
      <c r="F23" s="103">
        <f>SUM(D23:E23)</f>
        <v>5500</v>
      </c>
    </row>
    <row r="24" spans="2:6" x14ac:dyDescent="0.25">
      <c r="B24" s="90">
        <v>54105</v>
      </c>
      <c r="C24" s="104" t="s">
        <v>249</v>
      </c>
      <c r="D24" s="112">
        <v>650</v>
      </c>
      <c r="E24" s="112">
        <v>0</v>
      </c>
      <c r="F24" s="103">
        <f>SUM(D24:E24)</f>
        <v>650</v>
      </c>
    </row>
    <row r="25" spans="2:6" x14ac:dyDescent="0.25">
      <c r="B25" s="90">
        <v>54114</v>
      </c>
      <c r="C25" s="104" t="s">
        <v>253</v>
      </c>
      <c r="D25" s="112">
        <v>400</v>
      </c>
      <c r="E25" s="112">
        <v>0</v>
      </c>
      <c r="F25" s="103">
        <f>SUM(D25:E25)</f>
        <v>400</v>
      </c>
    </row>
    <row r="26" spans="2:6" x14ac:dyDescent="0.25">
      <c r="B26" s="90">
        <v>54115</v>
      </c>
      <c r="C26" s="104" t="s">
        <v>254</v>
      </c>
      <c r="D26" s="112">
        <v>490</v>
      </c>
      <c r="E26" s="112">
        <v>0</v>
      </c>
      <c r="F26" s="103">
        <f>SUM(D26:E26)</f>
        <v>490</v>
      </c>
    </row>
    <row r="27" spans="2:6" x14ac:dyDescent="0.25">
      <c r="B27" s="81">
        <v>543</v>
      </c>
      <c r="C27" s="106" t="s">
        <v>257</v>
      </c>
      <c r="D27" s="109">
        <f>SUM(D28:D29)</f>
        <v>5000</v>
      </c>
      <c r="E27" s="109">
        <f>SUM(E28:E29)</f>
        <v>2000</v>
      </c>
      <c r="F27" s="101">
        <f>SUM(F28:F29)</f>
        <v>7000</v>
      </c>
    </row>
    <row r="28" spans="2:6" x14ac:dyDescent="0.25">
      <c r="B28" s="90">
        <v>54304</v>
      </c>
      <c r="C28" s="104" t="s">
        <v>361</v>
      </c>
      <c r="D28" s="112">
        <v>4000</v>
      </c>
      <c r="E28" s="112">
        <v>2000</v>
      </c>
      <c r="F28" s="103">
        <f>SUM(D28:E28)</f>
        <v>6000</v>
      </c>
    </row>
    <row r="29" spans="2:6" x14ac:dyDescent="0.25">
      <c r="B29" s="90">
        <v>54313</v>
      </c>
      <c r="C29" s="104" t="s">
        <v>261</v>
      </c>
      <c r="D29" s="112">
        <v>1000</v>
      </c>
      <c r="E29" s="112"/>
      <c r="F29" s="103">
        <f>SUM(D29:E29)</f>
        <v>1000</v>
      </c>
    </row>
    <row r="30" spans="2:6" x14ac:dyDescent="0.25">
      <c r="B30" s="81">
        <v>544</v>
      </c>
      <c r="C30" s="106" t="s">
        <v>264</v>
      </c>
      <c r="D30" s="109">
        <f>SUM(D31)</f>
        <v>250</v>
      </c>
      <c r="E30" s="109">
        <f t="shared" ref="E30:F30" si="0">SUM(E31)</f>
        <v>0</v>
      </c>
      <c r="F30" s="101">
        <f t="shared" si="0"/>
        <v>250</v>
      </c>
    </row>
    <row r="31" spans="2:6" x14ac:dyDescent="0.25">
      <c r="B31" s="90">
        <v>54401</v>
      </c>
      <c r="C31" s="104" t="s">
        <v>265</v>
      </c>
      <c r="D31" s="112">
        <v>250</v>
      </c>
      <c r="E31" s="112">
        <v>0</v>
      </c>
      <c r="F31" s="103">
        <f>SUM(D31:E31)</f>
        <v>250</v>
      </c>
    </row>
    <row r="32" spans="2:6" x14ac:dyDescent="0.25">
      <c r="B32" s="81">
        <v>61</v>
      </c>
      <c r="C32" s="106" t="s">
        <v>280</v>
      </c>
      <c r="D32" s="109">
        <f>SUM(D33)</f>
        <v>0</v>
      </c>
      <c r="E32" s="109">
        <f t="shared" ref="E32:F33" si="1">SUM(E33)</f>
        <v>800</v>
      </c>
      <c r="F32" s="101">
        <f t="shared" si="1"/>
        <v>800</v>
      </c>
    </row>
    <row r="33" spans="2:6" x14ac:dyDescent="0.25">
      <c r="B33" s="81">
        <v>611</v>
      </c>
      <c r="C33" s="106" t="s">
        <v>281</v>
      </c>
      <c r="D33" s="101">
        <f>SUM(D34)</f>
        <v>0</v>
      </c>
      <c r="E33" s="101">
        <f t="shared" si="1"/>
        <v>800</v>
      </c>
      <c r="F33" s="101">
        <f t="shared" si="1"/>
        <v>800</v>
      </c>
    </row>
    <row r="34" spans="2:6" x14ac:dyDescent="0.25">
      <c r="B34" s="90">
        <v>61101</v>
      </c>
      <c r="C34" s="104" t="s">
        <v>282</v>
      </c>
      <c r="D34" s="103">
        <v>0</v>
      </c>
      <c r="E34" s="103">
        <v>800</v>
      </c>
      <c r="F34" s="103">
        <f>SUM(D34:E34)</f>
        <v>800</v>
      </c>
    </row>
    <row r="35" spans="2:6" x14ac:dyDescent="0.25">
      <c r="B35" s="90"/>
      <c r="C35" s="104"/>
      <c r="D35" s="103"/>
      <c r="E35" s="103"/>
      <c r="F35" s="103"/>
    </row>
    <row r="36" spans="2:6" x14ac:dyDescent="0.25">
      <c r="B36" s="90"/>
      <c r="C36" s="106" t="s">
        <v>70</v>
      </c>
      <c r="D36" s="101">
        <f>SUM(D12+D20+D32)</f>
        <v>154616.88</v>
      </c>
      <c r="E36" s="101">
        <f>SUM(E12+E20+E32)</f>
        <v>26853.119999999999</v>
      </c>
      <c r="F36" s="101">
        <f>SUM(D36:E36)</f>
        <v>181470</v>
      </c>
    </row>
    <row r="37" spans="2:6" x14ac:dyDescent="0.25">
      <c r="B37" s="90"/>
      <c r="C37" s="104"/>
      <c r="D37" s="103"/>
      <c r="E37" s="103"/>
      <c r="F37" s="103"/>
    </row>
    <row r="38" spans="2:6" x14ac:dyDescent="0.25">
      <c r="B38" s="81"/>
      <c r="C38" s="106" t="s">
        <v>61</v>
      </c>
      <c r="D38" s="101">
        <f>SUM(D12+D20+D32)</f>
        <v>154616.88</v>
      </c>
      <c r="E38" s="101">
        <f>SUM(E12+E20+E32)</f>
        <v>26853.119999999999</v>
      </c>
      <c r="F38" s="101">
        <f>SUM(F12+F20+F32)</f>
        <v>181470</v>
      </c>
    </row>
    <row r="39" spans="2:6" x14ac:dyDescent="0.25">
      <c r="B39" s="81"/>
      <c r="C39" s="106" t="s">
        <v>62</v>
      </c>
      <c r="D39" s="101">
        <f>SUM(D13+D16+D18+D21+D27+D30+D33)</f>
        <v>154616.88</v>
      </c>
      <c r="E39" s="101">
        <f>SUM(E13+E16+E18+E21+E27+E30+E33)</f>
        <v>26853.119999999999</v>
      </c>
      <c r="F39" s="101">
        <f>SUM(F13+F16+F18+F21+F27+F30+F33)</f>
        <v>181470</v>
      </c>
    </row>
    <row r="40" spans="2:6" x14ac:dyDescent="0.25">
      <c r="B40" s="81"/>
      <c r="C40" s="106" t="s">
        <v>63</v>
      </c>
      <c r="D40" s="101">
        <f>SUM(D14+D15+D17+D19+D22+D23+D24+D25+D26+D28+D29+D31+D34)</f>
        <v>154616.88</v>
      </c>
      <c r="E40" s="101">
        <f>SUM(E14+E15+E17+E19+E22+E23+E24+E25+E26+E28+E29+E31+E34)</f>
        <v>26853.119999999999</v>
      </c>
      <c r="F40" s="101">
        <f>SUM(F14+F15+F17+F19+F22+F23+F24+F25+F26+F28+F29+F31+F34)</f>
        <v>181470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2:G47"/>
  <sheetViews>
    <sheetView workbookViewId="0">
      <pane ySplit="11" topLeftCell="A36" activePane="bottomLeft" state="frozen"/>
      <selection pane="bottomLeft" activeCell="F41" sqref="F41"/>
    </sheetView>
  </sheetViews>
  <sheetFormatPr baseColWidth="10" defaultRowHeight="15" x14ac:dyDescent="0.25"/>
  <cols>
    <col min="1" max="1" width="7.42578125" style="30" customWidth="1"/>
    <col min="2" max="2" width="8.7109375" style="30" customWidth="1"/>
    <col min="3" max="3" width="49" style="30" customWidth="1"/>
    <col min="4" max="4" width="23.5703125" style="30" customWidth="1"/>
    <col min="5" max="6" width="11.42578125" style="30"/>
    <col min="7" max="7" width="16.42578125" style="30" customWidth="1"/>
    <col min="8" max="16384" width="11.42578125" style="30"/>
  </cols>
  <sheetData>
    <row r="2" spans="2:4" ht="15.75" x14ac:dyDescent="0.25">
      <c r="B2" s="429" t="s">
        <v>407</v>
      </c>
      <c r="C2" s="429"/>
      <c r="D2" s="429"/>
    </row>
    <row r="3" spans="2:4" ht="15.75" x14ac:dyDescent="0.25">
      <c r="B3" s="341" t="s">
        <v>223</v>
      </c>
      <c r="C3" s="341"/>
      <c r="D3" s="341"/>
    </row>
    <row r="4" spans="2:4" ht="15.75" x14ac:dyDescent="0.25">
      <c r="B4" s="427" t="s">
        <v>224</v>
      </c>
      <c r="C4" s="427"/>
      <c r="D4" s="427"/>
    </row>
    <row r="5" spans="2:4" ht="15.75" x14ac:dyDescent="0.25">
      <c r="B5" s="427" t="s">
        <v>284</v>
      </c>
      <c r="C5" s="427"/>
      <c r="D5" s="427"/>
    </row>
    <row r="6" spans="2:4" ht="15.75" x14ac:dyDescent="0.25">
      <c r="B6" s="144" t="s">
        <v>285</v>
      </c>
      <c r="C6" s="384"/>
      <c r="D6" s="384"/>
    </row>
    <row r="7" spans="2:4" ht="15.75" x14ac:dyDescent="0.25">
      <c r="B7" s="427" t="s">
        <v>226</v>
      </c>
      <c r="C7" s="427"/>
      <c r="D7" s="427"/>
    </row>
    <row r="8" spans="2:4" ht="15.75" x14ac:dyDescent="0.25">
      <c r="B8" s="426" t="s">
        <v>227</v>
      </c>
      <c r="C8" s="426"/>
      <c r="D8" s="426"/>
    </row>
    <row r="9" spans="2:4" x14ac:dyDescent="0.25">
      <c r="B9" s="31"/>
      <c r="C9" s="31"/>
      <c r="D9" s="41"/>
    </row>
    <row r="10" spans="2:4" x14ac:dyDescent="0.25">
      <c r="B10" s="459" t="s">
        <v>228</v>
      </c>
      <c r="C10" s="459" t="s">
        <v>229</v>
      </c>
      <c r="D10" s="383" t="s">
        <v>231</v>
      </c>
    </row>
    <row r="11" spans="2:4" x14ac:dyDescent="0.25">
      <c r="B11" s="460"/>
      <c r="C11" s="460"/>
      <c r="D11" s="383" t="s">
        <v>447</v>
      </c>
    </row>
    <row r="12" spans="2:4" x14ac:dyDescent="0.25">
      <c r="B12" s="76">
        <v>51</v>
      </c>
      <c r="C12" s="105" t="s">
        <v>130</v>
      </c>
      <c r="D12" s="99">
        <f>SUM(D13)</f>
        <v>20000</v>
      </c>
    </row>
    <row r="13" spans="2:4" x14ac:dyDescent="0.25">
      <c r="B13" s="114">
        <v>512</v>
      </c>
      <c r="C13" s="105" t="s">
        <v>317</v>
      </c>
      <c r="D13" s="101">
        <f>SUM(D14:D14)</f>
        <v>20000</v>
      </c>
    </row>
    <row r="14" spans="2:4" x14ac:dyDescent="0.25">
      <c r="B14" s="84">
        <v>51202</v>
      </c>
      <c r="C14" s="143" t="s">
        <v>369</v>
      </c>
      <c r="D14" s="103">
        <f>'FODES 75% GASTO'!D14</f>
        <v>20000</v>
      </c>
    </row>
    <row r="15" spans="2:4" x14ac:dyDescent="0.25">
      <c r="B15" s="81">
        <v>54</v>
      </c>
      <c r="C15" s="106" t="s">
        <v>286</v>
      </c>
      <c r="D15" s="101">
        <f>SUM(D16+D27+D33)</f>
        <v>591504.72</v>
      </c>
    </row>
    <row r="16" spans="2:4" x14ac:dyDescent="0.25">
      <c r="B16" s="81">
        <v>541</v>
      </c>
      <c r="C16" s="106" t="s">
        <v>287</v>
      </c>
      <c r="D16" s="101">
        <f>SUM(D17:D26)</f>
        <v>264504.71999999997</v>
      </c>
    </row>
    <row r="17" spans="2:7" x14ac:dyDescent="0.25">
      <c r="B17" s="90">
        <v>54101</v>
      </c>
      <c r="C17" s="104" t="s">
        <v>246</v>
      </c>
      <c r="D17" s="103">
        <f>'FODES 75% GASTO'!D17</f>
        <v>5000</v>
      </c>
    </row>
    <row r="18" spans="2:7" x14ac:dyDescent="0.25">
      <c r="B18" s="90">
        <v>54104</v>
      </c>
      <c r="C18" s="104" t="s">
        <v>248</v>
      </c>
      <c r="D18" s="103">
        <f>'FODES 75% GASTO'!D18</f>
        <v>10000</v>
      </c>
    </row>
    <row r="19" spans="2:7" x14ac:dyDescent="0.25">
      <c r="B19" s="90">
        <v>54105</v>
      </c>
      <c r="C19" s="104" t="s">
        <v>249</v>
      </c>
      <c r="D19" s="103">
        <f>'FODES 75% GASTO'!D19</f>
        <v>1000</v>
      </c>
    </row>
    <row r="20" spans="2:7" x14ac:dyDescent="0.25">
      <c r="B20" s="90">
        <v>54107</v>
      </c>
      <c r="C20" s="104" t="s">
        <v>336</v>
      </c>
      <c r="D20" s="103">
        <f>'FODES 75% GASTO'!D20+'FODES 2% GASTO'!D14</f>
        <v>12000</v>
      </c>
    </row>
    <row r="21" spans="2:7" x14ac:dyDescent="0.25">
      <c r="B21" s="90">
        <v>54110</v>
      </c>
      <c r="C21" s="104" t="s">
        <v>333</v>
      </c>
      <c r="D21" s="103">
        <f>'FODES 75% GASTO'!D21</f>
        <v>10000</v>
      </c>
      <c r="G21" s="365"/>
    </row>
    <row r="22" spans="2:7" x14ac:dyDescent="0.25">
      <c r="B22" s="90">
        <v>54111</v>
      </c>
      <c r="C22" s="104" t="s">
        <v>370</v>
      </c>
      <c r="D22" s="103">
        <f>'FODES 75% GASTO'!D22+'FODES 2% GASTO'!D15</f>
        <v>70000</v>
      </c>
    </row>
    <row r="23" spans="2:7" x14ac:dyDescent="0.25">
      <c r="B23" s="90">
        <v>54112</v>
      </c>
      <c r="C23" s="104" t="s">
        <v>371</v>
      </c>
      <c r="D23" s="103">
        <f>'FODES 75% GASTO'!D23+'FODES 2% GASTO'!D16</f>
        <v>46254.84</v>
      </c>
    </row>
    <row r="24" spans="2:7" x14ac:dyDescent="0.25">
      <c r="B24" s="90">
        <v>54115</v>
      </c>
      <c r="C24" s="104" t="s">
        <v>254</v>
      </c>
      <c r="D24" s="103">
        <f>'FODES 75% GASTO'!D24</f>
        <v>2500</v>
      </c>
    </row>
    <row r="25" spans="2:7" x14ac:dyDescent="0.25">
      <c r="B25" s="90">
        <v>54118</v>
      </c>
      <c r="C25" s="104" t="s">
        <v>295</v>
      </c>
      <c r="D25" s="103">
        <f>'FODES 75% GASTO'!D25+'FODES 2% GASTO'!D17</f>
        <v>79749.88</v>
      </c>
    </row>
    <row r="26" spans="2:7" x14ac:dyDescent="0.25">
      <c r="B26" s="90">
        <v>54199</v>
      </c>
      <c r="C26" s="104" t="s">
        <v>256</v>
      </c>
      <c r="D26" s="103">
        <f>'FODES 75% GASTO'!D26+'FODES 2% GASTO'!D18</f>
        <v>28000</v>
      </c>
    </row>
    <row r="27" spans="2:7" x14ac:dyDescent="0.25">
      <c r="B27" s="81">
        <v>543</v>
      </c>
      <c r="C27" s="106" t="s">
        <v>257</v>
      </c>
      <c r="D27" s="101">
        <f>SUM(D28:D32)</f>
        <v>227000</v>
      </c>
      <c r="G27" s="369"/>
    </row>
    <row r="28" spans="2:7" x14ac:dyDescent="0.25">
      <c r="B28" s="90">
        <v>54304</v>
      </c>
      <c r="C28" s="104" t="s">
        <v>361</v>
      </c>
      <c r="D28" s="103">
        <f>'FODES 75% GASTO'!D28+'FODES 2% GASTO'!D20</f>
        <v>105000</v>
      </c>
    </row>
    <row r="29" spans="2:7" x14ac:dyDescent="0.25">
      <c r="B29" s="90">
        <v>54313</v>
      </c>
      <c r="C29" s="104" t="s">
        <v>261</v>
      </c>
      <c r="D29" s="103">
        <f>'FODES 75% GASTO'!D29+'FODES 2% GASTO'!D21</f>
        <v>26000</v>
      </c>
    </row>
    <row r="30" spans="2:7" x14ac:dyDescent="0.25">
      <c r="B30" s="90">
        <v>54314</v>
      </c>
      <c r="C30" s="104" t="s">
        <v>262</v>
      </c>
      <c r="D30" s="103">
        <f>'FODES 75% GASTO'!D30</f>
        <v>16000</v>
      </c>
    </row>
    <row r="31" spans="2:7" x14ac:dyDescent="0.25">
      <c r="B31" s="90">
        <v>54316</v>
      </c>
      <c r="C31" s="104" t="s">
        <v>347</v>
      </c>
      <c r="D31" s="103">
        <f>'FODES 75% GASTO'!D31+'FODES 2% GASTO'!D22</f>
        <v>60000</v>
      </c>
    </row>
    <row r="32" spans="2:7" x14ac:dyDescent="0.25">
      <c r="B32" s="90">
        <v>54399</v>
      </c>
      <c r="C32" s="104" t="s">
        <v>263</v>
      </c>
      <c r="D32" s="103">
        <f>'FODES 75% GASTO'!D32+'FODES 2% GASTO'!D23</f>
        <v>20000</v>
      </c>
    </row>
    <row r="33" spans="2:7" x14ac:dyDescent="0.25">
      <c r="B33" s="81">
        <v>545</v>
      </c>
      <c r="C33" s="106" t="s">
        <v>264</v>
      </c>
      <c r="D33" s="101">
        <f>SUM(D34)</f>
        <v>100000</v>
      </c>
    </row>
    <row r="34" spans="2:7" x14ac:dyDescent="0.25">
      <c r="B34" s="90">
        <v>54599</v>
      </c>
      <c r="C34" s="104" t="s">
        <v>372</v>
      </c>
      <c r="D34" s="103">
        <f>'FODES 75% GASTO'!D34+'FODES 2% GASTO'!D25</f>
        <v>100000</v>
      </c>
    </row>
    <row r="35" spans="2:7" x14ac:dyDescent="0.25">
      <c r="B35" s="81">
        <v>55</v>
      </c>
      <c r="C35" s="106" t="s">
        <v>132</v>
      </c>
      <c r="D35" s="101">
        <f>SUM(D36)</f>
        <v>550</v>
      </c>
    </row>
    <row r="36" spans="2:7" x14ac:dyDescent="0.25">
      <c r="B36" s="81">
        <v>556</v>
      </c>
      <c r="C36" s="106" t="s">
        <v>373</v>
      </c>
      <c r="D36" s="101">
        <f>SUM(D37)</f>
        <v>550</v>
      </c>
    </row>
    <row r="37" spans="2:7" x14ac:dyDescent="0.25">
      <c r="B37" s="90">
        <v>55603</v>
      </c>
      <c r="C37" s="104" t="s">
        <v>325</v>
      </c>
      <c r="D37" s="103">
        <f>'FODES 75% GASTO'!D37+'FODES 2% GASTO'!D28</f>
        <v>550</v>
      </c>
    </row>
    <row r="38" spans="2:7" x14ac:dyDescent="0.25">
      <c r="B38" s="81">
        <v>61</v>
      </c>
      <c r="C38" s="106" t="s">
        <v>280</v>
      </c>
      <c r="D38" s="101">
        <f t="shared" ref="D38" si="0">SUM(D39)</f>
        <v>1503928.6900000002</v>
      </c>
    </row>
    <row r="39" spans="2:7" x14ac:dyDescent="0.25">
      <c r="B39" s="81">
        <v>616</v>
      </c>
      <c r="C39" s="376" t="s">
        <v>374</v>
      </c>
      <c r="D39" s="101">
        <f>SUM(D40+D41)</f>
        <v>1503928.6900000002</v>
      </c>
    </row>
    <row r="40" spans="2:7" x14ac:dyDescent="0.25">
      <c r="B40" s="90">
        <v>61608</v>
      </c>
      <c r="C40" s="104" t="s">
        <v>375</v>
      </c>
      <c r="D40" s="103">
        <f>'FODES 75% GASTO'!D40+'FODES 2% GASTO'!D31</f>
        <v>55041.1</v>
      </c>
    </row>
    <row r="41" spans="2:7" x14ac:dyDescent="0.25">
      <c r="B41" s="90">
        <v>61699</v>
      </c>
      <c r="C41" s="104" t="s">
        <v>376</v>
      </c>
      <c r="D41" s="103">
        <f>'FODES 75% GASTO'!D41+'FODES 2% GASTO'!D32</f>
        <v>1448887.59</v>
      </c>
    </row>
    <row r="42" spans="2:7" x14ac:dyDescent="0.25">
      <c r="B42" s="90"/>
      <c r="C42" s="104"/>
      <c r="D42" s="103"/>
    </row>
    <row r="43" spans="2:7" x14ac:dyDescent="0.25">
      <c r="B43" s="90"/>
      <c r="C43" s="106" t="s">
        <v>70</v>
      </c>
      <c r="D43" s="101">
        <f>SUM(D12+D15+D35+D38)</f>
        <v>2115983.41</v>
      </c>
    </row>
    <row r="44" spans="2:7" x14ac:dyDescent="0.25">
      <c r="B44" s="90"/>
      <c r="C44" s="104"/>
      <c r="D44" s="103"/>
    </row>
    <row r="45" spans="2:7" x14ac:dyDescent="0.25">
      <c r="B45" s="81"/>
      <c r="C45" s="106" t="s">
        <v>61</v>
      </c>
      <c r="D45" s="101">
        <f>SUM(D12+D15+D35+D38)</f>
        <v>2115983.41</v>
      </c>
    </row>
    <row r="46" spans="2:7" x14ac:dyDescent="0.25">
      <c r="B46" s="81"/>
      <c r="C46" s="106" t="s">
        <v>62</v>
      </c>
      <c r="D46" s="101">
        <f>SUM(D13+D16+D27+D33+D36+D39)</f>
        <v>2115983.41</v>
      </c>
    </row>
    <row r="47" spans="2:7" x14ac:dyDescent="0.25">
      <c r="B47" s="81"/>
      <c r="C47" s="106" t="s">
        <v>63</v>
      </c>
      <c r="D47" s="101">
        <f>SUM(D14+D17+D18+D19+D20+D21+D22+D23+D24+D25+D26+D28+D29+D30+D31+D32+D34+D37+D40+D41)</f>
        <v>2115983.41</v>
      </c>
      <c r="G47" s="385">
        <f>'FODES 75% GASTO'!D47+'FODES 2% GASTO'!D38</f>
        <v>2115983.41</v>
      </c>
    </row>
  </sheetData>
  <mergeCells count="7">
    <mergeCell ref="B10:B11"/>
    <mergeCell ref="C10:C11"/>
    <mergeCell ref="B2:D2"/>
    <mergeCell ref="B4:D4"/>
    <mergeCell ref="B5:D5"/>
    <mergeCell ref="B7:D7"/>
    <mergeCell ref="B8:D8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2:G47"/>
  <sheetViews>
    <sheetView workbookViewId="0">
      <pane ySplit="11" topLeftCell="A33" activePane="bottomLeft" state="frozen"/>
      <selection pane="bottomLeft" activeCell="G40" sqref="G40"/>
    </sheetView>
  </sheetViews>
  <sheetFormatPr baseColWidth="10" defaultRowHeight="15" x14ac:dyDescent="0.25"/>
  <cols>
    <col min="1" max="1" width="7.42578125" style="30" customWidth="1"/>
    <col min="2" max="2" width="8.7109375" style="30" customWidth="1"/>
    <col min="3" max="3" width="49" style="30" customWidth="1"/>
    <col min="4" max="4" width="23.5703125" style="30" customWidth="1"/>
    <col min="5" max="6" width="11.42578125" style="30"/>
    <col min="7" max="7" width="16.42578125" style="30" customWidth="1"/>
    <col min="8" max="16384" width="11.42578125" style="30"/>
  </cols>
  <sheetData>
    <row r="2" spans="2:4" ht="15.75" x14ac:dyDescent="0.25">
      <c r="B2" s="429" t="s">
        <v>407</v>
      </c>
      <c r="C2" s="429"/>
      <c r="D2" s="429"/>
    </row>
    <row r="3" spans="2:4" ht="15.75" x14ac:dyDescent="0.25">
      <c r="B3" s="341" t="s">
        <v>223</v>
      </c>
      <c r="C3" s="341"/>
      <c r="D3" s="341"/>
    </row>
    <row r="4" spans="2:4" ht="15.75" x14ac:dyDescent="0.25">
      <c r="B4" s="427" t="s">
        <v>224</v>
      </c>
      <c r="C4" s="427"/>
      <c r="D4" s="427"/>
    </row>
    <row r="5" spans="2:4" ht="15.75" x14ac:dyDescent="0.25">
      <c r="B5" s="427" t="s">
        <v>284</v>
      </c>
      <c r="C5" s="427"/>
      <c r="D5" s="427"/>
    </row>
    <row r="6" spans="2:4" ht="15.75" x14ac:dyDescent="0.25">
      <c r="B6" s="144" t="s">
        <v>285</v>
      </c>
      <c r="C6" s="145"/>
      <c r="D6" s="145"/>
    </row>
    <row r="7" spans="2:4" ht="15.75" x14ac:dyDescent="0.25">
      <c r="B7" s="427" t="s">
        <v>226</v>
      </c>
      <c r="C7" s="427"/>
      <c r="D7" s="427"/>
    </row>
    <row r="8" spans="2:4" ht="15.75" x14ac:dyDescent="0.25">
      <c r="B8" s="426" t="s">
        <v>227</v>
      </c>
      <c r="C8" s="426"/>
      <c r="D8" s="426"/>
    </row>
    <row r="9" spans="2:4" x14ac:dyDescent="0.25">
      <c r="B9" s="31"/>
      <c r="C9" s="31"/>
      <c r="D9" s="41"/>
    </row>
    <row r="10" spans="2:4" x14ac:dyDescent="0.25">
      <c r="B10" s="459" t="s">
        <v>228</v>
      </c>
      <c r="C10" s="459" t="s">
        <v>229</v>
      </c>
      <c r="D10" s="97" t="s">
        <v>231</v>
      </c>
    </row>
    <row r="11" spans="2:4" x14ac:dyDescent="0.25">
      <c r="B11" s="460"/>
      <c r="C11" s="460"/>
      <c r="D11" s="97" t="s">
        <v>368</v>
      </c>
    </row>
    <row r="12" spans="2:4" x14ac:dyDescent="0.25">
      <c r="B12" s="76">
        <v>51</v>
      </c>
      <c r="C12" s="105" t="s">
        <v>130</v>
      </c>
      <c r="D12" s="99">
        <f>SUM(D13)</f>
        <v>20000</v>
      </c>
    </row>
    <row r="13" spans="2:4" x14ac:dyDescent="0.25">
      <c r="B13" s="114">
        <v>512</v>
      </c>
      <c r="C13" s="105" t="s">
        <v>317</v>
      </c>
      <c r="D13" s="101">
        <f>SUM(D14:D14)</f>
        <v>20000</v>
      </c>
    </row>
    <row r="14" spans="2:4" x14ac:dyDescent="0.25">
      <c r="B14" s="84">
        <v>51202</v>
      </c>
      <c r="C14" s="143" t="s">
        <v>369</v>
      </c>
      <c r="D14" s="103">
        <v>20000</v>
      </c>
    </row>
    <row r="15" spans="2:4" x14ac:dyDescent="0.25">
      <c r="B15" s="81">
        <v>54</v>
      </c>
      <c r="C15" s="106" t="s">
        <v>286</v>
      </c>
      <c r="D15" s="101">
        <f>SUM(D16+D27+D33)</f>
        <v>443377.6</v>
      </c>
    </row>
    <row r="16" spans="2:4" x14ac:dyDescent="0.25">
      <c r="B16" s="81">
        <v>541</v>
      </c>
      <c r="C16" s="106" t="s">
        <v>287</v>
      </c>
      <c r="D16" s="101">
        <f>SUM(D17:D26)</f>
        <v>184377.60000000001</v>
      </c>
    </row>
    <row r="17" spans="2:7" x14ac:dyDescent="0.25">
      <c r="B17" s="90">
        <v>54101</v>
      </c>
      <c r="C17" s="104" t="s">
        <v>246</v>
      </c>
      <c r="D17" s="103">
        <v>5000</v>
      </c>
    </row>
    <row r="18" spans="2:7" x14ac:dyDescent="0.25">
      <c r="B18" s="90">
        <v>54104</v>
      </c>
      <c r="C18" s="104" t="s">
        <v>248</v>
      </c>
      <c r="D18" s="103">
        <v>10000</v>
      </c>
    </row>
    <row r="19" spans="2:7" x14ac:dyDescent="0.25">
      <c r="B19" s="90">
        <v>54105</v>
      </c>
      <c r="C19" s="104" t="s">
        <v>249</v>
      </c>
      <c r="D19" s="103">
        <v>1000</v>
      </c>
    </row>
    <row r="20" spans="2:7" x14ac:dyDescent="0.25">
      <c r="B20" s="90">
        <v>54107</v>
      </c>
      <c r="C20" s="104" t="s">
        <v>336</v>
      </c>
      <c r="D20" s="103">
        <v>7000</v>
      </c>
    </row>
    <row r="21" spans="2:7" x14ac:dyDescent="0.25">
      <c r="B21" s="90">
        <v>54110</v>
      </c>
      <c r="C21" s="104" t="s">
        <v>333</v>
      </c>
      <c r="D21" s="103">
        <v>10000</v>
      </c>
      <c r="G21" s="365">
        <f>'FODES 75%'!D7</f>
        <v>2521529.0099999998</v>
      </c>
    </row>
    <row r="22" spans="2:7" x14ac:dyDescent="0.25">
      <c r="B22" s="90">
        <v>54111</v>
      </c>
      <c r="C22" s="104" t="s">
        <v>370</v>
      </c>
      <c r="D22" s="103">
        <v>35000</v>
      </c>
    </row>
    <row r="23" spans="2:7" x14ac:dyDescent="0.25">
      <c r="B23" s="90">
        <v>54112</v>
      </c>
      <c r="C23" s="104" t="s">
        <v>371</v>
      </c>
      <c r="D23" s="103">
        <v>23127.72</v>
      </c>
    </row>
    <row r="24" spans="2:7" x14ac:dyDescent="0.25">
      <c r="B24" s="90">
        <v>54115</v>
      </c>
      <c r="C24" s="104" t="s">
        <v>254</v>
      </c>
      <c r="D24" s="103">
        <v>2500</v>
      </c>
    </row>
    <row r="25" spans="2:7" x14ac:dyDescent="0.25">
      <c r="B25" s="90">
        <v>54118</v>
      </c>
      <c r="C25" s="104" t="s">
        <v>295</v>
      </c>
      <c r="D25" s="103">
        <v>71749.88</v>
      </c>
    </row>
    <row r="26" spans="2:7" x14ac:dyDescent="0.25">
      <c r="B26" s="90">
        <v>54199</v>
      </c>
      <c r="C26" s="104" t="s">
        <v>256</v>
      </c>
      <c r="D26" s="103">
        <v>19000</v>
      </c>
    </row>
    <row r="27" spans="2:7" x14ac:dyDescent="0.25">
      <c r="B27" s="81">
        <v>543</v>
      </c>
      <c r="C27" s="106" t="s">
        <v>257</v>
      </c>
      <c r="D27" s="101">
        <f>SUM(D28:D32)</f>
        <v>169000</v>
      </c>
      <c r="G27" s="369">
        <f>+G21-D43</f>
        <v>1116030.2699999998</v>
      </c>
    </row>
    <row r="28" spans="2:7" x14ac:dyDescent="0.25">
      <c r="B28" s="90">
        <v>54304</v>
      </c>
      <c r="C28" s="104" t="s">
        <v>361</v>
      </c>
      <c r="D28" s="103">
        <v>95000</v>
      </c>
    </row>
    <row r="29" spans="2:7" x14ac:dyDescent="0.25">
      <c r="B29" s="90">
        <v>54313</v>
      </c>
      <c r="C29" s="104" t="s">
        <v>261</v>
      </c>
      <c r="D29" s="103">
        <v>13000</v>
      </c>
    </row>
    <row r="30" spans="2:7" x14ac:dyDescent="0.25">
      <c r="B30" s="90">
        <v>54314</v>
      </c>
      <c r="C30" s="104" t="s">
        <v>262</v>
      </c>
      <c r="D30" s="103">
        <v>16000</v>
      </c>
    </row>
    <row r="31" spans="2:7" x14ac:dyDescent="0.25">
      <c r="B31" s="90">
        <v>54316</v>
      </c>
      <c r="C31" s="104" t="s">
        <v>347</v>
      </c>
      <c r="D31" s="103">
        <v>30000</v>
      </c>
    </row>
    <row r="32" spans="2:7" x14ac:dyDescent="0.25">
      <c r="B32" s="90">
        <v>54399</v>
      </c>
      <c r="C32" s="104" t="s">
        <v>263</v>
      </c>
      <c r="D32" s="103">
        <v>15000</v>
      </c>
    </row>
    <row r="33" spans="2:4" x14ac:dyDescent="0.25">
      <c r="B33" s="81">
        <v>545</v>
      </c>
      <c r="C33" s="106" t="s">
        <v>264</v>
      </c>
      <c r="D33" s="101">
        <f>SUM(D34)</f>
        <v>90000</v>
      </c>
    </row>
    <row r="34" spans="2:4" x14ac:dyDescent="0.25">
      <c r="B34" s="90">
        <v>54599</v>
      </c>
      <c r="C34" s="104" t="s">
        <v>372</v>
      </c>
      <c r="D34" s="103">
        <v>90000</v>
      </c>
    </row>
    <row r="35" spans="2:4" x14ac:dyDescent="0.25">
      <c r="B35" s="81">
        <v>55</v>
      </c>
      <c r="C35" s="106" t="s">
        <v>132</v>
      </c>
      <c r="D35" s="101">
        <f>SUM(D36)</f>
        <v>500</v>
      </c>
    </row>
    <row r="36" spans="2:4" x14ac:dyDescent="0.25">
      <c r="B36" s="81">
        <v>556</v>
      </c>
      <c r="C36" s="106" t="s">
        <v>373</v>
      </c>
      <c r="D36" s="101">
        <f>SUM(D37)</f>
        <v>500</v>
      </c>
    </row>
    <row r="37" spans="2:4" x14ac:dyDescent="0.25">
      <c r="B37" s="90">
        <v>55603</v>
      </c>
      <c r="C37" s="104" t="s">
        <v>325</v>
      </c>
      <c r="D37" s="103">
        <v>500</v>
      </c>
    </row>
    <row r="38" spans="2:4" x14ac:dyDescent="0.25">
      <c r="B38" s="81">
        <v>61</v>
      </c>
      <c r="C38" s="106" t="s">
        <v>280</v>
      </c>
      <c r="D38" s="101">
        <f t="shared" ref="D38" si="0">SUM(D39)</f>
        <v>941621.14</v>
      </c>
    </row>
    <row r="39" spans="2:4" x14ac:dyDescent="0.25">
      <c r="B39" s="81">
        <v>616</v>
      </c>
      <c r="C39" s="376" t="s">
        <v>374</v>
      </c>
      <c r="D39" s="101">
        <f>SUM(D40+D41)</f>
        <v>941621.14</v>
      </c>
    </row>
    <row r="40" spans="2:4" x14ac:dyDescent="0.25">
      <c r="B40" s="90">
        <v>61608</v>
      </c>
      <c r="C40" s="104" t="s">
        <v>375</v>
      </c>
      <c r="D40" s="103">
        <v>50041.1</v>
      </c>
    </row>
    <row r="41" spans="2:4" x14ac:dyDescent="0.25">
      <c r="B41" s="90">
        <v>61699</v>
      </c>
      <c r="C41" s="104" t="s">
        <v>376</v>
      </c>
      <c r="D41" s="103">
        <v>891580.04</v>
      </c>
    </row>
    <row r="42" spans="2:4" x14ac:dyDescent="0.25">
      <c r="B42" s="90"/>
      <c r="C42" s="104"/>
      <c r="D42" s="103"/>
    </row>
    <row r="43" spans="2:4" x14ac:dyDescent="0.25">
      <c r="B43" s="90"/>
      <c r="C43" s="106" t="s">
        <v>70</v>
      </c>
      <c r="D43" s="101">
        <f>SUM(D12+D15+D35+D38)</f>
        <v>1405498.74</v>
      </c>
    </row>
    <row r="44" spans="2:4" x14ac:dyDescent="0.25">
      <c r="B44" s="90"/>
      <c r="C44" s="104"/>
      <c r="D44" s="103"/>
    </row>
    <row r="45" spans="2:4" x14ac:dyDescent="0.25">
      <c r="B45" s="81"/>
      <c r="C45" s="106" t="s">
        <v>61</v>
      </c>
      <c r="D45" s="101">
        <f>SUM(D12+D15+D35+D38)</f>
        <v>1405498.74</v>
      </c>
    </row>
    <row r="46" spans="2:4" x14ac:dyDescent="0.25">
      <c r="B46" s="81"/>
      <c r="C46" s="106" t="s">
        <v>62</v>
      </c>
      <c r="D46" s="101">
        <f>SUM(D13+D16+D27+D33+D36+D39)</f>
        <v>1405498.74</v>
      </c>
    </row>
    <row r="47" spans="2:4" x14ac:dyDescent="0.25">
      <c r="B47" s="81"/>
      <c r="C47" s="106" t="s">
        <v>63</v>
      </c>
      <c r="D47" s="101">
        <f>SUM(D14+D17+D18+D19+D20+D21+D22+D23+D24+D25+D26+D28+D29+D30+D31+D32+D34+D37+D40+D41)</f>
        <v>1405498.74</v>
      </c>
    </row>
  </sheetData>
  <mergeCells count="7">
    <mergeCell ref="B10:B11"/>
    <mergeCell ref="C10:C11"/>
    <mergeCell ref="B2:D2"/>
    <mergeCell ref="B4:D4"/>
    <mergeCell ref="B5:D5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2:G38"/>
  <sheetViews>
    <sheetView workbookViewId="0">
      <pane ySplit="11" topLeftCell="A24" activePane="bottomLeft" state="frozen"/>
      <selection pane="bottomLeft" activeCell="J26" sqref="J26"/>
    </sheetView>
  </sheetViews>
  <sheetFormatPr baseColWidth="10" defaultRowHeight="15" x14ac:dyDescent="0.25"/>
  <cols>
    <col min="1" max="1" width="7.42578125" style="30" customWidth="1"/>
    <col min="2" max="2" width="8.7109375" style="30" customWidth="1"/>
    <col min="3" max="3" width="49" style="30" customWidth="1"/>
    <col min="4" max="4" width="23.5703125" style="30" customWidth="1"/>
    <col min="5" max="6" width="11.42578125" style="30"/>
    <col min="7" max="7" width="13.28515625" style="30" bestFit="1" customWidth="1"/>
    <col min="8" max="16384" width="11.42578125" style="30"/>
  </cols>
  <sheetData>
    <row r="2" spans="2:4" ht="15.75" x14ac:dyDescent="0.25">
      <c r="B2" s="429" t="s">
        <v>407</v>
      </c>
      <c r="C2" s="429"/>
      <c r="D2" s="429"/>
    </row>
    <row r="3" spans="2:4" ht="15.75" x14ac:dyDescent="0.25">
      <c r="B3" s="341" t="s">
        <v>223</v>
      </c>
      <c r="C3" s="341"/>
      <c r="D3" s="341"/>
    </row>
    <row r="4" spans="2:4" ht="15.75" x14ac:dyDescent="0.25">
      <c r="B4" s="427" t="s">
        <v>224</v>
      </c>
      <c r="C4" s="427"/>
      <c r="D4" s="427"/>
    </row>
    <row r="5" spans="2:4" ht="15.75" x14ac:dyDescent="0.25">
      <c r="B5" s="427" t="s">
        <v>284</v>
      </c>
      <c r="C5" s="427"/>
      <c r="D5" s="427"/>
    </row>
    <row r="6" spans="2:4" ht="15.75" x14ac:dyDescent="0.25">
      <c r="B6" s="144" t="s">
        <v>285</v>
      </c>
      <c r="C6" s="372"/>
      <c r="D6" s="372"/>
    </row>
    <row r="7" spans="2:4" ht="15.75" x14ac:dyDescent="0.25">
      <c r="B7" s="427" t="s">
        <v>226</v>
      </c>
      <c r="C7" s="427"/>
      <c r="D7" s="427"/>
    </row>
    <row r="8" spans="2:4" ht="15.75" x14ac:dyDescent="0.25">
      <c r="B8" s="426" t="s">
        <v>227</v>
      </c>
      <c r="C8" s="426"/>
      <c r="D8" s="426"/>
    </row>
    <row r="9" spans="2:4" x14ac:dyDescent="0.25">
      <c r="B9" s="31"/>
      <c r="C9" s="31"/>
      <c r="D9" s="41"/>
    </row>
    <row r="10" spans="2:4" x14ac:dyDescent="0.25">
      <c r="B10" s="459" t="s">
        <v>228</v>
      </c>
      <c r="C10" s="459" t="s">
        <v>229</v>
      </c>
      <c r="D10" s="371" t="s">
        <v>231</v>
      </c>
    </row>
    <row r="11" spans="2:4" x14ac:dyDescent="0.25">
      <c r="B11" s="460"/>
      <c r="C11" s="460"/>
      <c r="D11" s="371" t="s">
        <v>446</v>
      </c>
    </row>
    <row r="12" spans="2:4" x14ac:dyDescent="0.25">
      <c r="B12" s="81">
        <v>54</v>
      </c>
      <c r="C12" s="106" t="s">
        <v>286</v>
      </c>
      <c r="D12" s="101">
        <f>SUM(D13+D19+D24)</f>
        <v>148127.12</v>
      </c>
    </row>
    <row r="13" spans="2:4" x14ac:dyDescent="0.25">
      <c r="B13" s="81">
        <v>541</v>
      </c>
      <c r="C13" s="106" t="s">
        <v>287</v>
      </c>
      <c r="D13" s="101">
        <f>SUM(D14:D18)</f>
        <v>80127.12</v>
      </c>
    </row>
    <row r="14" spans="2:4" x14ac:dyDescent="0.25">
      <c r="B14" s="90">
        <v>54107</v>
      </c>
      <c r="C14" s="104" t="s">
        <v>336</v>
      </c>
      <c r="D14" s="103">
        <v>5000</v>
      </c>
    </row>
    <row r="15" spans="2:4" x14ac:dyDescent="0.25">
      <c r="B15" s="90">
        <v>54111</v>
      </c>
      <c r="C15" s="104" t="s">
        <v>370</v>
      </c>
      <c r="D15" s="103">
        <v>35000</v>
      </c>
    </row>
    <row r="16" spans="2:4" x14ac:dyDescent="0.25">
      <c r="B16" s="90">
        <v>54112</v>
      </c>
      <c r="C16" s="104" t="s">
        <v>371</v>
      </c>
      <c r="D16" s="103">
        <v>23127.119999999999</v>
      </c>
    </row>
    <row r="17" spans="2:4" x14ac:dyDescent="0.25">
      <c r="B17" s="90">
        <v>54118</v>
      </c>
      <c r="C17" s="104" t="s">
        <v>295</v>
      </c>
      <c r="D17" s="103">
        <v>8000</v>
      </c>
    </row>
    <row r="18" spans="2:4" x14ac:dyDescent="0.25">
      <c r="B18" s="90">
        <v>54199</v>
      </c>
      <c r="C18" s="104" t="s">
        <v>256</v>
      </c>
      <c r="D18" s="103">
        <v>9000</v>
      </c>
    </row>
    <row r="19" spans="2:4" x14ac:dyDescent="0.25">
      <c r="B19" s="81">
        <v>543</v>
      </c>
      <c r="C19" s="106" t="s">
        <v>257</v>
      </c>
      <c r="D19" s="101">
        <f>SUM(D20:D23)</f>
        <v>58000</v>
      </c>
    </row>
    <row r="20" spans="2:4" x14ac:dyDescent="0.25">
      <c r="B20" s="90">
        <v>54304</v>
      </c>
      <c r="C20" s="104" t="s">
        <v>361</v>
      </c>
      <c r="D20" s="103">
        <v>10000</v>
      </c>
    </row>
    <row r="21" spans="2:4" x14ac:dyDescent="0.25">
      <c r="B21" s="90">
        <v>54313</v>
      </c>
      <c r="C21" s="104" t="s">
        <v>261</v>
      </c>
      <c r="D21" s="103">
        <v>13000</v>
      </c>
    </row>
    <row r="22" spans="2:4" x14ac:dyDescent="0.25">
      <c r="B22" s="90">
        <v>54316</v>
      </c>
      <c r="C22" s="104" t="s">
        <v>347</v>
      </c>
      <c r="D22" s="103">
        <v>30000</v>
      </c>
    </row>
    <row r="23" spans="2:4" x14ac:dyDescent="0.25">
      <c r="B23" s="90">
        <v>54399</v>
      </c>
      <c r="C23" s="104" t="s">
        <v>263</v>
      </c>
      <c r="D23" s="103">
        <v>5000</v>
      </c>
    </row>
    <row r="24" spans="2:4" x14ac:dyDescent="0.25">
      <c r="B24" s="81">
        <v>545</v>
      </c>
      <c r="C24" s="106" t="s">
        <v>264</v>
      </c>
      <c r="D24" s="101">
        <f>SUM(D25)</f>
        <v>10000</v>
      </c>
    </row>
    <row r="25" spans="2:4" x14ac:dyDescent="0.25">
      <c r="B25" s="90">
        <v>54599</v>
      </c>
      <c r="C25" s="104" t="s">
        <v>372</v>
      </c>
      <c r="D25" s="103">
        <v>10000</v>
      </c>
    </row>
    <row r="26" spans="2:4" x14ac:dyDescent="0.25">
      <c r="B26" s="81">
        <v>55</v>
      </c>
      <c r="C26" s="106" t="s">
        <v>132</v>
      </c>
      <c r="D26" s="101">
        <f>SUM(D27)</f>
        <v>50</v>
      </c>
    </row>
    <row r="27" spans="2:4" x14ac:dyDescent="0.25">
      <c r="B27" s="81">
        <v>556</v>
      </c>
      <c r="C27" s="106" t="s">
        <v>373</v>
      </c>
      <c r="D27" s="101">
        <f>SUM(D28)</f>
        <v>50</v>
      </c>
    </row>
    <row r="28" spans="2:4" x14ac:dyDescent="0.25">
      <c r="B28" s="90">
        <v>55603</v>
      </c>
      <c r="C28" s="104" t="s">
        <v>325</v>
      </c>
      <c r="D28" s="103">
        <v>50</v>
      </c>
    </row>
    <row r="29" spans="2:4" x14ac:dyDescent="0.25">
      <c r="B29" s="81">
        <v>61</v>
      </c>
      <c r="C29" s="106" t="s">
        <v>280</v>
      </c>
      <c r="D29" s="101">
        <f t="shared" ref="D29" si="0">SUM(D30)</f>
        <v>562307.55000000005</v>
      </c>
    </row>
    <row r="30" spans="2:4" x14ac:dyDescent="0.25">
      <c r="B30" s="81">
        <v>616</v>
      </c>
      <c r="C30" s="376" t="s">
        <v>374</v>
      </c>
      <c r="D30" s="101">
        <f>SUM(D31+D32)</f>
        <v>562307.55000000005</v>
      </c>
    </row>
    <row r="31" spans="2:4" x14ac:dyDescent="0.25">
      <c r="B31" s="90">
        <v>61608</v>
      </c>
      <c r="C31" s="104" t="s">
        <v>375</v>
      </c>
      <c r="D31" s="103">
        <v>5000</v>
      </c>
    </row>
    <row r="32" spans="2:4" x14ac:dyDescent="0.25">
      <c r="B32" s="90">
        <v>61699</v>
      </c>
      <c r="C32" s="104" t="s">
        <v>376</v>
      </c>
      <c r="D32" s="103">
        <v>557307.55000000005</v>
      </c>
    </row>
    <row r="33" spans="2:7" x14ac:dyDescent="0.25">
      <c r="B33" s="90"/>
      <c r="C33" s="104"/>
      <c r="D33" s="103"/>
    </row>
    <row r="34" spans="2:7" x14ac:dyDescent="0.25">
      <c r="B34" s="90"/>
      <c r="C34" s="106" t="s">
        <v>70</v>
      </c>
      <c r="D34" s="101">
        <f>SUM(D12+D26+D29)</f>
        <v>710484.67</v>
      </c>
    </row>
    <row r="35" spans="2:7" x14ac:dyDescent="0.25">
      <c r="B35" s="90"/>
      <c r="C35" s="104"/>
      <c r="D35" s="103"/>
    </row>
    <row r="36" spans="2:7" x14ac:dyDescent="0.25">
      <c r="B36" s="81"/>
      <c r="C36" s="106" t="s">
        <v>61</v>
      </c>
      <c r="D36" s="101">
        <f>SUM(D12+D26+D29)</f>
        <v>710484.67</v>
      </c>
    </row>
    <row r="37" spans="2:7" x14ac:dyDescent="0.25">
      <c r="B37" s="81"/>
      <c r="C37" s="106" t="s">
        <v>62</v>
      </c>
      <c r="D37" s="101">
        <f>SUM(D13+D19+D24+D27+D30)</f>
        <v>710484.67</v>
      </c>
    </row>
    <row r="38" spans="2:7" x14ac:dyDescent="0.25">
      <c r="B38" s="81"/>
      <c r="C38" s="106" t="s">
        <v>63</v>
      </c>
      <c r="D38" s="101">
        <f>SUM(D14+D15+D16+D17+D18+D20+D21+D22+D23+D25+D28+D31+D32)</f>
        <v>710484.67</v>
      </c>
      <c r="F38" s="30">
        <f>+'CONSOLIDADO I Y E'!C16</f>
        <v>710484.67</v>
      </c>
      <c r="G38" s="365">
        <f>+F38-D38</f>
        <v>0</v>
      </c>
    </row>
  </sheetData>
  <mergeCells count="7">
    <mergeCell ref="B10:B11"/>
    <mergeCell ref="C10:C11"/>
    <mergeCell ref="B2:D2"/>
    <mergeCell ref="B4:D4"/>
    <mergeCell ref="B5:D5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2:D33"/>
  <sheetViews>
    <sheetView workbookViewId="0">
      <selection activeCell="G29" sqref="G29"/>
    </sheetView>
  </sheetViews>
  <sheetFormatPr baseColWidth="10" defaultRowHeight="15" x14ac:dyDescent="0.25"/>
  <cols>
    <col min="1" max="1" width="5.42578125" style="30" customWidth="1"/>
    <col min="2" max="2" width="9" style="30" customWidth="1"/>
    <col min="3" max="3" width="43" style="30" customWidth="1"/>
    <col min="4" max="4" width="17.5703125" style="30" customWidth="1"/>
    <col min="5" max="16384" width="11.42578125" style="30"/>
  </cols>
  <sheetData>
    <row r="2" spans="2:4" ht="15.75" x14ac:dyDescent="0.25">
      <c r="B2" s="429" t="s">
        <v>283</v>
      </c>
      <c r="C2" s="429"/>
      <c r="D2" s="429"/>
    </row>
    <row r="3" spans="2:4" ht="15.75" x14ac:dyDescent="0.25">
      <c r="B3" s="341" t="s">
        <v>223</v>
      </c>
      <c r="C3" s="341"/>
      <c r="D3" s="341"/>
    </row>
    <row r="4" spans="2:4" ht="15.75" x14ac:dyDescent="0.25">
      <c r="B4" s="427" t="s">
        <v>224</v>
      </c>
      <c r="C4" s="427"/>
      <c r="D4" s="427"/>
    </row>
    <row r="5" spans="2:4" ht="15.75" x14ac:dyDescent="0.25">
      <c r="B5" s="427" t="s">
        <v>284</v>
      </c>
      <c r="C5" s="427"/>
      <c r="D5" s="427"/>
    </row>
    <row r="6" spans="2:4" ht="15.75" x14ac:dyDescent="0.25">
      <c r="B6" s="144" t="s">
        <v>285</v>
      </c>
      <c r="C6" s="145"/>
      <c r="D6" s="145"/>
    </row>
    <row r="7" spans="2:4" ht="15.75" x14ac:dyDescent="0.25">
      <c r="B7" s="427" t="s">
        <v>226</v>
      </c>
      <c r="C7" s="427"/>
      <c r="D7" s="427"/>
    </row>
    <row r="8" spans="2:4" ht="15.75" x14ac:dyDescent="0.25">
      <c r="B8" s="426" t="s">
        <v>391</v>
      </c>
      <c r="C8" s="426"/>
      <c r="D8" s="426"/>
    </row>
    <row r="9" spans="2:4" x14ac:dyDescent="0.25">
      <c r="B9" s="31"/>
      <c r="C9" s="31"/>
      <c r="D9" s="41"/>
    </row>
    <row r="10" spans="2:4" x14ac:dyDescent="0.25">
      <c r="B10" s="459" t="s">
        <v>228</v>
      </c>
      <c r="C10" s="459" t="s">
        <v>229</v>
      </c>
      <c r="D10" s="97" t="s">
        <v>231</v>
      </c>
    </row>
    <row r="11" spans="2:4" x14ac:dyDescent="0.25">
      <c r="B11" s="460"/>
      <c r="C11" s="460"/>
      <c r="D11" s="97" t="s">
        <v>368</v>
      </c>
    </row>
    <row r="12" spans="2:4" x14ac:dyDescent="0.25">
      <c r="B12" s="81">
        <v>54</v>
      </c>
      <c r="C12" s="106" t="s">
        <v>286</v>
      </c>
      <c r="D12" s="101">
        <f>SUM(D13+D20+D23)</f>
        <v>52545.919999999998</v>
      </c>
    </row>
    <row r="13" spans="2:4" x14ac:dyDescent="0.25">
      <c r="B13" s="81">
        <v>541</v>
      </c>
      <c r="C13" s="106" t="s">
        <v>287</v>
      </c>
      <c r="D13" s="101">
        <f>SUM(D14:D19)</f>
        <v>37100</v>
      </c>
    </row>
    <row r="14" spans="2:4" x14ac:dyDescent="0.25">
      <c r="B14" s="90">
        <v>54101</v>
      </c>
      <c r="C14" s="104" t="s">
        <v>246</v>
      </c>
      <c r="D14" s="103">
        <v>10000</v>
      </c>
    </row>
    <row r="15" spans="2:4" x14ac:dyDescent="0.25">
      <c r="B15" s="90">
        <v>54104</v>
      </c>
      <c r="C15" s="104" t="s">
        <v>248</v>
      </c>
      <c r="D15" s="103">
        <v>5000</v>
      </c>
    </row>
    <row r="16" spans="2:4" x14ac:dyDescent="0.25">
      <c r="B16" s="90">
        <v>54105</v>
      </c>
      <c r="C16" s="104" t="s">
        <v>249</v>
      </c>
      <c r="D16" s="103">
        <v>2000</v>
      </c>
    </row>
    <row r="17" spans="2:4" x14ac:dyDescent="0.25">
      <c r="B17" s="90">
        <v>54111</v>
      </c>
      <c r="C17" s="104" t="s">
        <v>370</v>
      </c>
      <c r="D17" s="103">
        <v>10000</v>
      </c>
    </row>
    <row r="18" spans="2:4" x14ac:dyDescent="0.25">
      <c r="B18" s="90">
        <v>54112</v>
      </c>
      <c r="C18" s="104" t="s">
        <v>371</v>
      </c>
      <c r="D18" s="103">
        <v>10000</v>
      </c>
    </row>
    <row r="19" spans="2:4" x14ac:dyDescent="0.25">
      <c r="B19" s="90">
        <v>54199</v>
      </c>
      <c r="C19" s="104" t="s">
        <v>256</v>
      </c>
      <c r="D19" s="103">
        <v>100</v>
      </c>
    </row>
    <row r="20" spans="2:4" x14ac:dyDescent="0.25">
      <c r="B20" s="81">
        <v>543</v>
      </c>
      <c r="C20" s="106" t="s">
        <v>257</v>
      </c>
      <c r="D20" s="101">
        <f>SUM(D21:D22)</f>
        <v>15000</v>
      </c>
    </row>
    <row r="21" spans="2:4" x14ac:dyDescent="0.25">
      <c r="B21" s="90">
        <v>54304</v>
      </c>
      <c r="C21" s="104" t="s">
        <v>361</v>
      </c>
      <c r="D21" s="103">
        <v>10000</v>
      </c>
    </row>
    <row r="22" spans="2:4" x14ac:dyDescent="0.25">
      <c r="B22" s="90">
        <v>54313</v>
      </c>
      <c r="C22" s="104" t="s">
        <v>261</v>
      </c>
      <c r="D22" s="103">
        <v>5000</v>
      </c>
    </row>
    <row r="23" spans="2:4" x14ac:dyDescent="0.25">
      <c r="B23" s="81">
        <v>545</v>
      </c>
      <c r="C23" s="106" t="s">
        <v>264</v>
      </c>
      <c r="D23" s="101">
        <f>SUM(D24)</f>
        <v>445.92</v>
      </c>
    </row>
    <row r="24" spans="2:4" x14ac:dyDescent="0.25">
      <c r="B24" s="90">
        <v>54599</v>
      </c>
      <c r="C24" s="104" t="s">
        <v>372</v>
      </c>
      <c r="D24" s="103">
        <v>445.92</v>
      </c>
    </row>
    <row r="25" spans="2:4" x14ac:dyDescent="0.25">
      <c r="B25" s="81">
        <v>55</v>
      </c>
      <c r="C25" s="106" t="s">
        <v>132</v>
      </c>
      <c r="D25" s="101">
        <f>SUM(+D26)</f>
        <v>50</v>
      </c>
    </row>
    <row r="26" spans="2:4" x14ac:dyDescent="0.25">
      <c r="B26" s="81">
        <v>556</v>
      </c>
      <c r="C26" s="106" t="s">
        <v>373</v>
      </c>
      <c r="D26" s="101">
        <f>SUM(D27)</f>
        <v>50</v>
      </c>
    </row>
    <row r="27" spans="2:4" x14ac:dyDescent="0.25">
      <c r="B27" s="90">
        <v>55603</v>
      </c>
      <c r="C27" s="104" t="s">
        <v>325</v>
      </c>
      <c r="D27" s="103">
        <v>50</v>
      </c>
    </row>
    <row r="28" spans="2:4" x14ac:dyDescent="0.25">
      <c r="B28" s="90"/>
      <c r="C28" s="104"/>
      <c r="D28" s="103"/>
    </row>
    <row r="29" spans="2:4" x14ac:dyDescent="0.25">
      <c r="B29" s="90"/>
      <c r="C29" s="106" t="s">
        <v>70</v>
      </c>
      <c r="D29" s="101">
        <f>SUM(+D12+D25)</f>
        <v>52595.92</v>
      </c>
    </row>
    <row r="30" spans="2:4" x14ac:dyDescent="0.25">
      <c r="B30" s="90"/>
      <c r="C30" s="104"/>
      <c r="D30" s="103"/>
    </row>
    <row r="31" spans="2:4" x14ac:dyDescent="0.25">
      <c r="B31" s="81"/>
      <c r="C31" s="106" t="s">
        <v>61</v>
      </c>
      <c r="D31" s="101">
        <f>SUM(+D12+D25)</f>
        <v>52595.92</v>
      </c>
    </row>
    <row r="32" spans="2:4" x14ac:dyDescent="0.25">
      <c r="B32" s="81"/>
      <c r="C32" s="106" t="s">
        <v>62</v>
      </c>
      <c r="D32" s="101">
        <f>SUM(D13+D20+D23+D26)</f>
        <v>52595.92</v>
      </c>
    </row>
    <row r="33" spans="2:4" x14ac:dyDescent="0.25">
      <c r="B33" s="81"/>
      <c r="C33" s="106" t="s">
        <v>63</v>
      </c>
      <c r="D33" s="101">
        <f>SUM(D14+D15+D16+D17+D18+D19+D21+D22+D24+D27)</f>
        <v>52595.92</v>
      </c>
    </row>
  </sheetData>
  <mergeCells count="7">
    <mergeCell ref="B10:B11"/>
    <mergeCell ref="C10:C11"/>
    <mergeCell ref="B2:D2"/>
    <mergeCell ref="B4:D4"/>
    <mergeCell ref="B5:D5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42"/>
  <sheetViews>
    <sheetView topLeftCell="A10" zoomScaleNormal="100" workbookViewId="0">
      <selection activeCell="H33" sqref="H33"/>
    </sheetView>
  </sheetViews>
  <sheetFormatPr baseColWidth="10" defaultRowHeight="15" x14ac:dyDescent="0.25"/>
  <cols>
    <col min="1" max="1" width="7.28515625" style="199" customWidth="1"/>
    <col min="2" max="2" width="30.7109375" style="199" customWidth="1"/>
    <col min="3" max="3" width="22.28515625" style="199" customWidth="1"/>
    <col min="4" max="4" width="18.85546875" style="199" customWidth="1"/>
    <col min="5" max="16384" width="11.42578125" style="199"/>
  </cols>
  <sheetData>
    <row r="2" spans="2:4" ht="18" x14ac:dyDescent="0.25">
      <c r="B2" s="405" t="s">
        <v>410</v>
      </c>
      <c r="C2" s="406"/>
      <c r="D2" s="407"/>
    </row>
    <row r="3" spans="2:4" ht="18" x14ac:dyDescent="0.25">
      <c r="B3" s="193" t="s">
        <v>137</v>
      </c>
      <c r="C3" s="193" t="s">
        <v>401</v>
      </c>
      <c r="D3" s="193" t="s">
        <v>138</v>
      </c>
    </row>
    <row r="4" spans="2:4" ht="15.75" x14ac:dyDescent="0.25">
      <c r="B4" s="272" t="s">
        <v>139</v>
      </c>
      <c r="C4" s="281">
        <f>+'CONCEJO MPAL'!D62</f>
        <v>207584.4</v>
      </c>
      <c r="D4" s="281">
        <f>'CONCEJO MPAL'!E60</f>
        <v>105248.04000000001</v>
      </c>
    </row>
    <row r="5" spans="2:4" ht="15.75" x14ac:dyDescent="0.25">
      <c r="B5" s="272" t="s">
        <v>167</v>
      </c>
      <c r="C5" s="281">
        <f>'GESTION Y COOPERACION'!D28</f>
        <v>22558.75</v>
      </c>
      <c r="D5" s="281">
        <f>+'GESTION Y COOPERACION'!E30</f>
        <v>0</v>
      </c>
    </row>
    <row r="6" spans="2:4" ht="15.75" x14ac:dyDescent="0.25">
      <c r="B6" s="272" t="s">
        <v>140</v>
      </c>
      <c r="C6" s="281">
        <f>+DESPACHO!D56</f>
        <v>156328.58000000002</v>
      </c>
      <c r="D6" s="281">
        <f>+DESPACHO!E54</f>
        <v>88374.52</v>
      </c>
    </row>
    <row r="7" spans="2:4" ht="15.75" x14ac:dyDescent="0.25">
      <c r="B7" s="272" t="s">
        <v>141</v>
      </c>
      <c r="C7" s="281">
        <f>+SINDICATURA!D31</f>
        <v>9605</v>
      </c>
      <c r="D7" s="281">
        <f>SINDICATURA!E29</f>
        <v>8370</v>
      </c>
    </row>
    <row r="8" spans="2:4" ht="15.75" x14ac:dyDescent="0.25">
      <c r="B8" s="272" t="s">
        <v>142</v>
      </c>
      <c r="C8" s="281">
        <f>+SECRETARIA!D34</f>
        <v>18554.849999999999</v>
      </c>
      <c r="D8" s="281">
        <f>SECRETARIA!E32</f>
        <v>16717.25</v>
      </c>
    </row>
    <row r="9" spans="2:4" ht="15.75" x14ac:dyDescent="0.25">
      <c r="B9" s="272" t="s">
        <v>143</v>
      </c>
      <c r="C9" s="281">
        <f>+JURIDICO!D35</f>
        <v>14530</v>
      </c>
      <c r="D9" s="281">
        <f>JURIDICO!E33</f>
        <v>7440</v>
      </c>
    </row>
    <row r="10" spans="2:4" ht="15.75" x14ac:dyDescent="0.25">
      <c r="B10" s="272" t="s">
        <v>144</v>
      </c>
      <c r="C10" s="281">
        <f>+GERENCIA!D38</f>
        <v>15339.5</v>
      </c>
      <c r="D10" s="281">
        <f>GERENCIA!E36</f>
        <v>12404.5</v>
      </c>
    </row>
    <row r="11" spans="2:4" ht="15.75" x14ac:dyDescent="0.25">
      <c r="B11" s="272" t="s">
        <v>145</v>
      </c>
      <c r="C11" s="281">
        <f>+AUDITORIA!D37</f>
        <v>6878.25</v>
      </c>
      <c r="D11" s="281">
        <f>AUDITORIA!E35</f>
        <v>5231.25</v>
      </c>
    </row>
    <row r="12" spans="2:4" ht="15.75" x14ac:dyDescent="0.25">
      <c r="B12" s="272" t="s">
        <v>146</v>
      </c>
      <c r="C12" s="281">
        <f>+RRHH!D39</f>
        <v>56953.229999999996</v>
      </c>
      <c r="D12" s="281">
        <f>RRHH!E37</f>
        <v>13740.75</v>
      </c>
    </row>
    <row r="13" spans="2:4" ht="15.75" x14ac:dyDescent="0.25">
      <c r="B13" s="272" t="s">
        <v>147</v>
      </c>
      <c r="C13" s="281">
        <f>+CONTABILIDAD!D32</f>
        <v>12671.48</v>
      </c>
      <c r="D13" s="281">
        <f>CONTABILIDAD!E30</f>
        <v>10253.269999999999</v>
      </c>
    </row>
    <row r="14" spans="2:4" ht="15.75" x14ac:dyDescent="0.25">
      <c r="B14" s="272" t="s">
        <v>148</v>
      </c>
      <c r="C14" s="281">
        <f>+PRESUPUESTO!D31</f>
        <v>11772.5</v>
      </c>
      <c r="D14" s="281">
        <f>PRESUPUESTO!E29</f>
        <v>8509.5</v>
      </c>
    </row>
    <row r="15" spans="2:4" ht="15.75" x14ac:dyDescent="0.25">
      <c r="B15" s="272" t="s">
        <v>149</v>
      </c>
      <c r="C15" s="281">
        <f>+TESORERIA!D37</f>
        <v>36673.050000000003</v>
      </c>
      <c r="D15" s="281">
        <f>TESORERIA!E35</f>
        <v>27311.48</v>
      </c>
    </row>
    <row r="16" spans="2:4" ht="15.75" x14ac:dyDescent="0.25">
      <c r="B16" s="272" t="s">
        <v>150</v>
      </c>
      <c r="C16" s="281">
        <f>+UATM!D39</f>
        <v>68608</v>
      </c>
      <c r="D16" s="281">
        <f>UATM!E37</f>
        <v>12973.5</v>
      </c>
    </row>
    <row r="17" spans="2:4" ht="15.75" x14ac:dyDescent="0.25">
      <c r="B17" s="272" t="s">
        <v>151</v>
      </c>
      <c r="C17" s="281">
        <f>+UACI!D33</f>
        <v>25616.38</v>
      </c>
      <c r="D17" s="281">
        <f>UACI!E31</f>
        <v>6242.62</v>
      </c>
    </row>
    <row r="18" spans="2:4" ht="15.75" x14ac:dyDescent="0.25">
      <c r="B18" s="272" t="s">
        <v>152</v>
      </c>
      <c r="C18" s="281">
        <f>+MERCADO!D38</f>
        <v>20856.849999999999</v>
      </c>
      <c r="D18" s="281">
        <f>MERCADO!E36</f>
        <v>11367.5</v>
      </c>
    </row>
    <row r="19" spans="2:4" ht="15.75" x14ac:dyDescent="0.25">
      <c r="B19" s="272" t="s">
        <v>153</v>
      </c>
      <c r="C19" s="281">
        <f>+'REGISTRO FAM'!D36</f>
        <v>19180.940000000002</v>
      </c>
      <c r="D19" s="281">
        <f>'REGISTRO FAM'!E34</f>
        <v>16530.75</v>
      </c>
    </row>
    <row r="20" spans="2:4" ht="15.75" x14ac:dyDescent="0.25">
      <c r="B20" s="272" t="s">
        <v>154</v>
      </c>
      <c r="C20" s="281">
        <f>+CEMENTERIO!D35</f>
        <v>14490.18</v>
      </c>
      <c r="D20" s="281">
        <f>CEMENTERIO!E33</f>
        <v>6894.75</v>
      </c>
    </row>
    <row r="21" spans="2:4" ht="15.75" x14ac:dyDescent="0.25">
      <c r="B21" s="272" t="s">
        <v>155</v>
      </c>
      <c r="C21" s="281">
        <f>+DISTRITO!D45</f>
        <v>36880</v>
      </c>
      <c r="D21" s="281">
        <f>DISTRITO!E43</f>
        <v>53006.5</v>
      </c>
    </row>
    <row r="22" spans="2:4" ht="15.75" x14ac:dyDescent="0.25">
      <c r="B22" s="272" t="s">
        <v>156</v>
      </c>
      <c r="C22" s="281">
        <f>+PROYECTOS!D38</f>
        <v>42957.34</v>
      </c>
      <c r="D22" s="281">
        <f>PROYECTOS!E38</f>
        <v>44171.869999999995</v>
      </c>
    </row>
    <row r="23" spans="2:4" ht="15.75" x14ac:dyDescent="0.25">
      <c r="B23" s="272" t="s">
        <v>157</v>
      </c>
      <c r="C23" s="281">
        <f>+'ACCESO A LA INF PUBLICA'!D35</f>
        <v>4508.96</v>
      </c>
      <c r="D23" s="281">
        <f>'ACCESO A LA INF PUBLICA'!E33</f>
        <v>3487.5</v>
      </c>
    </row>
    <row r="24" spans="2:4" ht="15.75" x14ac:dyDescent="0.25">
      <c r="B24" s="272" t="s">
        <v>158</v>
      </c>
      <c r="C24" s="281">
        <f>+'DESARROLLO TEC.'!D37</f>
        <v>8385</v>
      </c>
      <c r="D24" s="281">
        <f>'DESARROLLO TEC.'!E35</f>
        <v>6185</v>
      </c>
    </row>
    <row r="25" spans="2:4" ht="15.75" x14ac:dyDescent="0.25">
      <c r="B25" s="272" t="s">
        <v>159</v>
      </c>
      <c r="C25" s="281">
        <f>+COMUNICACIONES!D36</f>
        <v>28222.65</v>
      </c>
      <c r="D25" s="281">
        <f>COMUNICACIONES!E34</f>
        <v>6510</v>
      </c>
    </row>
    <row r="26" spans="2:4" ht="15.75" x14ac:dyDescent="0.25">
      <c r="B26" s="272" t="s">
        <v>160</v>
      </c>
      <c r="C26" s="281">
        <f>+CAM!D37</f>
        <v>198425.32</v>
      </c>
      <c r="D26" s="281">
        <f>+CAM!E37</f>
        <v>30764.68</v>
      </c>
    </row>
    <row r="27" spans="2:4" ht="15.75" x14ac:dyDescent="0.25">
      <c r="B27" s="272" t="s">
        <v>161</v>
      </c>
      <c r="C27" s="281">
        <f>+DHI!D40</f>
        <v>121537.5</v>
      </c>
      <c r="D27" s="281">
        <f>DHI!E38</f>
        <v>13950</v>
      </c>
    </row>
    <row r="28" spans="2:4" ht="15.75" x14ac:dyDescent="0.25">
      <c r="B28" s="272" t="s">
        <v>162</v>
      </c>
      <c r="C28" s="281">
        <f>+SG!D52</f>
        <v>323073.14</v>
      </c>
      <c r="D28" s="281">
        <f>+SG!E50</f>
        <v>197390.09</v>
      </c>
    </row>
    <row r="29" spans="2:4" ht="15.75" x14ac:dyDescent="0.25">
      <c r="B29" s="272" t="s">
        <v>163</v>
      </c>
      <c r="C29" s="281">
        <f>+'MEDIO AMBIENTE'!D41</f>
        <v>11159.75</v>
      </c>
      <c r="D29" s="281">
        <f>'MEDIO AMBIENTE'!E39</f>
        <v>9126.75</v>
      </c>
    </row>
    <row r="30" spans="2:4" ht="15.75" x14ac:dyDescent="0.25">
      <c r="B30" s="272" t="s">
        <v>164</v>
      </c>
      <c r="C30" s="281">
        <f>+'GESTION DE RIESGO'!D41</f>
        <v>29470</v>
      </c>
      <c r="D30" s="281">
        <f>+'GESTION DE RIESGO'!E39</f>
        <v>14801.31</v>
      </c>
    </row>
    <row r="31" spans="2:4" ht="15.75" x14ac:dyDescent="0.25">
      <c r="B31" s="272" t="s">
        <v>165</v>
      </c>
      <c r="C31" s="281">
        <f>+UDEL!D31</f>
        <v>21732.5</v>
      </c>
      <c r="D31" s="281">
        <f>UDEL!E29</f>
        <v>5580</v>
      </c>
    </row>
    <row r="32" spans="2:4" ht="15.75" x14ac:dyDescent="0.25">
      <c r="B32" s="272" t="s">
        <v>166</v>
      </c>
      <c r="C32" s="281">
        <f>'PROMOCION SOCIAL'!D36</f>
        <v>154616.88</v>
      </c>
      <c r="D32" s="281">
        <f>'PROMOCION SOCIAL'!E36</f>
        <v>26853.119999999999</v>
      </c>
    </row>
    <row r="33" spans="2:6" ht="15.75" x14ac:dyDescent="0.25">
      <c r="B33" s="275" t="s">
        <v>168</v>
      </c>
      <c r="C33" s="282">
        <f>SUM(C4:C32)+C34</f>
        <v>1705000.29</v>
      </c>
      <c r="D33" s="282">
        <f>SUM(D4:D32)</f>
        <v>769436.5</v>
      </c>
    </row>
    <row r="34" spans="2:6" ht="15.75" x14ac:dyDescent="0.25">
      <c r="B34" s="272" t="s">
        <v>403</v>
      </c>
      <c r="C34" s="281">
        <f>DONACIONES!D9</f>
        <v>5829.3099999999995</v>
      </c>
      <c r="D34" s="281">
        <v>0</v>
      </c>
    </row>
    <row r="35" spans="2:6" ht="15.75" x14ac:dyDescent="0.25">
      <c r="B35" s="275" t="s">
        <v>169</v>
      </c>
      <c r="C35" s="282">
        <f>'PRESU INGRESOS'!E68</f>
        <v>1705000.2899999998</v>
      </c>
      <c r="D35" s="283">
        <f>'PRESU INGRESOS'!D49+'PRESU INGRESOS'!D62+55552.02</f>
        <v>769436.5</v>
      </c>
    </row>
    <row r="36" spans="2:6" ht="15.75" x14ac:dyDescent="0.25">
      <c r="B36" s="275" t="s">
        <v>120</v>
      </c>
      <c r="C36" s="282">
        <f>+C35-C33</f>
        <v>0</v>
      </c>
      <c r="D36" s="282">
        <f>D35-D33</f>
        <v>0</v>
      </c>
      <c r="F36" s="368"/>
    </row>
    <row r="37" spans="2:6" x14ac:dyDescent="0.25">
      <c r="D37" s="381"/>
    </row>
    <row r="38" spans="2:6" x14ac:dyDescent="0.25">
      <c r="D38" s="368"/>
    </row>
    <row r="42" spans="2:6" x14ac:dyDescent="0.25">
      <c r="D42" s="368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2:D29"/>
  <sheetViews>
    <sheetView workbookViewId="0">
      <selection activeCell="G6" sqref="G6"/>
    </sheetView>
  </sheetViews>
  <sheetFormatPr baseColWidth="10" defaultRowHeight="15" x14ac:dyDescent="0.25"/>
  <cols>
    <col min="1" max="1" width="3.5703125" style="30" customWidth="1"/>
    <col min="2" max="2" width="9.7109375" style="30" customWidth="1"/>
    <col min="3" max="3" width="43.7109375" style="30" customWidth="1"/>
    <col min="4" max="4" width="23.7109375" style="30" customWidth="1"/>
    <col min="5" max="16384" width="11.42578125" style="30"/>
  </cols>
  <sheetData>
    <row r="2" spans="2:4" ht="15.75" x14ac:dyDescent="0.25">
      <c r="B2" s="429" t="s">
        <v>283</v>
      </c>
      <c r="C2" s="429"/>
      <c r="D2" s="429"/>
    </row>
    <row r="3" spans="2:4" ht="15.75" x14ac:dyDescent="0.25">
      <c r="B3" s="341" t="s">
        <v>223</v>
      </c>
      <c r="C3" s="341"/>
      <c r="D3" s="341"/>
    </row>
    <row r="4" spans="2:4" ht="15.75" x14ac:dyDescent="0.25">
      <c r="B4" s="427" t="s">
        <v>224</v>
      </c>
      <c r="C4" s="427"/>
      <c r="D4" s="427"/>
    </row>
    <row r="5" spans="2:4" ht="15.75" x14ac:dyDescent="0.25">
      <c r="B5" s="427" t="s">
        <v>284</v>
      </c>
      <c r="C5" s="427"/>
      <c r="D5" s="427"/>
    </row>
    <row r="6" spans="2:4" ht="15.75" x14ac:dyDescent="0.25">
      <c r="B6" s="144" t="s">
        <v>285</v>
      </c>
      <c r="C6" s="145"/>
      <c r="D6" s="145"/>
    </row>
    <row r="7" spans="2:4" ht="15.75" x14ac:dyDescent="0.25">
      <c r="B7" s="427" t="s">
        <v>226</v>
      </c>
      <c r="C7" s="427"/>
      <c r="D7" s="427"/>
    </row>
    <row r="8" spans="2:4" ht="15.75" x14ac:dyDescent="0.25">
      <c r="B8" s="426" t="s">
        <v>402</v>
      </c>
      <c r="C8" s="426"/>
      <c r="D8" s="426"/>
    </row>
    <row r="9" spans="2:4" x14ac:dyDescent="0.25">
      <c r="B9" s="31"/>
      <c r="C9" s="31"/>
      <c r="D9" s="41"/>
    </row>
    <row r="10" spans="2:4" x14ac:dyDescent="0.25">
      <c r="B10" s="459" t="s">
        <v>228</v>
      </c>
      <c r="C10" s="459" t="s">
        <v>229</v>
      </c>
      <c r="D10" s="97" t="s">
        <v>231</v>
      </c>
    </row>
    <row r="11" spans="2:4" x14ac:dyDescent="0.25">
      <c r="B11" s="460"/>
      <c r="C11" s="460"/>
      <c r="D11" s="97" t="s">
        <v>445</v>
      </c>
    </row>
    <row r="12" spans="2:4" x14ac:dyDescent="0.25">
      <c r="B12" s="81">
        <v>54</v>
      </c>
      <c r="C12" s="106" t="s">
        <v>286</v>
      </c>
      <c r="D12" s="101">
        <f>SUM(D13+D16+D19)</f>
        <v>5804.3099999999995</v>
      </c>
    </row>
    <row r="13" spans="2:4" x14ac:dyDescent="0.25">
      <c r="B13" s="81">
        <v>541</v>
      </c>
      <c r="C13" s="106" t="s">
        <v>287</v>
      </c>
      <c r="D13" s="101">
        <f>SUM(D14:D15)</f>
        <v>2560.1999999999998</v>
      </c>
    </row>
    <row r="14" spans="2:4" x14ac:dyDescent="0.25">
      <c r="B14" s="90">
        <v>54101</v>
      </c>
      <c r="C14" s="104" t="s">
        <v>246</v>
      </c>
      <c r="D14" s="103">
        <v>2158.1</v>
      </c>
    </row>
    <row r="15" spans="2:4" x14ac:dyDescent="0.25">
      <c r="B15" s="90">
        <v>54199</v>
      </c>
      <c r="C15" s="104" t="s">
        <v>256</v>
      </c>
      <c r="D15" s="103">
        <v>402.1</v>
      </c>
    </row>
    <row r="16" spans="2:4" x14ac:dyDescent="0.25">
      <c r="B16" s="81">
        <v>543</v>
      </c>
      <c r="C16" s="106" t="s">
        <v>257</v>
      </c>
      <c r="D16" s="101">
        <f>SUM(D17:D18)</f>
        <v>2244.11</v>
      </c>
    </row>
    <row r="17" spans="2:4" x14ac:dyDescent="0.25">
      <c r="B17" s="90">
        <v>54304</v>
      </c>
      <c r="C17" s="104" t="s">
        <v>361</v>
      </c>
      <c r="D17" s="103">
        <v>1600</v>
      </c>
    </row>
    <row r="18" spans="2:4" x14ac:dyDescent="0.25">
      <c r="B18" s="90">
        <v>54399</v>
      </c>
      <c r="C18" s="104" t="s">
        <v>263</v>
      </c>
      <c r="D18" s="103">
        <v>644.11</v>
      </c>
    </row>
    <row r="19" spans="2:4" x14ac:dyDescent="0.25">
      <c r="B19" s="81">
        <v>545</v>
      </c>
      <c r="C19" s="106" t="s">
        <v>264</v>
      </c>
      <c r="D19" s="101">
        <f>SUM(D20)</f>
        <v>1000</v>
      </c>
    </row>
    <row r="20" spans="2:4" x14ac:dyDescent="0.25">
      <c r="B20" s="90">
        <v>54599</v>
      </c>
      <c r="C20" s="104" t="s">
        <v>372</v>
      </c>
      <c r="D20" s="103">
        <v>1000</v>
      </c>
    </row>
    <row r="21" spans="2:4" x14ac:dyDescent="0.25">
      <c r="B21" s="81">
        <v>55</v>
      </c>
      <c r="C21" s="106" t="s">
        <v>132</v>
      </c>
      <c r="D21" s="101">
        <f>SUM(+D22)</f>
        <v>25</v>
      </c>
    </row>
    <row r="22" spans="2:4" x14ac:dyDescent="0.25">
      <c r="B22" s="81">
        <v>556</v>
      </c>
      <c r="C22" s="106" t="s">
        <v>373</v>
      </c>
      <c r="D22" s="101">
        <f>SUM(D23)</f>
        <v>25</v>
      </c>
    </row>
    <row r="23" spans="2:4" x14ac:dyDescent="0.25">
      <c r="B23" s="90">
        <v>55603</v>
      </c>
      <c r="C23" s="104" t="s">
        <v>325</v>
      </c>
      <c r="D23" s="103">
        <v>25</v>
      </c>
    </row>
    <row r="24" spans="2:4" x14ac:dyDescent="0.25">
      <c r="B24" s="90"/>
      <c r="C24" s="104"/>
      <c r="D24" s="103"/>
    </row>
    <row r="25" spans="2:4" x14ac:dyDescent="0.25">
      <c r="B25" s="90"/>
      <c r="C25" s="106" t="s">
        <v>70</v>
      </c>
      <c r="D25" s="101">
        <f>SUM(D12+D21)</f>
        <v>5829.3099999999995</v>
      </c>
    </row>
    <row r="26" spans="2:4" x14ac:dyDescent="0.25">
      <c r="B26" s="90"/>
      <c r="C26" s="104"/>
      <c r="D26" s="103"/>
    </row>
    <row r="27" spans="2:4" x14ac:dyDescent="0.25">
      <c r="B27" s="81"/>
      <c r="C27" s="106" t="s">
        <v>61</v>
      </c>
      <c r="D27" s="101">
        <f>SUM(D12+D21)</f>
        <v>5829.3099999999995</v>
      </c>
    </row>
    <row r="28" spans="2:4" x14ac:dyDescent="0.25">
      <c r="B28" s="81"/>
      <c r="C28" s="106" t="s">
        <v>62</v>
      </c>
      <c r="D28" s="101">
        <f>SUM(D13+D16+D19+D22)</f>
        <v>5829.3099999999995</v>
      </c>
    </row>
    <row r="29" spans="2:4" x14ac:dyDescent="0.25">
      <c r="B29" s="81"/>
      <c r="C29" s="106" t="s">
        <v>63</v>
      </c>
      <c r="D29" s="101">
        <f>SUM(D14+D15+D17+D18+D20+D23)</f>
        <v>5829.3099999999995</v>
      </c>
    </row>
  </sheetData>
  <mergeCells count="7">
    <mergeCell ref="B10:B11"/>
    <mergeCell ref="C10:C11"/>
    <mergeCell ref="B2:D2"/>
    <mergeCell ref="B4:D4"/>
    <mergeCell ref="B5:D5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43"/>
  <sheetViews>
    <sheetView workbookViewId="0">
      <pane ySplit="4" topLeftCell="A20" activePane="bottomLeft" state="frozen"/>
      <selection pane="bottomLeft" activeCell="L42" sqref="L42"/>
    </sheetView>
  </sheetViews>
  <sheetFormatPr baseColWidth="10" defaultRowHeight="14.25" x14ac:dyDescent="0.2"/>
  <cols>
    <col min="1" max="1" width="5" style="200" customWidth="1"/>
    <col min="2" max="2" width="29" style="200" customWidth="1"/>
    <col min="3" max="3" width="15.42578125" style="200" customWidth="1"/>
    <col min="4" max="4" width="16.140625" style="200" customWidth="1"/>
    <col min="5" max="5" width="17" style="200" customWidth="1"/>
    <col min="6" max="6" width="6.42578125" style="200" customWidth="1"/>
    <col min="7" max="7" width="2.85546875" style="200" customWidth="1"/>
    <col min="8" max="8" width="3" style="200" customWidth="1"/>
    <col min="9" max="9" width="30.28515625" style="200" customWidth="1"/>
    <col min="10" max="10" width="15.28515625" style="200" customWidth="1"/>
    <col min="11" max="11" width="14.140625" style="200" bestFit="1" customWidth="1"/>
    <col min="12" max="12" width="16.42578125" style="200" customWidth="1"/>
    <col min="13" max="13" width="11.42578125" style="200"/>
    <col min="14" max="14" width="17.140625" style="200" customWidth="1"/>
    <col min="15" max="16384" width="11.42578125" style="200"/>
  </cols>
  <sheetData>
    <row r="2" spans="2:12" ht="15" x14ac:dyDescent="0.25">
      <c r="C2" s="209">
        <v>51</v>
      </c>
      <c r="J2" s="209">
        <v>51</v>
      </c>
    </row>
    <row r="3" spans="2:12" ht="18" x14ac:dyDescent="0.25">
      <c r="B3" s="408" t="s">
        <v>406</v>
      </c>
      <c r="C3" s="408"/>
      <c r="D3" s="408"/>
      <c r="E3" s="408"/>
      <c r="F3" s="214"/>
      <c r="G3" s="214"/>
      <c r="H3" s="214"/>
      <c r="I3" s="408" t="s">
        <v>170</v>
      </c>
      <c r="J3" s="408"/>
      <c r="K3" s="408"/>
      <c r="L3" s="408"/>
    </row>
    <row r="4" spans="2:12" ht="18" x14ac:dyDescent="0.25">
      <c r="B4" s="332" t="s">
        <v>171</v>
      </c>
      <c r="C4" s="332" t="s">
        <v>380</v>
      </c>
      <c r="D4" s="215" t="s">
        <v>381</v>
      </c>
      <c r="E4" s="332" t="s">
        <v>172</v>
      </c>
      <c r="F4" s="214"/>
      <c r="G4" s="214"/>
      <c r="H4" s="214"/>
      <c r="I4" s="279" t="s">
        <v>171</v>
      </c>
      <c r="J4" s="279">
        <v>101</v>
      </c>
      <c r="K4" s="280">
        <v>401501</v>
      </c>
      <c r="L4" s="279" t="s">
        <v>172</v>
      </c>
    </row>
    <row r="5" spans="2:12" ht="15" x14ac:dyDescent="0.2">
      <c r="B5" s="213" t="s">
        <v>139</v>
      </c>
      <c r="C5" s="216">
        <f>+'CONCEJO MPAL'!D12</f>
        <v>57600</v>
      </c>
      <c r="D5" s="216">
        <f>+'CONCEJO MPAL'!D14+'CONCEJO MPAL'!D16+'CONCEJO MPAL'!D18</f>
        <v>34360</v>
      </c>
      <c r="E5" s="217">
        <f>SUM(C5:D5)</f>
        <v>91960</v>
      </c>
      <c r="F5" s="218"/>
      <c r="G5" s="214"/>
      <c r="H5" s="214"/>
      <c r="I5" s="272" t="s">
        <v>139</v>
      </c>
      <c r="J5" s="273">
        <f>+'CONCEJO MPAL'!E12</f>
        <v>57600</v>
      </c>
      <c r="K5" s="273">
        <f>+'CONCEJO MPAL'!E14+'CONCEJO MPAL'!E16+'CONCEJO MPAL'!E18</f>
        <v>9360</v>
      </c>
      <c r="L5" s="274">
        <f t="shared" ref="L5:L33" si="0">SUM(J5:K5)</f>
        <v>66960</v>
      </c>
    </row>
    <row r="6" spans="2:12" ht="15" x14ac:dyDescent="0.2">
      <c r="B6" s="213" t="s">
        <v>185</v>
      </c>
      <c r="C6" s="216">
        <f>+'GESTION Y COOPERACION'!D14</f>
        <v>16800</v>
      </c>
      <c r="D6" s="216">
        <f>+'GESTION Y COOPERACION'!D17+'GESTION Y COOPERACION'!D19</f>
        <v>2583.75</v>
      </c>
      <c r="E6" s="217">
        <f>SUM(C6:D6)</f>
        <v>19383.75</v>
      </c>
      <c r="F6" s="218"/>
      <c r="G6" s="214"/>
      <c r="H6" s="214"/>
      <c r="I6" s="272" t="s">
        <v>185</v>
      </c>
      <c r="J6" s="273">
        <f>+'GESTION Y COOPERACION'!E14</f>
        <v>0</v>
      </c>
      <c r="K6" s="273">
        <f>+'GESTION Y COOPERACION'!E17+'GESTION Y COOPERACION'!E19</f>
        <v>0</v>
      </c>
      <c r="L6" s="274">
        <f t="shared" si="0"/>
        <v>0</v>
      </c>
    </row>
    <row r="7" spans="2:12" ht="15" x14ac:dyDescent="0.2">
      <c r="B7" s="213" t="s">
        <v>140</v>
      </c>
      <c r="C7" s="216">
        <f>+DESPACHO!D12</f>
        <v>37310</v>
      </c>
      <c r="D7" s="216">
        <f>+DESPACHO!D15+DESPACHO!D17+DESPACHO!D19</f>
        <v>23596.5</v>
      </c>
      <c r="E7" s="217">
        <f t="shared" ref="E7:E33" si="1">SUM(C7:D7)</f>
        <v>60906.5</v>
      </c>
      <c r="F7" s="218"/>
      <c r="G7" s="214"/>
      <c r="H7" s="214"/>
      <c r="I7" s="272" t="s">
        <v>140</v>
      </c>
      <c r="J7" s="273">
        <f>+DESPACHO!E12</f>
        <v>18000</v>
      </c>
      <c r="K7" s="273">
        <f>+DESPACHO!E15+DESPACHO!E17</f>
        <v>2925</v>
      </c>
      <c r="L7" s="274">
        <f t="shared" si="0"/>
        <v>20925</v>
      </c>
    </row>
    <row r="8" spans="2:12" ht="15" x14ac:dyDescent="0.2">
      <c r="B8" s="213" t="s">
        <v>173</v>
      </c>
      <c r="C8" s="216">
        <f>+SINDICATURA!D12</f>
        <v>7650</v>
      </c>
      <c r="D8" s="216">
        <f>+SINDICATURA!D15+SINDICATURA!D17</f>
        <v>1170</v>
      </c>
      <c r="E8" s="217">
        <f t="shared" si="1"/>
        <v>8820</v>
      </c>
      <c r="F8" s="218"/>
      <c r="G8" s="214"/>
      <c r="H8" s="214"/>
      <c r="I8" s="272" t="s">
        <v>173</v>
      </c>
      <c r="J8" s="273">
        <f>+SINDICATURA!E12</f>
        <v>7200</v>
      </c>
      <c r="K8" s="273">
        <f>+SINDICATURA!E15+SINDICATURA!E17</f>
        <v>1170</v>
      </c>
      <c r="L8" s="274">
        <f t="shared" si="0"/>
        <v>8370</v>
      </c>
    </row>
    <row r="9" spans="2:12" ht="15" x14ac:dyDescent="0.2">
      <c r="B9" s="213" t="s">
        <v>174</v>
      </c>
      <c r="C9" s="216">
        <f>+SECRETARIA!D11</f>
        <v>14350</v>
      </c>
      <c r="D9" s="216">
        <f>+SECRETARIA!D14+SECRETARIA!D16</f>
        <v>2057.25</v>
      </c>
      <c r="E9" s="217">
        <f t="shared" si="1"/>
        <v>16407.25</v>
      </c>
      <c r="F9" s="218"/>
      <c r="G9" s="214"/>
      <c r="H9" s="214"/>
      <c r="I9" s="272" t="s">
        <v>174</v>
      </c>
      <c r="J9" s="273">
        <f>+SECRETARIA!E11</f>
        <v>12660</v>
      </c>
      <c r="K9" s="273">
        <f>+SECRETARIA!E14+SECRETARIA!E16</f>
        <v>2057.25</v>
      </c>
      <c r="L9" s="274">
        <f t="shared" si="0"/>
        <v>14717.25</v>
      </c>
    </row>
    <row r="10" spans="2:12" ht="15" x14ac:dyDescent="0.2">
      <c r="B10" s="213" t="s">
        <v>143</v>
      </c>
      <c r="C10" s="216">
        <f>+JURIDICO!D12</f>
        <v>10100</v>
      </c>
      <c r="D10" s="216">
        <f>+JURIDICO!D15+JURIDICO!D17</f>
        <v>1495</v>
      </c>
      <c r="E10" s="217">
        <f t="shared" si="1"/>
        <v>11595</v>
      </c>
      <c r="F10" s="218"/>
      <c r="G10" s="214"/>
      <c r="H10" s="214"/>
      <c r="I10" s="272" t="s">
        <v>143</v>
      </c>
      <c r="J10" s="273">
        <f>+JURIDICO!E12</f>
        <v>6400</v>
      </c>
      <c r="K10" s="273">
        <f>+JURIDICO!E15+JURIDICO!E17</f>
        <v>1040</v>
      </c>
      <c r="L10" s="274">
        <f t="shared" si="0"/>
        <v>7440</v>
      </c>
    </row>
    <row r="11" spans="2:12" ht="15" x14ac:dyDescent="0.2">
      <c r="B11" s="213" t="s">
        <v>175</v>
      </c>
      <c r="C11" s="216">
        <f>+GERENCIA!D12</f>
        <v>11740</v>
      </c>
      <c r="D11" s="216">
        <f>+GERENCIA!D15+GERENCIA!D17</f>
        <v>1774.5</v>
      </c>
      <c r="E11" s="217">
        <f t="shared" si="1"/>
        <v>13514.5</v>
      </c>
      <c r="F11" s="218"/>
      <c r="G11" s="214"/>
      <c r="H11" s="214"/>
      <c r="I11" s="272" t="s">
        <v>175</v>
      </c>
      <c r="J11" s="273">
        <f>+GERENCIA!E12</f>
        <v>8520</v>
      </c>
      <c r="K11" s="273">
        <f>+GERENCIA!E15+GERENCIA!E17</f>
        <v>1384.5</v>
      </c>
      <c r="L11" s="274">
        <f t="shared" si="0"/>
        <v>9904.5</v>
      </c>
    </row>
    <row r="12" spans="2:12" ht="15" x14ac:dyDescent="0.2">
      <c r="B12" s="213" t="s">
        <v>145</v>
      </c>
      <c r="C12" s="217">
        <f>+AUDITORIA!D12</f>
        <v>4950</v>
      </c>
      <c r="D12" s="216">
        <f>+AUDITORIA!D15+AUDITORIA!D17</f>
        <v>731.25</v>
      </c>
      <c r="E12" s="217">
        <f t="shared" si="1"/>
        <v>5681.25</v>
      </c>
      <c r="F12" s="218"/>
      <c r="G12" s="214"/>
      <c r="H12" s="214"/>
      <c r="I12" s="272" t="s">
        <v>145</v>
      </c>
      <c r="J12" s="274">
        <f>+AUDITORIA!E12</f>
        <v>4500</v>
      </c>
      <c r="K12" s="274">
        <f>+AUDITORIA!E15+AUDITORIA!E17</f>
        <v>731.25</v>
      </c>
      <c r="L12" s="274">
        <f t="shared" si="0"/>
        <v>5231.25</v>
      </c>
    </row>
    <row r="13" spans="2:12" ht="15" x14ac:dyDescent="0.2">
      <c r="B13" s="213" t="s">
        <v>176</v>
      </c>
      <c r="C13" s="216">
        <f>+RRHH!D12+RRHH!D15</f>
        <v>38690</v>
      </c>
      <c r="D13" s="216">
        <f>+RRHH!D17+RRHH!D19</f>
        <v>1920.75</v>
      </c>
      <c r="E13" s="217">
        <f t="shared" si="1"/>
        <v>40610.75</v>
      </c>
      <c r="F13" s="218"/>
      <c r="G13" s="214"/>
      <c r="H13" s="214"/>
      <c r="I13" s="272" t="s">
        <v>176</v>
      </c>
      <c r="J13" s="273">
        <f>+RRHH!E12+RRHH!E15</f>
        <v>11820</v>
      </c>
      <c r="K13" s="273">
        <f>+RRHH!E17+RRHH!E19</f>
        <v>1920.75</v>
      </c>
      <c r="L13" s="274">
        <f t="shared" si="0"/>
        <v>13740.75</v>
      </c>
    </row>
    <row r="14" spans="2:12" ht="15" x14ac:dyDescent="0.2">
      <c r="B14" s="213" t="s">
        <v>147</v>
      </c>
      <c r="C14" s="216">
        <f>+CONTABILIDAD!D12</f>
        <v>10015</v>
      </c>
      <c r="D14" s="216">
        <f>+CONTABILIDAD!D15+CONTABILIDAD!D17</f>
        <v>1433.23</v>
      </c>
      <c r="E14" s="217">
        <f t="shared" si="1"/>
        <v>11448.23</v>
      </c>
      <c r="F14" s="218"/>
      <c r="G14" s="214"/>
      <c r="H14" s="214"/>
      <c r="I14" s="272" t="s">
        <v>147</v>
      </c>
      <c r="J14" s="273">
        <f>+CONTABILIDAD!E12</f>
        <v>8820</v>
      </c>
      <c r="K14" s="273">
        <f>+CONTABILIDAD!E15+CONTABILIDAD!E17</f>
        <v>1433.27</v>
      </c>
      <c r="L14" s="274">
        <f t="shared" si="0"/>
        <v>10253.27</v>
      </c>
    </row>
    <row r="15" spans="2:12" ht="15" x14ac:dyDescent="0.2">
      <c r="B15" s="213" t="s">
        <v>148</v>
      </c>
      <c r="C15" s="216">
        <f>+PRESUPUESTO!D12</f>
        <v>8490</v>
      </c>
      <c r="D15" s="216">
        <f>+PRESUPUESTO!D15+PRESUPUESTO!D17</f>
        <v>1189.5</v>
      </c>
      <c r="E15" s="217">
        <f t="shared" si="1"/>
        <v>9679.5</v>
      </c>
      <c r="F15" s="218"/>
      <c r="G15" s="214"/>
      <c r="H15" s="214"/>
      <c r="I15" s="272" t="s">
        <v>148</v>
      </c>
      <c r="J15" s="273">
        <f>+PRESUPUESTO!E12</f>
        <v>7320</v>
      </c>
      <c r="K15" s="273">
        <f>+PRESUPUESTO!E15+PRESUPUESTO!E17</f>
        <v>1189.5</v>
      </c>
      <c r="L15" s="274">
        <f t="shared" si="0"/>
        <v>8509.5</v>
      </c>
    </row>
    <row r="16" spans="2:12" ht="15" x14ac:dyDescent="0.2">
      <c r="B16" s="213" t="s">
        <v>149</v>
      </c>
      <c r="C16" s="216">
        <f>+TESORERIA!D12</f>
        <v>25253.48</v>
      </c>
      <c r="D16" s="216">
        <f>+TESORERIA!D15+TESORERIA!D17</f>
        <v>3731.57</v>
      </c>
      <c r="E16" s="217">
        <f t="shared" si="1"/>
        <v>28985.05</v>
      </c>
      <c r="F16" s="218"/>
      <c r="G16" s="214"/>
      <c r="H16" s="214"/>
      <c r="I16" s="272" t="s">
        <v>149</v>
      </c>
      <c r="J16" s="273">
        <f>+TESORERIA!E12</f>
        <v>9916.52</v>
      </c>
      <c r="K16" s="273">
        <f>+TESORERIA!E15+TESORERIA!E17</f>
        <v>1611.4299999999998</v>
      </c>
      <c r="L16" s="274">
        <f t="shared" si="0"/>
        <v>11527.95</v>
      </c>
    </row>
    <row r="17" spans="2:12" ht="15" x14ac:dyDescent="0.2">
      <c r="B17" s="213" t="s">
        <v>150</v>
      </c>
      <c r="C17" s="216">
        <f>+UATM!D12</f>
        <v>39680</v>
      </c>
      <c r="D17" s="216">
        <f>+UATM!D15+UATM!D17</f>
        <v>5928</v>
      </c>
      <c r="E17" s="217">
        <f t="shared" si="1"/>
        <v>45608</v>
      </c>
      <c r="F17" s="218"/>
      <c r="G17" s="214"/>
      <c r="H17" s="214"/>
      <c r="I17" s="272" t="s">
        <v>150</v>
      </c>
      <c r="J17" s="273">
        <f>+UATM!E12</f>
        <v>11160</v>
      </c>
      <c r="K17" s="273">
        <f>+UATM!E15+UATM!E17</f>
        <v>1813.5</v>
      </c>
      <c r="L17" s="274">
        <f t="shared" si="0"/>
        <v>12973.5</v>
      </c>
    </row>
    <row r="18" spans="2:12" ht="15" x14ac:dyDescent="0.2">
      <c r="B18" s="213" t="s">
        <v>151</v>
      </c>
      <c r="C18" s="216">
        <f>+UACI!D12</f>
        <v>18040</v>
      </c>
      <c r="D18" s="216">
        <f>+UACI!D15+UACI!D17</f>
        <v>2676.38</v>
      </c>
      <c r="E18" s="217">
        <f t="shared" si="1"/>
        <v>20716.38</v>
      </c>
      <c r="F18" s="218"/>
      <c r="G18" s="214"/>
      <c r="H18" s="214"/>
      <c r="I18" s="272" t="s">
        <v>151</v>
      </c>
      <c r="J18" s="273">
        <f>+UACI!E12</f>
        <v>5370</v>
      </c>
      <c r="K18" s="273">
        <f>+UACI!E15+UACI!E17</f>
        <v>872.62</v>
      </c>
      <c r="L18" s="274">
        <f t="shared" si="0"/>
        <v>6242.62</v>
      </c>
    </row>
    <row r="19" spans="2:12" ht="15" x14ac:dyDescent="0.2">
      <c r="B19" s="213" t="s">
        <v>177</v>
      </c>
      <c r="C19" s="216">
        <f>+MERCADO!D12</f>
        <v>9950</v>
      </c>
      <c r="D19" s="216">
        <f>+MERCADO!D16+MERCADO!D18</f>
        <v>1267.5</v>
      </c>
      <c r="E19" s="217">
        <f t="shared" si="1"/>
        <v>11217.5</v>
      </c>
      <c r="F19" s="218"/>
      <c r="G19" s="214"/>
      <c r="H19" s="214"/>
      <c r="I19" s="272" t="s">
        <v>177</v>
      </c>
      <c r="J19" s="273">
        <f>+MERCADO!E12</f>
        <v>7800</v>
      </c>
      <c r="K19" s="273">
        <f>+MERCADO!E16+MERCADO!E18</f>
        <v>1267.5</v>
      </c>
      <c r="L19" s="274">
        <f t="shared" si="0"/>
        <v>9067.5</v>
      </c>
    </row>
    <row r="20" spans="2:12" ht="15" x14ac:dyDescent="0.2">
      <c r="B20" s="213" t="s">
        <v>178</v>
      </c>
      <c r="C20" s="216">
        <f>+'REGISTRO FAM'!D13</f>
        <v>11890</v>
      </c>
      <c r="D20" s="216">
        <f>+'REGISTRO FAM'!D16+'REGISTRO FAM'!D18</f>
        <v>1628.25</v>
      </c>
      <c r="E20" s="217">
        <f t="shared" si="1"/>
        <v>13518.25</v>
      </c>
      <c r="F20" s="218"/>
      <c r="G20" s="214"/>
      <c r="H20" s="214"/>
      <c r="I20" s="272" t="s">
        <v>178</v>
      </c>
      <c r="J20" s="273">
        <f>+'REGISTRO FAM'!E13</f>
        <v>14220</v>
      </c>
      <c r="K20" s="273">
        <f>+'REGISTRO FAM'!E16+'REGISTRO FAM'!E18</f>
        <v>2310.75</v>
      </c>
      <c r="L20" s="274">
        <f t="shared" si="0"/>
        <v>16530.75</v>
      </c>
    </row>
    <row r="21" spans="2:12" ht="15" x14ac:dyDescent="0.2">
      <c r="B21" s="213" t="s">
        <v>154</v>
      </c>
      <c r="C21" s="216">
        <f>+CEMENTERIO!D13</f>
        <v>5390</v>
      </c>
      <c r="D21" s="216">
        <f>+CEMENTERIO!D16+CEMENTERIO!D18</f>
        <v>750.75</v>
      </c>
      <c r="E21" s="217">
        <f t="shared" si="1"/>
        <v>6140.75</v>
      </c>
      <c r="F21" s="218"/>
      <c r="G21" s="214"/>
      <c r="H21" s="214"/>
      <c r="I21" s="272" t="s">
        <v>154</v>
      </c>
      <c r="J21" s="273">
        <f>+CEMENTERIO!E13</f>
        <v>4620</v>
      </c>
      <c r="K21" s="273">
        <f>+CEMENTERIO!E16+CEMENTERIO!E18</f>
        <v>750.75</v>
      </c>
      <c r="L21" s="274">
        <f t="shared" si="0"/>
        <v>5370.75</v>
      </c>
    </row>
    <row r="22" spans="2:12" ht="15" x14ac:dyDescent="0.2">
      <c r="B22" s="213" t="s">
        <v>179</v>
      </c>
      <c r="C22" s="216">
        <f>+DISTRITO!D13</f>
        <v>24670</v>
      </c>
      <c r="D22" s="216">
        <f>+DISTRITO!D16+DISTRITO!D18</f>
        <v>3510</v>
      </c>
      <c r="E22" s="217">
        <f t="shared" si="1"/>
        <v>28180</v>
      </c>
      <c r="F22" s="218"/>
      <c r="G22" s="214"/>
      <c r="H22" s="214"/>
      <c r="I22" s="272" t="s">
        <v>179</v>
      </c>
      <c r="J22" s="273">
        <f>+DISTRITO!E13</f>
        <v>17640</v>
      </c>
      <c r="K22" s="273">
        <f>+DISTRITO!E16+DISTRITO!E18</f>
        <v>2866.5</v>
      </c>
      <c r="L22" s="274">
        <f t="shared" si="0"/>
        <v>20506.5</v>
      </c>
    </row>
    <row r="23" spans="2:12" ht="15" x14ac:dyDescent="0.2">
      <c r="B23" s="213" t="s">
        <v>156</v>
      </c>
      <c r="C23" s="216">
        <f>+PROYECTOS!D13</f>
        <v>22375</v>
      </c>
      <c r="D23" s="216">
        <f>+PROYECTOS!D16+PROYECTOS!D18</f>
        <v>3302.4300000000003</v>
      </c>
      <c r="E23" s="217">
        <f>SUM(C23:D23)</f>
        <v>25677.43</v>
      </c>
      <c r="F23" s="218"/>
      <c r="G23" s="214"/>
      <c r="H23" s="214"/>
      <c r="I23" s="272" t="s">
        <v>156</v>
      </c>
      <c r="J23" s="273">
        <f>+PROYECTOS!E13</f>
        <v>10275</v>
      </c>
      <c r="K23" s="273">
        <f>+PROYECTOS!E16+PROYECTOS!E18</f>
        <v>1669.6799999999998</v>
      </c>
      <c r="L23" s="274">
        <f t="shared" si="0"/>
        <v>11944.68</v>
      </c>
    </row>
    <row r="24" spans="2:12" ht="15" x14ac:dyDescent="0.2">
      <c r="B24" s="213" t="s">
        <v>180</v>
      </c>
      <c r="C24" s="216">
        <f>+'ACCESO A LA INF PUBLICA'!D13</f>
        <v>3450</v>
      </c>
      <c r="D24" s="216">
        <f>+'ACCESO A LA INF PUBLICA'!D16+'ACCESO A LA INF PUBLICA'!D18</f>
        <v>487.5</v>
      </c>
      <c r="E24" s="217">
        <f t="shared" si="1"/>
        <v>3937.5</v>
      </c>
      <c r="F24" s="218"/>
      <c r="G24" s="214"/>
      <c r="H24" s="214"/>
      <c r="I24" s="272" t="s">
        <v>180</v>
      </c>
      <c r="J24" s="273">
        <f>+'ACCESO A LA INF PUBLICA'!E13</f>
        <v>3000</v>
      </c>
      <c r="K24" s="273">
        <f>+'ACCESO A LA INF PUBLICA'!E16+'ACCESO A LA INF PUBLICA'!E18</f>
        <v>487.5</v>
      </c>
      <c r="L24" s="274">
        <f t="shared" si="0"/>
        <v>3487.5</v>
      </c>
    </row>
    <row r="25" spans="2:12" ht="15" x14ac:dyDescent="0.2">
      <c r="B25" s="213" t="s">
        <v>181</v>
      </c>
      <c r="C25" s="216">
        <f>+'DESARROLLO TEC.'!D13</f>
        <v>4050</v>
      </c>
      <c r="D25" s="216">
        <f>+'DESARROLLO TEC.'!D16+'DESARROLLO TEC.'!D18</f>
        <v>585</v>
      </c>
      <c r="E25" s="217">
        <f t="shared" si="1"/>
        <v>4635</v>
      </c>
      <c r="F25" s="218"/>
      <c r="G25" s="214"/>
      <c r="H25" s="214"/>
      <c r="I25" s="272" t="s">
        <v>181</v>
      </c>
      <c r="J25" s="273">
        <f>+'DESARROLLO TEC.'!E13</f>
        <v>3600</v>
      </c>
      <c r="K25" s="273">
        <f>+'DESARROLLO TEC.'!E16+'DESARROLLO TEC.'!E18</f>
        <v>585</v>
      </c>
      <c r="L25" s="274">
        <f t="shared" si="0"/>
        <v>4185</v>
      </c>
    </row>
    <row r="26" spans="2:12" ht="15" x14ac:dyDescent="0.2">
      <c r="B26" s="213" t="s">
        <v>159</v>
      </c>
      <c r="C26" s="216">
        <f>+COMUNICACIONES!D13</f>
        <v>13000</v>
      </c>
      <c r="D26" s="216">
        <f>+COMUNICACIONES!D16+COMUNICACIONES!D18</f>
        <v>1917.5</v>
      </c>
      <c r="E26" s="217">
        <f t="shared" si="1"/>
        <v>14917.5</v>
      </c>
      <c r="F26" s="218"/>
      <c r="G26" s="214"/>
      <c r="H26" s="214"/>
      <c r="I26" s="272" t="s">
        <v>159</v>
      </c>
      <c r="J26" s="273">
        <f>+COMUNICACIONES!E13</f>
        <v>5600</v>
      </c>
      <c r="K26" s="273">
        <f>+COMUNICACIONES!E16+COMUNICACIONES!E18</f>
        <v>910</v>
      </c>
      <c r="L26" s="274">
        <f t="shared" si="0"/>
        <v>6510</v>
      </c>
    </row>
    <row r="27" spans="2:12" ht="15" x14ac:dyDescent="0.2">
      <c r="B27" s="213" t="s">
        <v>160</v>
      </c>
      <c r="C27" s="216">
        <f>+CAM!D13</f>
        <v>159725</v>
      </c>
      <c r="D27" s="216">
        <f>+CAM!D17+CAM!D19</f>
        <v>23290.32</v>
      </c>
      <c r="E27" s="217">
        <f t="shared" si="1"/>
        <v>183015.32</v>
      </c>
      <c r="F27" s="218"/>
      <c r="G27" s="214"/>
      <c r="H27" s="214"/>
      <c r="I27" s="272" t="s">
        <v>160</v>
      </c>
      <c r="J27" s="273">
        <f>+CAM!E13</f>
        <v>19875</v>
      </c>
      <c r="K27" s="273">
        <f>+CAM!E17+CAM!E19</f>
        <v>3229.68</v>
      </c>
      <c r="L27" s="274">
        <f t="shared" si="0"/>
        <v>23104.68</v>
      </c>
    </row>
    <row r="28" spans="2:12" ht="15" x14ac:dyDescent="0.2">
      <c r="B28" s="213" t="s">
        <v>161</v>
      </c>
      <c r="C28" s="216">
        <f>+DHI!D13</f>
        <v>94300</v>
      </c>
      <c r="D28" s="216">
        <f>+DHI!D16+DHI!D18</f>
        <v>14137.5</v>
      </c>
      <c r="E28" s="217">
        <f t="shared" si="1"/>
        <v>108437.5</v>
      </c>
      <c r="F28" s="218"/>
      <c r="G28" s="214"/>
      <c r="H28" s="214"/>
      <c r="I28" s="272" t="s">
        <v>161</v>
      </c>
      <c r="J28" s="273">
        <f>+DHI!E13</f>
        <v>12000</v>
      </c>
      <c r="K28" s="273">
        <f>+DHI!E16+DHI!E18</f>
        <v>1950</v>
      </c>
      <c r="L28" s="274">
        <f t="shared" si="0"/>
        <v>13950</v>
      </c>
    </row>
    <row r="29" spans="2:12" ht="15" x14ac:dyDescent="0.2">
      <c r="B29" s="213" t="s">
        <v>182</v>
      </c>
      <c r="C29" s="216">
        <f>+SG!D13</f>
        <v>159365</v>
      </c>
      <c r="D29" s="216">
        <f>+SG!D17+SG!D19</f>
        <v>22835.309999999998</v>
      </c>
      <c r="E29" s="217">
        <f t="shared" si="1"/>
        <v>182200.31</v>
      </c>
      <c r="F29" s="218"/>
      <c r="G29" s="214"/>
      <c r="H29" s="214"/>
      <c r="I29" s="272" t="s">
        <v>182</v>
      </c>
      <c r="J29" s="273">
        <f>+SG!E13</f>
        <v>27355</v>
      </c>
      <c r="K29" s="273">
        <f>+SG!E17+SG!E19</f>
        <v>4443.93</v>
      </c>
      <c r="L29" s="274">
        <f t="shared" si="0"/>
        <v>31798.93</v>
      </c>
    </row>
    <row r="30" spans="2:12" ht="15" x14ac:dyDescent="0.2">
      <c r="B30" s="213" t="s">
        <v>163</v>
      </c>
      <c r="C30" s="216">
        <f>+'MEDIO AMBIENTE'!D13</f>
        <v>6640</v>
      </c>
      <c r="D30" s="216">
        <f>+'MEDIO AMBIENTE'!D16+'MEDIO AMBIENTE'!D18</f>
        <v>945.75</v>
      </c>
      <c r="E30" s="217">
        <f t="shared" si="1"/>
        <v>7585.75</v>
      </c>
      <c r="F30" s="218"/>
      <c r="G30" s="214"/>
      <c r="H30" s="214"/>
      <c r="I30" s="272" t="s">
        <v>163</v>
      </c>
      <c r="J30" s="273">
        <f>+'MEDIO AMBIENTE'!E13</f>
        <v>5820</v>
      </c>
      <c r="K30" s="273">
        <f>+'MEDIO AMBIENTE'!E16+'MEDIO AMBIENTE'!E18</f>
        <v>945.75</v>
      </c>
      <c r="L30" s="274">
        <f t="shared" si="0"/>
        <v>6765.75</v>
      </c>
    </row>
    <row r="31" spans="2:12" ht="15" x14ac:dyDescent="0.2">
      <c r="B31" s="213" t="s">
        <v>183</v>
      </c>
      <c r="C31" s="216">
        <f>+'GESTION DE RIESGO'!D13</f>
        <v>9350</v>
      </c>
      <c r="D31" s="216">
        <f>+'GESTION DE RIESGO'!D17+'GESTION DE RIESGO'!D19</f>
        <v>1170</v>
      </c>
      <c r="E31" s="217">
        <f>SUM(C31:D31)</f>
        <v>10520</v>
      </c>
      <c r="F31" s="218"/>
      <c r="G31" s="214"/>
      <c r="H31" s="214"/>
      <c r="I31" s="272" t="s">
        <v>183</v>
      </c>
      <c r="J31" s="273">
        <f>+'GESTION DE RIESGO'!E13</f>
        <v>7800</v>
      </c>
      <c r="K31" s="273">
        <f>+'GESTION DE RIESGO'!E17+'GESTION DE RIESGO'!E19</f>
        <v>1267.5</v>
      </c>
      <c r="L31" s="274">
        <f t="shared" si="0"/>
        <v>9067.5</v>
      </c>
    </row>
    <row r="32" spans="2:12" ht="15" x14ac:dyDescent="0.2">
      <c r="B32" s="213" t="s">
        <v>165</v>
      </c>
      <c r="C32" s="216">
        <f>+UDEL!D13</f>
        <v>17900</v>
      </c>
      <c r="D32" s="216">
        <f>+UDEL!D16+UDEL!D18</f>
        <v>2632.5</v>
      </c>
      <c r="E32" s="217">
        <f t="shared" si="1"/>
        <v>20532.5</v>
      </c>
      <c r="F32" s="218"/>
      <c r="G32" s="214"/>
      <c r="H32" s="214"/>
      <c r="I32" s="272" t="s">
        <v>165</v>
      </c>
      <c r="J32" s="273">
        <f>+UDEL!E13</f>
        <v>4800</v>
      </c>
      <c r="K32" s="273">
        <f>+UDEL!E16+UDEL!E18</f>
        <v>780</v>
      </c>
      <c r="L32" s="274">
        <f t="shared" si="0"/>
        <v>5580</v>
      </c>
    </row>
    <row r="33" spans="2:17" ht="15" x14ac:dyDescent="0.2">
      <c r="B33" s="213" t="s">
        <v>184</v>
      </c>
      <c r="C33" s="216">
        <f>+'PROMOCION SOCIAL'!D13</f>
        <v>117850</v>
      </c>
      <c r="D33" s="216">
        <f>+'PROMOCION SOCIAL'!D16+'PROMOCION SOCIAL'!D18</f>
        <v>17476.879999999997</v>
      </c>
      <c r="E33" s="217">
        <f t="shared" si="1"/>
        <v>135326.88</v>
      </c>
      <c r="F33" s="218"/>
      <c r="G33" s="214"/>
      <c r="H33" s="214"/>
      <c r="I33" s="272" t="s">
        <v>184</v>
      </c>
      <c r="J33" s="273">
        <f>+'PROMOCION SOCIAL'!E13</f>
        <v>17250</v>
      </c>
      <c r="K33" s="273">
        <f>+'PROMOCION SOCIAL'!E16+'PROMOCION SOCIAL'!E18</f>
        <v>2803.12</v>
      </c>
      <c r="L33" s="274">
        <f t="shared" si="0"/>
        <v>20053.12</v>
      </c>
    </row>
    <row r="34" spans="2:17" ht="15.75" x14ac:dyDescent="0.25">
      <c r="B34" s="275" t="s">
        <v>168</v>
      </c>
      <c r="C34" s="276">
        <f>SUM(C5:C33)</f>
        <v>960573.48</v>
      </c>
      <c r="D34" s="276">
        <f>SUM(D5:D33)</f>
        <v>180584.87000000002</v>
      </c>
      <c r="E34" s="277">
        <f>SUM(E5:E33)</f>
        <v>1141158.3500000001</v>
      </c>
      <c r="F34" s="218"/>
      <c r="G34" s="214"/>
      <c r="H34" s="214"/>
      <c r="I34" s="275" t="s">
        <v>168</v>
      </c>
      <c r="J34" s="276">
        <f>SUM(J5:J33)</f>
        <v>330941.52</v>
      </c>
      <c r="K34" s="276">
        <f>SUM(K5:K33)</f>
        <v>53776.73</v>
      </c>
      <c r="L34" s="277">
        <f>SUM(L5:L33)</f>
        <v>384718.25</v>
      </c>
      <c r="N34" s="363">
        <f>+E34+L34</f>
        <v>1525876.6</v>
      </c>
    </row>
    <row r="35" spans="2:17" ht="15" x14ac:dyDescent="0.2">
      <c r="I35" s="278"/>
      <c r="J35" s="278"/>
      <c r="K35" s="278"/>
      <c r="L35" s="278"/>
    </row>
    <row r="37" spans="2:17" x14ac:dyDescent="0.2">
      <c r="L37" s="363">
        <f>+'CONSOLIDADO I Y E'!C12/2</f>
        <v>384718.25</v>
      </c>
      <c r="O37" s="374"/>
      <c r="Q37" s="374"/>
    </row>
    <row r="38" spans="2:17" x14ac:dyDescent="0.2">
      <c r="L38" s="363"/>
    </row>
    <row r="39" spans="2:17" x14ac:dyDescent="0.2">
      <c r="L39" s="374">
        <f>L37-L34</f>
        <v>0</v>
      </c>
    </row>
    <row r="41" spans="2:17" x14ac:dyDescent="0.2">
      <c r="L41" s="363"/>
      <c r="N41" s="374"/>
    </row>
    <row r="42" spans="2:17" x14ac:dyDescent="0.2">
      <c r="N42" s="374"/>
    </row>
    <row r="43" spans="2:17" x14ac:dyDescent="0.2">
      <c r="N43" s="374"/>
    </row>
  </sheetData>
  <mergeCells count="2">
    <mergeCell ref="B3:E3"/>
    <mergeCell ref="I3:L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K83"/>
  <sheetViews>
    <sheetView topLeftCell="A67" workbookViewId="0">
      <selection activeCell="J89" sqref="J89"/>
    </sheetView>
  </sheetViews>
  <sheetFormatPr baseColWidth="10" defaultRowHeight="15" x14ac:dyDescent="0.25"/>
  <cols>
    <col min="1" max="1" width="5.42578125" style="220" customWidth="1"/>
    <col min="2" max="2" width="5.140625" style="220" customWidth="1"/>
    <col min="3" max="3" width="37.28515625" style="220" customWidth="1"/>
    <col min="4" max="4" width="25.7109375" style="220" customWidth="1"/>
    <col min="5" max="5" width="7" style="220" customWidth="1"/>
    <col min="6" max="8" width="4.140625" style="220" customWidth="1"/>
    <col min="9" max="9" width="5.7109375" style="220" customWidth="1"/>
    <col min="10" max="10" width="35.85546875" style="220" customWidth="1"/>
    <col min="11" max="11" width="20.28515625" style="220" customWidth="1"/>
    <col min="12" max="16384" width="11.42578125" style="220"/>
  </cols>
  <sheetData>
    <row r="2" spans="3:11" ht="30" customHeight="1" x14ac:dyDescent="0.25">
      <c r="C2" s="410" t="s">
        <v>186</v>
      </c>
      <c r="D2" s="410"/>
      <c r="E2" s="219"/>
      <c r="F2" s="219"/>
      <c r="G2" s="219"/>
      <c r="H2" s="219"/>
      <c r="I2" s="219"/>
      <c r="J2" s="410" t="s">
        <v>187</v>
      </c>
      <c r="K2" s="410"/>
    </row>
    <row r="3" spans="3:11" ht="30" x14ac:dyDescent="0.25">
      <c r="C3" s="182" t="s">
        <v>188</v>
      </c>
      <c r="D3" s="182" t="s">
        <v>200</v>
      </c>
      <c r="E3" s="221"/>
      <c r="F3" s="221"/>
      <c r="G3" s="221"/>
      <c r="H3" s="221"/>
      <c r="I3" s="221"/>
      <c r="J3" s="182" t="s">
        <v>188</v>
      </c>
      <c r="K3" s="182" t="s">
        <v>201</v>
      </c>
    </row>
    <row r="4" spans="3:11" x14ac:dyDescent="0.25">
      <c r="C4" s="222" t="s">
        <v>139</v>
      </c>
      <c r="D4" s="223">
        <f>+'CONCEJO MPAL'!D20</f>
        <v>80046.399999999994</v>
      </c>
      <c r="E4" s="224"/>
      <c r="F4" s="225"/>
      <c r="G4" s="225"/>
      <c r="H4" s="225"/>
      <c r="I4" s="226"/>
      <c r="J4" s="222" t="s">
        <v>139</v>
      </c>
      <c r="K4" s="223">
        <f>+'CONCEJO MPAL'!E20</f>
        <v>32588.04</v>
      </c>
    </row>
    <row r="5" spans="3:11" x14ac:dyDescent="0.25">
      <c r="C5" s="222" t="s">
        <v>140</v>
      </c>
      <c r="D5" s="223">
        <f>+DESPACHO!D21</f>
        <v>95422.080000000002</v>
      </c>
      <c r="E5" s="2"/>
      <c r="F5" s="3"/>
      <c r="G5" s="3"/>
      <c r="H5" s="3"/>
      <c r="I5" s="4"/>
      <c r="J5" s="222" t="s">
        <v>140</v>
      </c>
      <c r="K5" s="223">
        <f>+DESPACHO!E21</f>
        <v>63449.520000000004</v>
      </c>
    </row>
    <row r="6" spans="3:11" x14ac:dyDescent="0.25">
      <c r="C6" s="222" t="s">
        <v>141</v>
      </c>
      <c r="D6" s="223">
        <f>+SINDICATURA!D19</f>
        <v>285</v>
      </c>
      <c r="E6" s="2"/>
      <c r="F6" s="3"/>
      <c r="G6" s="3"/>
      <c r="H6" s="3"/>
      <c r="I6" s="4"/>
      <c r="J6" s="222" t="s">
        <v>141</v>
      </c>
      <c r="K6" s="223">
        <f>+SINDICATURA!E19</f>
        <v>0</v>
      </c>
    </row>
    <row r="7" spans="3:11" x14ac:dyDescent="0.25">
      <c r="C7" s="222" t="s">
        <v>174</v>
      </c>
      <c r="D7" s="223">
        <f>+SECRETARIA!D18</f>
        <v>1797.6</v>
      </c>
      <c r="E7" s="2"/>
      <c r="F7" s="3"/>
      <c r="G7" s="3"/>
      <c r="H7" s="3"/>
      <c r="I7" s="4"/>
      <c r="J7" s="222" t="s">
        <v>174</v>
      </c>
      <c r="K7" s="223">
        <f>+SECRETARIA!E18</f>
        <v>0</v>
      </c>
    </row>
    <row r="8" spans="3:11" x14ac:dyDescent="0.25">
      <c r="C8" s="222" t="s">
        <v>143</v>
      </c>
      <c r="D8" s="223">
        <f>+JURIDICO!D19</f>
        <v>2285</v>
      </c>
      <c r="E8" s="2"/>
      <c r="F8" s="3"/>
      <c r="G8" s="3"/>
      <c r="H8" s="3"/>
      <c r="I8" s="4"/>
      <c r="J8" s="222" t="s">
        <v>143</v>
      </c>
      <c r="K8" s="223">
        <f>+JURIDICO!E19</f>
        <v>0</v>
      </c>
    </row>
    <row r="9" spans="3:11" x14ac:dyDescent="0.25">
      <c r="C9" s="222" t="s">
        <v>144</v>
      </c>
      <c r="D9" s="223">
        <f>+GERENCIA!D19</f>
        <v>1625</v>
      </c>
      <c r="E9" s="2"/>
      <c r="F9" s="3"/>
      <c r="G9" s="3"/>
      <c r="H9" s="3"/>
      <c r="I9" s="4"/>
      <c r="J9" s="222" t="s">
        <v>144</v>
      </c>
      <c r="K9" s="223">
        <f>+GERENCIA!E19</f>
        <v>2500</v>
      </c>
    </row>
    <row r="10" spans="3:11" x14ac:dyDescent="0.25">
      <c r="C10" s="222" t="s">
        <v>145</v>
      </c>
      <c r="D10" s="223">
        <f>+AUDITORIA!D19</f>
        <v>697</v>
      </c>
      <c r="E10" s="2"/>
      <c r="F10" s="3"/>
      <c r="G10" s="3"/>
      <c r="H10" s="3"/>
      <c r="I10" s="4"/>
      <c r="J10" s="222" t="s">
        <v>145</v>
      </c>
      <c r="K10" s="223">
        <f>+AUDITORIA!E19</f>
        <v>0</v>
      </c>
    </row>
    <row r="11" spans="3:11" x14ac:dyDescent="0.25">
      <c r="C11" s="222" t="s">
        <v>146</v>
      </c>
      <c r="D11" s="223">
        <f>+RRHH!D21</f>
        <v>15022.48</v>
      </c>
      <c r="E11" s="2"/>
      <c r="F11" s="3"/>
      <c r="G11" s="3"/>
      <c r="H11" s="3"/>
      <c r="I11" s="4"/>
      <c r="J11" s="222" t="s">
        <v>146</v>
      </c>
      <c r="K11" s="223">
        <f>+RRHH!E21</f>
        <v>0</v>
      </c>
    </row>
    <row r="12" spans="3:11" x14ac:dyDescent="0.25">
      <c r="C12" s="222" t="s">
        <v>147</v>
      </c>
      <c r="D12" s="223">
        <f>+CONTABILIDAD!D19</f>
        <v>1073.25</v>
      </c>
      <c r="E12" s="2"/>
      <c r="F12" s="3"/>
      <c r="G12" s="3"/>
      <c r="H12" s="3"/>
      <c r="I12" s="4"/>
      <c r="J12" s="222" t="s">
        <v>147</v>
      </c>
      <c r="K12" s="223">
        <f>+CONTABILIDAD!E19</f>
        <v>0</v>
      </c>
    </row>
    <row r="13" spans="3:11" x14ac:dyDescent="0.25">
      <c r="C13" s="222" t="s">
        <v>148</v>
      </c>
      <c r="D13" s="223">
        <f>+PRESUPUESTO!D19</f>
        <v>893</v>
      </c>
      <c r="E13" s="2"/>
      <c r="F13" s="3"/>
      <c r="G13" s="3"/>
      <c r="H13" s="3"/>
      <c r="I13" s="4"/>
      <c r="J13" s="222" t="s">
        <v>148</v>
      </c>
      <c r="K13" s="223">
        <f>+PRESUPUESTO!E19</f>
        <v>0</v>
      </c>
    </row>
    <row r="14" spans="3:11" x14ac:dyDescent="0.25">
      <c r="C14" s="222" t="s">
        <v>149</v>
      </c>
      <c r="D14" s="223">
        <f>+TESORERIA!D19</f>
        <v>6788</v>
      </c>
      <c r="E14" s="2"/>
      <c r="F14" s="3"/>
      <c r="G14" s="3"/>
      <c r="H14" s="3"/>
      <c r="I14" s="4"/>
      <c r="J14" s="222" t="s">
        <v>149</v>
      </c>
      <c r="K14" s="223">
        <f>+TESORERIA!E19</f>
        <v>15583.529999999999</v>
      </c>
    </row>
    <row r="15" spans="3:11" x14ac:dyDescent="0.25">
      <c r="C15" s="222" t="s">
        <v>150</v>
      </c>
      <c r="D15" s="223">
        <f>+UATM!D19</f>
        <v>7900</v>
      </c>
      <c r="E15" s="2"/>
      <c r="F15" s="3"/>
      <c r="G15" s="3"/>
      <c r="H15" s="3"/>
      <c r="I15" s="4"/>
      <c r="J15" s="222" t="s">
        <v>150</v>
      </c>
      <c r="K15" s="223">
        <f>+UATM!E19</f>
        <v>0</v>
      </c>
    </row>
    <row r="16" spans="3:11" x14ac:dyDescent="0.25">
      <c r="C16" s="222" t="s">
        <v>151</v>
      </c>
      <c r="D16" s="223">
        <f>+UACI!D19</f>
        <v>3800</v>
      </c>
      <c r="E16" s="2"/>
      <c r="F16" s="3"/>
      <c r="G16" s="3"/>
      <c r="H16" s="3"/>
      <c r="I16" s="4"/>
      <c r="J16" s="222" t="s">
        <v>151</v>
      </c>
      <c r="K16" s="223">
        <f>+UACI!E19</f>
        <v>0</v>
      </c>
    </row>
    <row r="17" spans="3:11" x14ac:dyDescent="0.25">
      <c r="C17" s="222" t="s">
        <v>189</v>
      </c>
      <c r="D17" s="223">
        <f>+MERCADO!D20</f>
        <v>9639.35</v>
      </c>
      <c r="E17" s="2"/>
      <c r="F17" s="3"/>
      <c r="G17" s="3"/>
      <c r="H17" s="3"/>
      <c r="I17" s="4"/>
      <c r="J17" s="222" t="s">
        <v>189</v>
      </c>
      <c r="K17" s="223">
        <f>+MERCADO!E20</f>
        <v>2300</v>
      </c>
    </row>
    <row r="18" spans="3:11" x14ac:dyDescent="0.25">
      <c r="C18" s="222" t="s">
        <v>190</v>
      </c>
      <c r="D18" s="223">
        <f>+'REGISTRO FAM'!D20</f>
        <v>4862.6900000000005</v>
      </c>
      <c r="E18" s="2"/>
      <c r="F18" s="3"/>
      <c r="G18" s="3"/>
      <c r="H18" s="3"/>
      <c r="I18" s="4"/>
      <c r="J18" s="222" t="s">
        <v>190</v>
      </c>
      <c r="K18" s="223">
        <f>+'REGISTRO FAM'!E20</f>
        <v>0</v>
      </c>
    </row>
    <row r="19" spans="3:11" x14ac:dyDescent="0.25">
      <c r="C19" s="222" t="s">
        <v>191</v>
      </c>
      <c r="D19" s="223">
        <f>+CEMENTERIO!D20</f>
        <v>8349.43</v>
      </c>
      <c r="E19" s="2"/>
      <c r="F19" s="3"/>
      <c r="G19" s="3"/>
      <c r="H19" s="3"/>
      <c r="I19" s="4"/>
      <c r="J19" s="222" t="s">
        <v>191</v>
      </c>
      <c r="K19" s="223">
        <f>+CEMENTERIO!E20</f>
        <v>1524</v>
      </c>
    </row>
    <row r="20" spans="3:11" x14ac:dyDescent="0.25">
      <c r="C20" s="222" t="s">
        <v>155</v>
      </c>
      <c r="D20" s="223">
        <f>+DISTRITO!D20</f>
        <v>8250</v>
      </c>
      <c r="E20" s="2"/>
      <c r="F20" s="3"/>
      <c r="G20" s="3"/>
      <c r="H20" s="3"/>
      <c r="I20" s="4"/>
      <c r="J20" s="222" t="s">
        <v>155</v>
      </c>
      <c r="K20" s="223">
        <f>+DISTRITO!E20</f>
        <v>32500</v>
      </c>
    </row>
    <row r="21" spans="3:11" x14ac:dyDescent="0.25">
      <c r="C21" s="222" t="s">
        <v>156</v>
      </c>
      <c r="D21" s="223">
        <f>+PROYECTOS!D20</f>
        <v>16279.91</v>
      </c>
      <c r="E21" s="2"/>
      <c r="F21" s="3"/>
      <c r="G21" s="3"/>
      <c r="H21" s="3"/>
      <c r="I21" s="4"/>
      <c r="J21" s="222" t="s">
        <v>156</v>
      </c>
      <c r="K21" s="223">
        <f>+PROYECTOS!E20</f>
        <v>32227.19</v>
      </c>
    </row>
    <row r="22" spans="3:11" x14ac:dyDescent="0.25">
      <c r="C22" s="222" t="s">
        <v>192</v>
      </c>
      <c r="D22" s="223">
        <f>+'ACCESO A LA INF PUBLICA'!D20</f>
        <v>471.46000000000004</v>
      </c>
      <c r="E22" s="2"/>
      <c r="F22" s="3"/>
      <c r="G22" s="3"/>
      <c r="H22" s="3"/>
      <c r="I22" s="4"/>
      <c r="J22" s="222" t="s">
        <v>192</v>
      </c>
      <c r="K22" s="223">
        <f>+'ACCESO A LA INF PUBLICA'!E20</f>
        <v>0</v>
      </c>
    </row>
    <row r="23" spans="3:11" x14ac:dyDescent="0.25">
      <c r="C23" s="222" t="s">
        <v>193</v>
      </c>
      <c r="D23" s="223">
        <f>+'DESARROLLO TEC.'!D20</f>
        <v>2550</v>
      </c>
      <c r="E23" s="2"/>
      <c r="F23" s="3"/>
      <c r="G23" s="3"/>
      <c r="H23" s="3"/>
      <c r="I23" s="4"/>
      <c r="J23" s="222" t="s">
        <v>193</v>
      </c>
      <c r="K23" s="223">
        <f>+'DESARROLLO TEC.'!E20</f>
        <v>2000</v>
      </c>
    </row>
    <row r="24" spans="3:11" x14ac:dyDescent="0.25">
      <c r="C24" s="222" t="s">
        <v>159</v>
      </c>
      <c r="D24" s="223">
        <f>+COMUNICACIONES!D20</f>
        <v>11725.15</v>
      </c>
      <c r="E24" s="2"/>
      <c r="F24" s="3"/>
      <c r="G24" s="3"/>
      <c r="H24" s="3"/>
      <c r="I24" s="4"/>
      <c r="J24" s="222" t="s">
        <v>159</v>
      </c>
      <c r="K24" s="223">
        <f>+COMUNICACIONES!E20</f>
        <v>0</v>
      </c>
    </row>
    <row r="25" spans="3:11" x14ac:dyDescent="0.25">
      <c r="C25" s="222" t="s">
        <v>160</v>
      </c>
      <c r="D25" s="223">
        <f>+CAM!D21</f>
        <v>15120</v>
      </c>
      <c r="E25" s="2"/>
      <c r="F25" s="3"/>
      <c r="G25" s="3"/>
      <c r="H25" s="3"/>
      <c r="I25" s="4"/>
      <c r="J25" s="222" t="s">
        <v>160</v>
      </c>
      <c r="K25" s="223">
        <f>+CAM!E21</f>
        <v>7660</v>
      </c>
    </row>
    <row r="26" spans="3:11" x14ac:dyDescent="0.25">
      <c r="C26" s="222" t="s">
        <v>161</v>
      </c>
      <c r="D26" s="223">
        <f>+DHI!D20</f>
        <v>11600</v>
      </c>
      <c r="E26" s="2"/>
      <c r="F26" s="3"/>
      <c r="G26" s="3"/>
      <c r="H26" s="3"/>
      <c r="I26" s="4"/>
      <c r="J26" s="222" t="s">
        <v>161</v>
      </c>
      <c r="K26" s="223">
        <f>+DHI!E20</f>
        <v>0</v>
      </c>
    </row>
    <row r="27" spans="3:11" x14ac:dyDescent="0.25">
      <c r="C27" s="222" t="s">
        <v>162</v>
      </c>
      <c r="D27" s="223">
        <f>+SG!D21</f>
        <v>140872.83000000002</v>
      </c>
      <c r="E27" s="2"/>
      <c r="F27" s="3"/>
      <c r="G27" s="3"/>
      <c r="H27" s="3"/>
      <c r="I27" s="4"/>
      <c r="J27" s="222" t="s">
        <v>162</v>
      </c>
      <c r="K27" s="223">
        <f>+SG!E21</f>
        <v>165591.16</v>
      </c>
    </row>
    <row r="28" spans="3:11" x14ac:dyDescent="0.25">
      <c r="C28" s="222" t="s">
        <v>163</v>
      </c>
      <c r="D28" s="223">
        <f>+'MEDIO AMBIENTE'!D20</f>
        <v>3424</v>
      </c>
      <c r="E28" s="2"/>
      <c r="F28" s="3"/>
      <c r="G28" s="3"/>
      <c r="H28" s="3"/>
      <c r="I28" s="4"/>
      <c r="J28" s="222" t="s">
        <v>163</v>
      </c>
      <c r="K28" s="223">
        <f>+'MEDIO AMBIENTE'!E20</f>
        <v>2361</v>
      </c>
    </row>
    <row r="29" spans="3:11" x14ac:dyDescent="0.25">
      <c r="C29" s="222" t="s">
        <v>164</v>
      </c>
      <c r="D29" s="223">
        <f>+'GESTION DE RIESGO'!D21</f>
        <v>18950</v>
      </c>
      <c r="E29" s="2"/>
      <c r="F29" s="3"/>
      <c r="G29" s="3"/>
      <c r="H29" s="3"/>
      <c r="I29" s="4"/>
      <c r="J29" s="222" t="s">
        <v>164</v>
      </c>
      <c r="K29" s="223">
        <f>+'GESTION DE RIESGO'!E21</f>
        <v>5733.8099999999995</v>
      </c>
    </row>
    <row r="30" spans="3:11" x14ac:dyDescent="0.25">
      <c r="C30" s="222" t="s">
        <v>165</v>
      </c>
      <c r="D30" s="223">
        <f>+UDEL!D20</f>
        <v>1200</v>
      </c>
      <c r="E30" s="2"/>
      <c r="F30" s="3"/>
      <c r="G30" s="3"/>
      <c r="H30" s="3"/>
      <c r="I30" s="4"/>
      <c r="J30" s="222" t="s">
        <v>165</v>
      </c>
      <c r="K30" s="223">
        <f>+UDEL!E20</f>
        <v>0</v>
      </c>
    </row>
    <row r="31" spans="3:11" x14ac:dyDescent="0.25">
      <c r="C31" s="222" t="s">
        <v>194</v>
      </c>
      <c r="D31" s="223">
        <f>+'PROMOCION SOCIAL'!D20</f>
        <v>19290</v>
      </c>
      <c r="E31" s="2"/>
      <c r="F31" s="3"/>
      <c r="G31" s="3"/>
      <c r="H31" s="3"/>
      <c r="I31" s="4"/>
      <c r="J31" s="222" t="s">
        <v>194</v>
      </c>
      <c r="K31" s="223">
        <f>+'PROMOCION SOCIAL'!E20</f>
        <v>6000</v>
      </c>
    </row>
    <row r="32" spans="3:11" x14ac:dyDescent="0.25">
      <c r="C32" s="222" t="s">
        <v>185</v>
      </c>
      <c r="D32" s="223">
        <f>+'GESTION Y COOPERACION'!D21</f>
        <v>3175</v>
      </c>
      <c r="E32" s="2"/>
      <c r="F32" s="3"/>
      <c r="G32" s="3"/>
      <c r="H32" s="3"/>
      <c r="I32" s="4"/>
      <c r="J32" s="222" t="s">
        <v>185</v>
      </c>
      <c r="K32" s="223">
        <f>+'GESTION Y COOPERACION'!E21</f>
        <v>0</v>
      </c>
    </row>
    <row r="33" spans="3:11" x14ac:dyDescent="0.25">
      <c r="C33" s="227" t="s">
        <v>70</v>
      </c>
      <c r="D33" s="228">
        <f>SUM(D4:D32)</f>
        <v>493394.63000000006</v>
      </c>
      <c r="E33" s="229"/>
      <c r="F33" s="230"/>
      <c r="G33" s="230"/>
      <c r="H33" s="230"/>
      <c r="I33" s="231"/>
      <c r="J33" s="227" t="s">
        <v>70</v>
      </c>
      <c r="K33" s="228">
        <f>SUM(K4:K32)</f>
        <v>372018.25</v>
      </c>
    </row>
    <row r="34" spans="3:11" x14ac:dyDescent="0.25">
      <c r="F34" s="232"/>
      <c r="G34" s="232"/>
      <c r="H34" s="232"/>
    </row>
    <row r="35" spans="3:11" x14ac:dyDescent="0.25">
      <c r="F35" s="232"/>
      <c r="G35" s="232"/>
      <c r="H35" s="232"/>
    </row>
    <row r="36" spans="3:11" x14ac:dyDescent="0.25">
      <c r="C36" s="411" t="s">
        <v>195</v>
      </c>
      <c r="D36" s="411"/>
      <c r="F36" s="232"/>
      <c r="G36" s="232"/>
      <c r="H36" s="232"/>
      <c r="J36" s="411" t="s">
        <v>196</v>
      </c>
      <c r="K36" s="411"/>
    </row>
    <row r="37" spans="3:11" ht="30" x14ac:dyDescent="0.25">
      <c r="C37" s="182" t="s">
        <v>188</v>
      </c>
      <c r="D37" s="182" t="s">
        <v>200</v>
      </c>
      <c r="F37" s="232"/>
      <c r="G37" s="232"/>
      <c r="H37" s="232"/>
      <c r="J37" s="182" t="s">
        <v>188</v>
      </c>
      <c r="K37" s="182" t="s">
        <v>201</v>
      </c>
    </row>
    <row r="38" spans="3:11" x14ac:dyDescent="0.25">
      <c r="C38" s="233" t="s">
        <v>139</v>
      </c>
      <c r="D38" s="234">
        <f>+'CONCEJO MPAL'!D45</f>
        <v>31278</v>
      </c>
      <c r="F38" s="232"/>
      <c r="G38" s="232"/>
      <c r="H38" s="232"/>
      <c r="J38" s="233" t="s">
        <v>139</v>
      </c>
      <c r="K38" s="234">
        <f>+'CONCEJO MPAL'!E45</f>
        <v>0</v>
      </c>
    </row>
    <row r="39" spans="3:11" x14ac:dyDescent="0.25">
      <c r="C39" s="233" t="s">
        <v>149</v>
      </c>
      <c r="D39" s="197">
        <f>+TESORERIA!D31</f>
        <v>900</v>
      </c>
      <c r="F39" s="232"/>
      <c r="G39" s="232"/>
      <c r="H39" s="232"/>
      <c r="J39" s="233" t="s">
        <v>149</v>
      </c>
      <c r="K39" s="197">
        <f>+TESORERIA!E31</f>
        <v>200</v>
      </c>
    </row>
    <row r="40" spans="3:11" x14ac:dyDescent="0.25">
      <c r="C40" s="233" t="s">
        <v>150</v>
      </c>
      <c r="D40" s="197">
        <f>+UATM!D30</f>
        <v>14000</v>
      </c>
      <c r="F40" s="232"/>
      <c r="G40" s="232"/>
      <c r="H40" s="232"/>
      <c r="J40" s="233" t="s">
        <v>150</v>
      </c>
      <c r="K40" s="197">
        <f>+UATM!E30</f>
        <v>0</v>
      </c>
    </row>
    <row r="41" spans="3:11" x14ac:dyDescent="0.25">
      <c r="C41" s="227" t="s">
        <v>70</v>
      </c>
      <c r="D41" s="228">
        <f>SUM(D38:D40)</f>
        <v>46178</v>
      </c>
      <c r="F41" s="232"/>
      <c r="G41" s="232"/>
      <c r="H41" s="232"/>
      <c r="J41" s="235" t="s">
        <v>70</v>
      </c>
      <c r="K41" s="223">
        <f>SUM(K38:K40)</f>
        <v>200</v>
      </c>
    </row>
    <row r="42" spans="3:11" x14ac:dyDescent="0.25">
      <c r="F42" s="232"/>
      <c r="G42" s="232"/>
      <c r="H42" s="232"/>
    </row>
    <row r="43" spans="3:11" x14ac:dyDescent="0.25">
      <c r="F43" s="232"/>
      <c r="G43" s="232"/>
      <c r="H43" s="232"/>
    </row>
    <row r="44" spans="3:11" ht="30" customHeight="1" x14ac:dyDescent="0.25">
      <c r="C44" s="411" t="s">
        <v>197</v>
      </c>
      <c r="D44" s="411"/>
      <c r="F44" s="232"/>
      <c r="G44" s="232"/>
      <c r="H44" s="232"/>
      <c r="J44" s="409" t="s">
        <v>197</v>
      </c>
      <c r="K44" s="409"/>
    </row>
    <row r="45" spans="3:11" ht="30" x14ac:dyDescent="0.25">
      <c r="C45" s="182" t="s">
        <v>188</v>
      </c>
      <c r="D45" s="182" t="s">
        <v>200</v>
      </c>
      <c r="F45" s="232"/>
      <c r="G45" s="232"/>
      <c r="H45" s="232"/>
      <c r="J45" s="182" t="s">
        <v>188</v>
      </c>
      <c r="K45" s="182" t="s">
        <v>201</v>
      </c>
    </row>
    <row r="46" spans="3:11" x14ac:dyDescent="0.25">
      <c r="C46" s="233" t="s">
        <v>139</v>
      </c>
      <c r="D46" s="234">
        <f>+'CONCEJO MPAL'!D49</f>
        <v>1500</v>
      </c>
      <c r="F46" s="232"/>
      <c r="G46" s="232"/>
      <c r="H46" s="232"/>
      <c r="J46" s="233" t="s">
        <v>139</v>
      </c>
      <c r="K46" s="234">
        <f>+'CONCEJO MPAL'!E49</f>
        <v>5700</v>
      </c>
    </row>
    <row r="47" spans="3:11" x14ac:dyDescent="0.25">
      <c r="C47" s="233"/>
      <c r="D47" s="197"/>
      <c r="F47" s="232"/>
      <c r="G47" s="232"/>
      <c r="H47" s="232"/>
      <c r="J47" s="233"/>
      <c r="K47" s="197"/>
    </row>
    <row r="48" spans="3:11" x14ac:dyDescent="0.25">
      <c r="C48" s="227" t="s">
        <v>70</v>
      </c>
      <c r="D48" s="228">
        <f>SUM(D46:D47)</f>
        <v>1500</v>
      </c>
      <c r="F48" s="232"/>
      <c r="G48" s="232"/>
      <c r="H48" s="232"/>
      <c r="J48" s="235" t="s">
        <v>70</v>
      </c>
      <c r="K48" s="223">
        <f>SUM(K46:K47)</f>
        <v>5700</v>
      </c>
    </row>
    <row r="49" spans="3:11" x14ac:dyDescent="0.25">
      <c r="F49" s="232"/>
      <c r="G49" s="232"/>
      <c r="H49" s="232"/>
    </row>
    <row r="50" spans="3:11" x14ac:dyDescent="0.25">
      <c r="F50" s="232"/>
      <c r="G50" s="232"/>
      <c r="H50" s="232"/>
    </row>
    <row r="52" spans="3:11" ht="30" customHeight="1" x14ac:dyDescent="0.25">
      <c r="C52" s="409" t="s">
        <v>198</v>
      </c>
      <c r="D52" s="409"/>
      <c r="E52" s="232"/>
      <c r="F52" s="232"/>
      <c r="G52" s="232"/>
      <c r="H52" s="232"/>
      <c r="I52" s="232"/>
      <c r="J52" s="409" t="s">
        <v>199</v>
      </c>
      <c r="K52" s="409"/>
    </row>
    <row r="53" spans="3:11" ht="30" x14ac:dyDescent="0.25">
      <c r="C53" s="182" t="s">
        <v>188</v>
      </c>
      <c r="D53" s="182" t="s">
        <v>200</v>
      </c>
      <c r="E53" s="236"/>
      <c r="F53" s="221"/>
      <c r="G53" s="221"/>
      <c r="H53" s="221"/>
      <c r="I53" s="237"/>
      <c r="J53" s="182" t="s">
        <v>188</v>
      </c>
      <c r="K53" s="182" t="s">
        <v>201</v>
      </c>
    </row>
    <row r="54" spans="3:11" x14ac:dyDescent="0.25">
      <c r="C54" s="222" t="s">
        <v>139</v>
      </c>
      <c r="D54" s="234">
        <f>+'CONCEJO MPAL'!D56</f>
        <v>2800</v>
      </c>
      <c r="E54" s="224"/>
      <c r="F54" s="225"/>
      <c r="G54" s="225"/>
      <c r="H54" s="225"/>
      <c r="I54" s="226"/>
      <c r="J54" s="222" t="s">
        <v>139</v>
      </c>
      <c r="K54" s="197">
        <f>+'CONCEJO MPAL'!E56</f>
        <v>0</v>
      </c>
    </row>
    <row r="55" spans="3:11" x14ac:dyDescent="0.25">
      <c r="C55" s="222" t="s">
        <v>140</v>
      </c>
      <c r="D55" s="197">
        <f>+DESPACHO!D49</f>
        <v>0</v>
      </c>
      <c r="E55" s="2"/>
      <c r="F55" s="3"/>
      <c r="G55" s="3"/>
      <c r="H55" s="3"/>
      <c r="I55" s="4"/>
      <c r="J55" s="222" t="s">
        <v>140</v>
      </c>
      <c r="K55" s="197">
        <f>+DESPACHO!E49</f>
        <v>4000</v>
      </c>
    </row>
    <row r="56" spans="3:11" x14ac:dyDescent="0.25">
      <c r="C56" s="222" t="s">
        <v>141</v>
      </c>
      <c r="D56" s="197">
        <f>+SINDICATURA!D25</f>
        <v>500</v>
      </c>
      <c r="E56" s="2"/>
      <c r="F56" s="3"/>
      <c r="G56" s="3"/>
      <c r="H56" s="3"/>
      <c r="I56" s="4"/>
      <c r="J56" s="222" t="s">
        <v>141</v>
      </c>
      <c r="K56" s="197">
        <f>+SINDICATURA!E25</f>
        <v>0</v>
      </c>
    </row>
    <row r="57" spans="3:11" x14ac:dyDescent="0.25">
      <c r="C57" s="222" t="s">
        <v>174</v>
      </c>
      <c r="D57" s="197">
        <f>+SECRETARIA!D27</f>
        <v>350</v>
      </c>
      <c r="E57" s="2"/>
      <c r="F57" s="3"/>
      <c r="G57" s="3"/>
      <c r="H57" s="3"/>
      <c r="I57" s="4"/>
      <c r="J57" s="222" t="s">
        <v>174</v>
      </c>
      <c r="K57" s="197">
        <f>+SECRETARIA!E27</f>
        <v>2000</v>
      </c>
    </row>
    <row r="58" spans="3:11" x14ac:dyDescent="0.25">
      <c r="C58" s="222" t="s">
        <v>143</v>
      </c>
      <c r="D58" s="197">
        <f>+JURIDICO!D28</f>
        <v>650</v>
      </c>
      <c r="E58" s="2"/>
      <c r="F58" s="3"/>
      <c r="G58" s="3"/>
      <c r="H58" s="3"/>
      <c r="I58" s="4"/>
      <c r="J58" s="222" t="s">
        <v>143</v>
      </c>
      <c r="K58" s="197">
        <f>+JURIDICO!E28</f>
        <v>0</v>
      </c>
    </row>
    <row r="59" spans="3:11" x14ac:dyDescent="0.25">
      <c r="C59" s="222" t="s">
        <v>144</v>
      </c>
      <c r="D59" s="197">
        <f>+GERENCIA!D32</f>
        <v>200</v>
      </c>
      <c r="E59" s="2"/>
      <c r="F59" s="3"/>
      <c r="G59" s="3"/>
      <c r="H59" s="3"/>
      <c r="I59" s="4"/>
      <c r="J59" s="222" t="s">
        <v>144</v>
      </c>
      <c r="K59" s="197">
        <f>+GERENCIA!E32</f>
        <v>0</v>
      </c>
    </row>
    <row r="60" spans="3:11" x14ac:dyDescent="0.25">
      <c r="C60" s="222" t="s">
        <v>145</v>
      </c>
      <c r="D60" s="197">
        <f>+AUDITORIA!D31</f>
        <v>500</v>
      </c>
      <c r="E60" s="2"/>
      <c r="F60" s="3"/>
      <c r="G60" s="3"/>
      <c r="H60" s="3"/>
      <c r="I60" s="4"/>
      <c r="J60" s="222" t="s">
        <v>145</v>
      </c>
      <c r="K60" s="197">
        <f>+AUDITORIA!E31</f>
        <v>0</v>
      </c>
    </row>
    <row r="61" spans="3:11" x14ac:dyDescent="0.25">
      <c r="C61" s="222" t="s">
        <v>146</v>
      </c>
      <c r="D61" s="197">
        <f>+RRHH!D33</f>
        <v>1320</v>
      </c>
      <c r="E61" s="2"/>
      <c r="F61" s="3"/>
      <c r="G61" s="3"/>
      <c r="H61" s="3"/>
      <c r="I61" s="4"/>
      <c r="J61" s="222" t="s">
        <v>146</v>
      </c>
      <c r="K61" s="197">
        <f>+RRHH!E33</f>
        <v>0</v>
      </c>
    </row>
    <row r="62" spans="3:11" x14ac:dyDescent="0.25">
      <c r="C62" s="222" t="s">
        <v>148</v>
      </c>
      <c r="D62" s="197">
        <f>+PRESUPUESTO!D24</f>
        <v>1200</v>
      </c>
      <c r="E62" s="2"/>
      <c r="F62" s="3"/>
      <c r="G62" s="3"/>
      <c r="H62" s="3"/>
      <c r="I62" s="4"/>
      <c r="J62" s="222" t="s">
        <v>382</v>
      </c>
      <c r="K62" s="197">
        <f>+PRESUPUESTO!E24</f>
        <v>0</v>
      </c>
    </row>
    <row r="63" spans="3:11" x14ac:dyDescent="0.25">
      <c r="C63" s="222" t="s">
        <v>147</v>
      </c>
      <c r="D63" s="197">
        <f>+CONTABILIDAD!D26</f>
        <v>150</v>
      </c>
      <c r="E63" s="2"/>
      <c r="F63" s="3"/>
      <c r="G63" s="3"/>
      <c r="H63" s="3"/>
      <c r="I63" s="4"/>
      <c r="J63" s="222" t="s">
        <v>147</v>
      </c>
      <c r="K63" s="197">
        <f>+CONTABILIDAD!E26</f>
        <v>0</v>
      </c>
    </row>
    <row r="64" spans="3:11" x14ac:dyDescent="0.25">
      <c r="C64" s="222" t="s">
        <v>150</v>
      </c>
      <c r="D64" s="197">
        <f>+UATM!D33</f>
        <v>1100</v>
      </c>
      <c r="E64" s="2"/>
      <c r="F64" s="3"/>
      <c r="G64" s="3"/>
      <c r="H64" s="3"/>
      <c r="I64" s="4"/>
      <c r="J64" s="222" t="s">
        <v>150</v>
      </c>
      <c r="K64" s="197">
        <f>+UATM!E33</f>
        <v>0</v>
      </c>
    </row>
    <row r="65" spans="3:11" x14ac:dyDescent="0.25">
      <c r="C65" s="222" t="s">
        <v>151</v>
      </c>
      <c r="D65" s="197">
        <f>+UACI!D27</f>
        <v>1100</v>
      </c>
      <c r="E65" s="2"/>
      <c r="F65" s="3"/>
      <c r="G65" s="3"/>
      <c r="H65" s="3"/>
      <c r="I65" s="4"/>
      <c r="J65" s="222" t="s">
        <v>151</v>
      </c>
      <c r="K65" s="197">
        <f>+UACI!E27</f>
        <v>0</v>
      </c>
    </row>
    <row r="66" spans="3:11" x14ac:dyDescent="0.25">
      <c r="C66" s="222" t="s">
        <v>190</v>
      </c>
      <c r="D66" s="197">
        <f>+'REGISTRO FAM'!D30</f>
        <v>800</v>
      </c>
      <c r="E66" s="2"/>
      <c r="F66" s="3"/>
      <c r="G66" s="3"/>
      <c r="H66" s="3"/>
      <c r="I66" s="4"/>
      <c r="J66" s="222" t="s">
        <v>190</v>
      </c>
      <c r="K66" s="197">
        <f>+'REGISTRO FAM'!E30</f>
        <v>0</v>
      </c>
    </row>
    <row r="67" spans="3:11" x14ac:dyDescent="0.25">
      <c r="C67" s="222" t="s">
        <v>179</v>
      </c>
      <c r="D67" s="197">
        <f>+DISTRITO!D39</f>
        <v>450</v>
      </c>
      <c r="E67" s="2"/>
      <c r="F67" s="3"/>
      <c r="G67" s="3"/>
      <c r="H67" s="3"/>
      <c r="I67" s="4"/>
      <c r="J67" s="222" t="s">
        <v>179</v>
      </c>
      <c r="K67" s="197">
        <f>+DISTRITO!E39</f>
        <v>0</v>
      </c>
    </row>
    <row r="68" spans="3:11" x14ac:dyDescent="0.25">
      <c r="C68" s="222" t="s">
        <v>156</v>
      </c>
      <c r="D68" s="197">
        <f>+PROYECTOS!D34</f>
        <v>1000</v>
      </c>
      <c r="E68" s="2"/>
      <c r="F68" s="3"/>
      <c r="G68" s="3"/>
      <c r="H68" s="3"/>
      <c r="I68" s="4"/>
      <c r="J68" s="222" t="s">
        <v>156</v>
      </c>
      <c r="K68" s="197">
        <f>+PROYECTOS!E34</f>
        <v>0</v>
      </c>
    </row>
    <row r="69" spans="3:11" x14ac:dyDescent="0.25">
      <c r="C69" s="222" t="s">
        <v>192</v>
      </c>
      <c r="D69" s="197">
        <f>+'ACCESO A LA INF PUBLICA'!D29</f>
        <v>100</v>
      </c>
      <c r="E69" s="2"/>
      <c r="F69" s="3"/>
      <c r="G69" s="3"/>
      <c r="H69" s="3"/>
      <c r="I69" s="4"/>
      <c r="J69" s="222" t="s">
        <v>192</v>
      </c>
      <c r="K69" s="197">
        <f>+'ACCESO A LA INF PUBLICA'!E29</f>
        <v>0</v>
      </c>
    </row>
    <row r="70" spans="3:11" x14ac:dyDescent="0.25">
      <c r="C70" s="222" t="s">
        <v>193</v>
      </c>
      <c r="D70" s="197">
        <f>+'DESARROLLO TEC.'!D31</f>
        <v>1200</v>
      </c>
      <c r="E70" s="2"/>
      <c r="F70" s="3"/>
      <c r="G70" s="3"/>
      <c r="H70" s="3"/>
      <c r="I70" s="4"/>
      <c r="J70" s="222" t="s">
        <v>193</v>
      </c>
      <c r="K70" s="197">
        <f>+'DESARROLLO TEC.'!E31</f>
        <v>0</v>
      </c>
    </row>
    <row r="71" spans="3:11" x14ac:dyDescent="0.25">
      <c r="C71" s="222" t="s">
        <v>159</v>
      </c>
      <c r="D71" s="197">
        <f>+COMUNICACIONES!D29</f>
        <v>1580</v>
      </c>
      <c r="E71" s="2"/>
      <c r="F71" s="3"/>
      <c r="G71" s="3"/>
      <c r="H71" s="3"/>
      <c r="I71" s="4"/>
      <c r="J71" s="222" t="s">
        <v>159</v>
      </c>
      <c r="K71" s="197">
        <f>+COMUNICACIONES!E29</f>
        <v>0</v>
      </c>
    </row>
    <row r="72" spans="3:11" x14ac:dyDescent="0.25">
      <c r="C72" s="222" t="s">
        <v>160</v>
      </c>
      <c r="D72" s="197">
        <f>+CAM!D33</f>
        <v>290</v>
      </c>
      <c r="E72" s="2"/>
      <c r="F72" s="3"/>
      <c r="G72" s="3"/>
      <c r="H72" s="3"/>
      <c r="I72" s="4"/>
      <c r="J72" s="222" t="s">
        <v>160</v>
      </c>
      <c r="K72" s="197">
        <f>+CAM!E33</f>
        <v>0</v>
      </c>
    </row>
    <row r="73" spans="3:11" x14ac:dyDescent="0.25">
      <c r="C73" s="222" t="s">
        <v>161</v>
      </c>
      <c r="D73" s="197">
        <f>+DHI!D34</f>
        <v>1500</v>
      </c>
      <c r="E73" s="2"/>
      <c r="F73" s="3"/>
      <c r="G73" s="3"/>
      <c r="H73" s="3"/>
      <c r="I73" s="4"/>
      <c r="J73" s="222" t="s">
        <v>161</v>
      </c>
      <c r="K73" s="197">
        <f>+DHI!E34</f>
        <v>0</v>
      </c>
    </row>
    <row r="74" spans="3:11" x14ac:dyDescent="0.25">
      <c r="C74" s="222" t="s">
        <v>163</v>
      </c>
      <c r="D74" s="197">
        <f>+'MEDIO AMBIENTE'!D35</f>
        <v>150</v>
      </c>
      <c r="E74" s="2"/>
      <c r="F74" s="3"/>
      <c r="G74" s="3"/>
      <c r="H74" s="3"/>
      <c r="I74" s="4"/>
      <c r="J74" s="222" t="s">
        <v>163</v>
      </c>
      <c r="K74" s="197">
        <f>+'MEDIO AMBIENTE'!E35</f>
        <v>0</v>
      </c>
    </row>
    <row r="75" spans="3:11" x14ac:dyDescent="0.25">
      <c r="C75" s="222" t="s">
        <v>194</v>
      </c>
      <c r="D75" s="197">
        <f>+'PROMOCION SOCIAL'!D32</f>
        <v>0</v>
      </c>
      <c r="E75" s="2"/>
      <c r="F75" s="3"/>
      <c r="G75" s="3"/>
      <c r="H75" s="3"/>
      <c r="I75" s="4"/>
      <c r="J75" s="222" t="s">
        <v>194</v>
      </c>
      <c r="K75" s="197">
        <f>+'PROMOCION SOCIAL'!E32</f>
        <v>800</v>
      </c>
    </row>
    <row r="76" spans="3:11" x14ac:dyDescent="0.25">
      <c r="C76" s="227" t="s">
        <v>70</v>
      </c>
      <c r="D76" s="228">
        <f>SUM(D54:D75)</f>
        <v>16940</v>
      </c>
      <c r="E76" s="229"/>
      <c r="F76" s="230"/>
      <c r="G76" s="230"/>
      <c r="H76" s="230"/>
      <c r="I76" s="231"/>
      <c r="J76" s="182" t="s">
        <v>70</v>
      </c>
      <c r="K76" s="223">
        <f>SUM(K54:K75)</f>
        <v>6800</v>
      </c>
    </row>
    <row r="82" spans="11:11" x14ac:dyDescent="0.25">
      <c r="K82" s="364">
        <f>+K33+K41+K48+K76</f>
        <v>384718.25</v>
      </c>
    </row>
    <row r="83" spans="11:11" x14ac:dyDescent="0.25">
      <c r="K83" s="364">
        <f>+REMUNERACIONES!L37-GASTO!K82</f>
        <v>0</v>
      </c>
    </row>
  </sheetData>
  <mergeCells count="8">
    <mergeCell ref="J52:K52"/>
    <mergeCell ref="C52:D52"/>
    <mergeCell ref="J2:K2"/>
    <mergeCell ref="C2:D2"/>
    <mergeCell ref="C36:D36"/>
    <mergeCell ref="J36:K36"/>
    <mergeCell ref="C44:D44"/>
    <mergeCell ref="J44:K4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5"/>
  <sheetViews>
    <sheetView workbookViewId="0">
      <selection activeCell="C27" sqref="C27"/>
    </sheetView>
  </sheetViews>
  <sheetFormatPr baseColWidth="10" defaultRowHeight="15" x14ac:dyDescent="0.25"/>
  <cols>
    <col min="1" max="1" width="4.140625" style="19" customWidth="1"/>
    <col min="2" max="2" width="6.85546875" style="19" customWidth="1"/>
    <col min="3" max="3" width="51.5703125" style="19" customWidth="1"/>
    <col min="4" max="4" width="20.7109375" style="19" customWidth="1"/>
    <col min="5" max="16384" width="11.42578125" style="19"/>
  </cols>
  <sheetData>
    <row r="2" spans="2:4" x14ac:dyDescent="0.25">
      <c r="B2" s="412" t="s">
        <v>411</v>
      </c>
      <c r="C2" s="413"/>
      <c r="D2" s="414"/>
    </row>
    <row r="3" spans="2:4" ht="15.75" x14ac:dyDescent="0.25">
      <c r="B3" s="20"/>
      <c r="C3" s="21" t="s">
        <v>213</v>
      </c>
      <c r="D3" s="12">
        <f>+'PRESU INGRESOS'!D49</f>
        <v>707422.66</v>
      </c>
    </row>
    <row r="4" spans="2:4" ht="15.75" x14ac:dyDescent="0.25">
      <c r="B4" s="20"/>
      <c r="C4" s="11" t="s">
        <v>214</v>
      </c>
      <c r="D4" s="198">
        <f>+'PRESU INGRESOS'!D62</f>
        <v>6461.82</v>
      </c>
    </row>
    <row r="5" spans="2:4" ht="15.75" x14ac:dyDescent="0.25">
      <c r="B5" s="20"/>
      <c r="C5" s="11" t="s">
        <v>419</v>
      </c>
      <c r="D5" s="12">
        <v>55552.02</v>
      </c>
    </row>
    <row r="6" spans="2:4" ht="18" x14ac:dyDescent="0.25">
      <c r="B6" s="20"/>
      <c r="C6" s="11" t="s">
        <v>203</v>
      </c>
      <c r="D6" s="45">
        <f>SUM(D3:D5)</f>
        <v>769436.5</v>
      </c>
    </row>
    <row r="7" spans="2:4" x14ac:dyDescent="0.25">
      <c r="B7" s="22"/>
      <c r="C7" s="23"/>
      <c r="D7" s="24"/>
    </row>
    <row r="8" spans="2:4" ht="15.75" x14ac:dyDescent="0.25">
      <c r="B8" s="5" t="s">
        <v>204</v>
      </c>
      <c r="C8" s="5" t="s">
        <v>205</v>
      </c>
      <c r="D8" s="5" t="s">
        <v>206</v>
      </c>
    </row>
    <row r="9" spans="2:4" ht="15.75" x14ac:dyDescent="0.25">
      <c r="B9" s="15">
        <v>1</v>
      </c>
      <c r="C9" s="6" t="s">
        <v>207</v>
      </c>
      <c r="D9" s="16">
        <f>+REMUNERACIONES!L34</f>
        <v>384718.25</v>
      </c>
    </row>
    <row r="10" spans="2:4" ht="15.75" x14ac:dyDescent="0.25">
      <c r="B10" s="15">
        <f>B9+1</f>
        <v>2</v>
      </c>
      <c r="C10" s="6" t="s">
        <v>215</v>
      </c>
      <c r="D10" s="16">
        <f>+GASTO!K33</f>
        <v>372018.25</v>
      </c>
    </row>
    <row r="11" spans="2:4" ht="15.75" x14ac:dyDescent="0.25">
      <c r="B11" s="15">
        <v>3</v>
      </c>
      <c r="C11" s="6" t="s">
        <v>209</v>
      </c>
      <c r="D11" s="16">
        <f>+GASTO!K41</f>
        <v>200</v>
      </c>
    </row>
    <row r="12" spans="2:4" ht="15.75" x14ac:dyDescent="0.25">
      <c r="B12" s="15">
        <v>4</v>
      </c>
      <c r="C12" s="6" t="s">
        <v>216</v>
      </c>
      <c r="D12" s="16">
        <f>+GASTO!K48</f>
        <v>5700</v>
      </c>
    </row>
    <row r="13" spans="2:4" ht="15.75" x14ac:dyDescent="0.25">
      <c r="B13" s="15">
        <v>5</v>
      </c>
      <c r="C13" s="6" t="s">
        <v>211</v>
      </c>
      <c r="D13" s="16">
        <f>+GASTO!K76</f>
        <v>6800</v>
      </c>
    </row>
    <row r="14" spans="2:4" ht="15.75" x14ac:dyDescent="0.25">
      <c r="B14" s="15"/>
      <c r="C14" s="6" t="s">
        <v>217</v>
      </c>
      <c r="D14" s="16">
        <f>SUM(D9:D13)</f>
        <v>769436.5</v>
      </c>
    </row>
    <row r="15" spans="2:4" x14ac:dyDescent="0.25">
      <c r="B15" s="25"/>
      <c r="C15" s="26"/>
      <c r="D15" s="27">
        <f>+D6-D14</f>
        <v>0</v>
      </c>
    </row>
  </sheetData>
  <mergeCells count="1">
    <mergeCell ref="B2:D2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D15"/>
  <sheetViews>
    <sheetView workbookViewId="0">
      <selection activeCell="G28" sqref="G28"/>
    </sheetView>
  </sheetViews>
  <sheetFormatPr baseColWidth="10" defaultRowHeight="15" x14ac:dyDescent="0.25"/>
  <cols>
    <col min="1" max="2" width="11.42578125" style="19"/>
    <col min="3" max="3" width="43.7109375" style="19" customWidth="1"/>
    <col min="4" max="4" width="18.140625" style="19" customWidth="1"/>
    <col min="5" max="16384" width="11.42578125" style="19"/>
  </cols>
  <sheetData>
    <row r="2" spans="2:4" ht="15.75" x14ac:dyDescent="0.25">
      <c r="B2" s="415" t="s">
        <v>411</v>
      </c>
      <c r="C2" s="416"/>
      <c r="D2" s="417"/>
    </row>
    <row r="3" spans="2:4" ht="15.75" x14ac:dyDescent="0.25">
      <c r="B3" s="7"/>
      <c r="C3" s="8" t="s">
        <v>383</v>
      </c>
      <c r="D3" s="9">
        <f>+'PRESU INGRESOS'!E48</f>
        <v>1439435.6199999999</v>
      </c>
    </row>
    <row r="4" spans="2:4" ht="15.75" x14ac:dyDescent="0.25">
      <c r="B4" s="10"/>
      <c r="C4" s="11" t="s">
        <v>202</v>
      </c>
      <c r="D4" s="12">
        <f>+'PRESU INGRESOS'!E59+'PRESU INGRESOS'!E58</f>
        <v>22735.360000000001</v>
      </c>
    </row>
    <row r="5" spans="2:4" ht="15.75" x14ac:dyDescent="0.25">
      <c r="B5" s="10"/>
      <c r="C5" s="11" t="s">
        <v>1</v>
      </c>
      <c r="D5" s="12">
        <f>+'PRESU INGRESOS'!E65</f>
        <v>237000</v>
      </c>
    </row>
    <row r="6" spans="2:4" ht="15.75" x14ac:dyDescent="0.25">
      <c r="B6" s="10"/>
      <c r="C6" s="11" t="s">
        <v>203</v>
      </c>
      <c r="D6" s="12">
        <f>SUM(D3:D5)</f>
        <v>1699170.98</v>
      </c>
    </row>
    <row r="7" spans="2:4" ht="15.75" x14ac:dyDescent="0.25">
      <c r="B7" s="13"/>
      <c r="C7" s="14"/>
      <c r="D7" s="13"/>
    </row>
    <row r="8" spans="2:4" ht="15.75" x14ac:dyDescent="0.25">
      <c r="B8" s="5" t="s">
        <v>204</v>
      </c>
      <c r="C8" s="5" t="s">
        <v>205</v>
      </c>
      <c r="D8" s="5" t="s">
        <v>206</v>
      </c>
    </row>
    <row r="9" spans="2:4" ht="15.75" x14ac:dyDescent="0.25">
      <c r="B9" s="15">
        <v>1</v>
      </c>
      <c r="C9" s="6" t="s">
        <v>207</v>
      </c>
      <c r="D9" s="238">
        <f>+REMUNERACIONES!E34</f>
        <v>1141158.3500000001</v>
      </c>
    </row>
    <row r="10" spans="2:4" ht="15.75" x14ac:dyDescent="0.25">
      <c r="B10" s="15">
        <f>B9+1</f>
        <v>2</v>
      </c>
      <c r="C10" s="6" t="s">
        <v>208</v>
      </c>
      <c r="D10" s="16">
        <f>+GASTO!D33</f>
        <v>493394.63000000006</v>
      </c>
    </row>
    <row r="11" spans="2:4" ht="15.75" x14ac:dyDescent="0.25">
      <c r="B11" s="15">
        <v>3</v>
      </c>
      <c r="C11" s="6" t="s">
        <v>209</v>
      </c>
      <c r="D11" s="16">
        <f>+GASTO!D41</f>
        <v>46178</v>
      </c>
    </row>
    <row r="12" spans="2:4" ht="15.75" x14ac:dyDescent="0.25">
      <c r="B12" s="15">
        <v>4</v>
      </c>
      <c r="C12" s="6" t="s">
        <v>210</v>
      </c>
      <c r="D12" s="16">
        <f>+GASTO!D48</f>
        <v>1500</v>
      </c>
    </row>
    <row r="13" spans="2:4" ht="15.75" x14ac:dyDescent="0.25">
      <c r="B13" s="15">
        <v>5</v>
      </c>
      <c r="C13" s="6" t="s">
        <v>211</v>
      </c>
      <c r="D13" s="16">
        <f>+GASTO!D76</f>
        <v>16940</v>
      </c>
    </row>
    <row r="14" spans="2:4" ht="31.5" x14ac:dyDescent="0.25">
      <c r="B14" s="15"/>
      <c r="C14" s="6" t="s">
        <v>212</v>
      </c>
      <c r="D14" s="16">
        <f>SUM(D9:D13)</f>
        <v>1699170.9800000002</v>
      </c>
    </row>
    <row r="15" spans="2:4" ht="15.75" x14ac:dyDescent="0.25">
      <c r="B15" s="17"/>
      <c r="C15" s="18"/>
      <c r="D15" s="366">
        <f>+D6-D14</f>
        <v>0</v>
      </c>
    </row>
  </sheetData>
  <mergeCells count="1">
    <mergeCell ref="B2:D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50</vt:i4>
      </vt:variant>
    </vt:vector>
  </HeadingPairs>
  <TitlesOfParts>
    <vt:vector size="50" baseType="lpstr">
      <vt:lpstr>formato de ingresos</vt:lpstr>
      <vt:lpstr>PRESU INGRESOS</vt:lpstr>
      <vt:lpstr>CONSOLIDADO I Y E</vt:lpstr>
      <vt:lpstr>TOTAL DE I Y G</vt:lpstr>
      <vt:lpstr>GASTO DIF.</vt:lpstr>
      <vt:lpstr>REMUNERACIONES</vt:lpstr>
      <vt:lpstr>GASTO</vt:lpstr>
      <vt:lpstr>FODES 25%</vt:lpstr>
      <vt:lpstr>F.PROPIOS</vt:lpstr>
      <vt:lpstr>FODES 75%</vt:lpstr>
      <vt:lpstr>FODES 2% </vt:lpstr>
      <vt:lpstr>CTA FISDL</vt:lpstr>
      <vt:lpstr>DONACIONES</vt:lpstr>
      <vt:lpstr>CONCEJO Y GESTION Y COOPERACION</vt:lpstr>
      <vt:lpstr>CONCEJO MPAL</vt:lpstr>
      <vt:lpstr>GESTION Y COOPERACION</vt:lpstr>
      <vt:lpstr>DESPACHO</vt:lpstr>
      <vt:lpstr>SINDICATURA</vt:lpstr>
      <vt:lpstr>SECRETARIA</vt:lpstr>
      <vt:lpstr>JURIDICO</vt:lpstr>
      <vt:lpstr>GERENCIA</vt:lpstr>
      <vt:lpstr>AUDITORIA</vt:lpstr>
      <vt:lpstr>RRHH</vt:lpstr>
      <vt:lpstr>UFI</vt:lpstr>
      <vt:lpstr>PRESUPUESTO</vt:lpstr>
      <vt:lpstr>TESORERIA</vt:lpstr>
      <vt:lpstr>CONTABILIDAD</vt:lpstr>
      <vt:lpstr>UATM</vt:lpstr>
      <vt:lpstr>UACI</vt:lpstr>
      <vt:lpstr>MERCADO</vt:lpstr>
      <vt:lpstr>REGISTRO FAM</vt:lpstr>
      <vt:lpstr>CEMENTERIO</vt:lpstr>
      <vt:lpstr>DISTRITO</vt:lpstr>
      <vt:lpstr>PROYECTOS</vt:lpstr>
      <vt:lpstr>ACCESO A LA INF PUBLICA</vt:lpstr>
      <vt:lpstr>DESARROLLO TEC.</vt:lpstr>
      <vt:lpstr>COMUNICACIONES</vt:lpstr>
      <vt:lpstr>CAM</vt:lpstr>
      <vt:lpstr>DHI</vt:lpstr>
      <vt:lpstr>SG</vt:lpstr>
      <vt:lpstr>MED. AMBIENTE Y GESTION DE RIES</vt:lpstr>
      <vt:lpstr>MEDIO AMBIENTE</vt:lpstr>
      <vt:lpstr>GESTION DE RIESGO</vt:lpstr>
      <vt:lpstr>UDEL</vt:lpstr>
      <vt:lpstr>PROMOCION SOCIAL</vt:lpstr>
      <vt:lpstr>FODES 75% + 2%</vt:lpstr>
      <vt:lpstr>FODES 75% GASTO</vt:lpstr>
      <vt:lpstr>FODES 2% GASTO</vt:lpstr>
      <vt:lpstr>GASTO FISDL</vt:lpstr>
      <vt:lpstr>GASTO DONACION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PC7</cp:lastModifiedBy>
  <cp:lastPrinted>2019-06-25T19:46:17Z</cp:lastPrinted>
  <dcterms:created xsi:type="dcterms:W3CDTF">2018-12-13T14:39:46Z</dcterms:created>
  <dcterms:modified xsi:type="dcterms:W3CDTF">2020-07-24T14:24:20Z</dcterms:modified>
</cp:coreProperties>
</file>