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C7\Desktop\UAIP 2020\Portal 2020\18-03-2020 INFO\Información Oficiosa-JULIO2019\Presupuesto\"/>
    </mc:Choice>
  </mc:AlternateContent>
  <xr:revisionPtr revIDLastSave="0" documentId="13_ncr:1_{AD904BFD-19EC-4787-8DAF-1BFDBF23C8F5}" xr6:coauthVersionLast="45" xr6:coauthVersionMax="45" xr10:uidLastSave="{00000000-0000-0000-0000-000000000000}"/>
  <bookViews>
    <workbookView xWindow="-120" yWindow="-120" windowWidth="20730" windowHeight="11160" tabRatio="872" activeTab="2" xr2:uid="{00000000-000D-0000-FFFF-FFFF00000000}"/>
  </bookViews>
  <sheets>
    <sheet name="formato de ingresos" sheetId="1" r:id="rId1"/>
    <sheet name="PRESU INGRESOS" sheetId="2" r:id="rId2"/>
    <sheet name="CONSOLIDADO I Y E" sheetId="3" r:id="rId3"/>
    <sheet name="TOTAL DE I Y G" sheetId="4" r:id="rId4"/>
    <sheet name="GASTO DIF." sheetId="5" r:id="rId5"/>
    <sheet name="REMUNERACIONES" sheetId="6" r:id="rId6"/>
    <sheet name="GASTO" sheetId="7" r:id="rId7"/>
    <sheet name="F.PROPIOS" sheetId="8" r:id="rId8"/>
    <sheet name="FODES 25%" sheetId="9" r:id="rId9"/>
    <sheet name="FODES 75%" sheetId="10" r:id="rId10"/>
    <sheet name="CTA FISDL" sheetId="45" r:id="rId11"/>
    <sheet name="DONACIONES" sheetId="46" r:id="rId12"/>
    <sheet name="CONCEJO Y GESTION Y COOPERACION" sheetId="11" r:id="rId13"/>
    <sheet name="CONCEJO MPAL" sheetId="12" r:id="rId14"/>
    <sheet name="GESTION Y COOPERACION" sheetId="13" r:id="rId15"/>
    <sheet name="DESPACHO" sheetId="14" r:id="rId16"/>
    <sheet name="SINDICATURA" sheetId="15" r:id="rId17"/>
    <sheet name="SECRETARIA" sheetId="16" r:id="rId18"/>
    <sheet name="JURIDICO" sheetId="18" r:id="rId19"/>
    <sheet name="GERENCIA" sheetId="19" r:id="rId20"/>
    <sheet name="AUDITORIA" sheetId="20" r:id="rId21"/>
    <sheet name="RRHH" sheetId="21" r:id="rId22"/>
    <sheet name="UFI" sheetId="22" r:id="rId23"/>
    <sheet name="PRESUPUESTO" sheetId="23" r:id="rId24"/>
    <sheet name="TESORERIA" sheetId="24" r:id="rId25"/>
    <sheet name="CONTABILIDAD" sheetId="25" r:id="rId26"/>
    <sheet name="UATM" sheetId="26" r:id="rId27"/>
    <sheet name="UACI" sheetId="27" r:id="rId28"/>
    <sheet name="MERCADO" sheetId="28" r:id="rId29"/>
    <sheet name="REGISTRO FAM" sheetId="29" r:id="rId30"/>
    <sheet name="CEMENTERIO" sheetId="30" r:id="rId31"/>
    <sheet name="DISTRITO" sheetId="31" r:id="rId32"/>
    <sheet name="PROYECTOS" sheetId="32" r:id="rId33"/>
    <sheet name="ACCESO A LA INF PUBLICA" sheetId="33" r:id="rId34"/>
    <sheet name="DESARROLLO TEC." sheetId="34" r:id="rId35"/>
    <sheet name="COMUNICACIONES" sheetId="35" r:id="rId36"/>
    <sheet name="CAM" sheetId="36" r:id="rId37"/>
    <sheet name="DHI" sheetId="37" r:id="rId38"/>
    <sheet name="SG" sheetId="38" r:id="rId39"/>
    <sheet name="MED. AMBIENTE Y GESTION DE RIES" sheetId="39" r:id="rId40"/>
    <sheet name="MEDIO AMBIENTE" sheetId="40" r:id="rId41"/>
    <sheet name="GESTION DE RIESGO" sheetId="41" r:id="rId42"/>
    <sheet name="UDEL" sheetId="42" r:id="rId43"/>
    <sheet name="PROMOCION SOCIAL" sheetId="43" r:id="rId44"/>
    <sheet name="FODES 75% GASTO" sheetId="44" r:id="rId45"/>
    <sheet name="GASTO FISDL" sheetId="47" r:id="rId46"/>
    <sheet name="GASTO DONACION" sheetId="48" r:id="rId4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E38" i="26" l="1"/>
  <c r="E28" i="26"/>
  <c r="E20" i="26"/>
  <c r="E12" i="26"/>
  <c r="E47" i="26"/>
  <c r="D47" i="26"/>
  <c r="E59" i="2" l="1"/>
  <c r="C16" i="3" l="1"/>
  <c r="C10" i="3"/>
  <c r="E52" i="2"/>
  <c r="D33" i="47"/>
  <c r="D4" i="8"/>
  <c r="D59" i="2"/>
  <c r="F18" i="32"/>
  <c r="D16" i="32"/>
  <c r="F16" i="32" s="1"/>
  <c r="D35" i="32" l="1"/>
  <c r="D24" i="32"/>
  <c r="D23" i="32" l="1"/>
  <c r="D21" i="7" s="1"/>
  <c r="D48" i="32"/>
  <c r="F25" i="32"/>
  <c r="E54" i="14" l="1"/>
  <c r="E50" i="14"/>
  <c r="E47" i="14"/>
  <c r="E36" i="14"/>
  <c r="E22" i="14"/>
  <c r="E13" i="43"/>
  <c r="E34" i="41"/>
  <c r="E22" i="41"/>
  <c r="E41" i="38"/>
  <c r="E22" i="38"/>
  <c r="E36" i="38"/>
  <c r="D36" i="25"/>
  <c r="D47" i="12"/>
  <c r="D48" i="12"/>
  <c r="D52" i="12"/>
  <c r="D51" i="12" s="1"/>
  <c r="D59" i="12"/>
  <c r="D56" i="12"/>
  <c r="E52" i="12"/>
  <c r="E66" i="12"/>
  <c r="E62" i="14"/>
  <c r="D54" i="2"/>
  <c r="D29" i="48"/>
  <c r="E13" i="32"/>
  <c r="J23" i="6" s="1"/>
  <c r="D13" i="32"/>
  <c r="C23" i="6" s="1"/>
  <c r="F17" i="32"/>
  <c r="F14" i="24"/>
  <c r="E21" i="38" l="1"/>
  <c r="E21" i="14"/>
  <c r="K5" i="7" s="1"/>
  <c r="E40" i="43"/>
  <c r="D40" i="43"/>
  <c r="E20" i="39"/>
  <c r="E18" i="39"/>
  <c r="D20" i="39"/>
  <c r="D18" i="39"/>
  <c r="E16" i="39"/>
  <c r="E15" i="39"/>
  <c r="E14" i="39"/>
  <c r="D16" i="39"/>
  <c r="D15" i="39"/>
  <c r="D14" i="39"/>
  <c r="E31" i="39"/>
  <c r="D31" i="39"/>
  <c r="E39" i="35"/>
  <c r="D39" i="35"/>
  <c r="E42" i="19" l="1"/>
  <c r="D42" i="19"/>
  <c r="E53" i="14"/>
  <c r="E35" i="42"/>
  <c r="D35" i="42"/>
  <c r="E43" i="41"/>
  <c r="D43" i="41"/>
  <c r="E43" i="40"/>
  <c r="D43" i="40"/>
  <c r="E48" i="32"/>
  <c r="E49" i="31"/>
  <c r="D49" i="31"/>
  <c r="D36" i="30"/>
  <c r="E38" i="28"/>
  <c r="D38" i="28"/>
  <c r="D41" i="21"/>
  <c r="E35" i="15"/>
  <c r="D35" i="15"/>
  <c r="D42" i="36" l="1"/>
  <c r="E42" i="36"/>
  <c r="D54" i="38"/>
  <c r="F14" i="43"/>
  <c r="F17" i="42"/>
  <c r="D68" i="2" l="1"/>
  <c r="D57" i="2"/>
  <c r="E35" i="26" l="1"/>
  <c r="E34" i="26" s="1"/>
  <c r="K40" i="7" s="1"/>
  <c r="D35" i="26"/>
  <c r="D34" i="26" s="1"/>
  <c r="D40" i="7" s="1"/>
  <c r="F36" i="26"/>
  <c r="F35" i="26" s="1"/>
  <c r="F34" i="26" s="1"/>
  <c r="D22" i="38"/>
  <c r="D13" i="37"/>
  <c r="D66" i="12" l="1"/>
  <c r="E21" i="11"/>
  <c r="D21" i="11"/>
  <c r="H59" i="1" l="1"/>
  <c r="G59" i="1"/>
  <c r="J59" i="1"/>
  <c r="I59" i="1"/>
  <c r="F59" i="1"/>
  <c r="K59" i="1"/>
  <c r="L59" i="1"/>
  <c r="M59" i="1"/>
  <c r="N59" i="1"/>
  <c r="O59" i="1"/>
  <c r="E59" i="1"/>
  <c r="D59" i="1"/>
  <c r="E18" i="22" l="1"/>
  <c r="D18" i="22"/>
  <c r="E16" i="22"/>
  <c r="D16" i="22"/>
  <c r="D15" i="22" s="1"/>
  <c r="E13" i="22"/>
  <c r="D13" i="22"/>
  <c r="D14" i="22"/>
  <c r="D38" i="24"/>
  <c r="E41" i="21"/>
  <c r="D62" i="14"/>
  <c r="F28" i="14"/>
  <c r="F24" i="14"/>
  <c r="F55" i="14"/>
  <c r="D12" i="14"/>
  <c r="D22" i="14"/>
  <c r="D36" i="14"/>
  <c r="D54" i="14"/>
  <c r="D47" i="14"/>
  <c r="F45" i="14"/>
  <c r="D12" i="22" l="1"/>
  <c r="D21" i="33"/>
  <c r="E31" i="35"/>
  <c r="D27" i="33"/>
  <c r="D37" i="33"/>
  <c r="D30" i="21"/>
  <c r="D38" i="16"/>
  <c r="D20" i="33" l="1"/>
  <c r="D22" i="48" l="1"/>
  <c r="D21" i="48" s="1"/>
  <c r="D19" i="48"/>
  <c r="D16" i="48"/>
  <c r="D13" i="48"/>
  <c r="D26" i="47"/>
  <c r="D25" i="47" s="1"/>
  <c r="D23" i="47"/>
  <c r="D20" i="47"/>
  <c r="D13" i="47"/>
  <c r="D32" i="47" s="1"/>
  <c r="D5" i="46"/>
  <c r="D6" i="46" s="1"/>
  <c r="D4" i="45"/>
  <c r="D5" i="10"/>
  <c r="D4" i="9"/>
  <c r="K70" i="7"/>
  <c r="K69" i="7"/>
  <c r="J6" i="6"/>
  <c r="C7" i="6"/>
  <c r="D28" i="48" l="1"/>
  <c r="D12" i="48"/>
  <c r="D12" i="47"/>
  <c r="D5" i="45"/>
  <c r="D36" i="38"/>
  <c r="D41" i="38"/>
  <c r="D31" i="47" l="1"/>
  <c r="D8" i="45" s="1"/>
  <c r="D29" i="47"/>
  <c r="E16" i="3" s="1"/>
  <c r="D27" i="48"/>
  <c r="D9" i="46" s="1"/>
  <c r="D25" i="48"/>
  <c r="D21" i="34"/>
  <c r="D31" i="35"/>
  <c r="F32" i="35"/>
  <c r="F33" i="35"/>
  <c r="D21" i="35"/>
  <c r="D27" i="35"/>
  <c r="E10" i="3" l="1"/>
  <c r="C33" i="5"/>
  <c r="D20" i="35"/>
  <c r="D24" i="7" s="1"/>
  <c r="F26" i="35"/>
  <c r="F22" i="35"/>
  <c r="E21" i="35"/>
  <c r="E22" i="36"/>
  <c r="D22" i="36"/>
  <c r="F33" i="36"/>
  <c r="E35" i="36"/>
  <c r="D35" i="36"/>
  <c r="D32" i="36"/>
  <c r="F32" i="36" l="1"/>
  <c r="E21" i="33"/>
  <c r="F28" i="33" l="1"/>
  <c r="F27" i="33" s="1"/>
  <c r="E27" i="33"/>
  <c r="D41" i="32" l="1"/>
  <c r="E41" i="32"/>
  <c r="F42" i="32"/>
  <c r="E42" i="31" l="1"/>
  <c r="E41" i="31" s="1"/>
  <c r="K67" i="7" s="1"/>
  <c r="D42" i="31"/>
  <c r="D41" i="31" s="1"/>
  <c r="D67" i="7" s="1"/>
  <c r="F43" i="31"/>
  <c r="F42" i="31" s="1"/>
  <c r="F41" i="31" l="1"/>
  <c r="D29" i="30" l="1"/>
  <c r="E36" i="30"/>
  <c r="E38" i="29"/>
  <c r="D38" i="29"/>
  <c r="E25" i="29"/>
  <c r="D25" i="29"/>
  <c r="E35" i="27" l="1"/>
  <c r="D35" i="27"/>
  <c r="E27" i="27"/>
  <c r="K65" i="7" s="1"/>
  <c r="D28" i="27"/>
  <c r="D27" i="27" s="1"/>
  <c r="D65" i="7" s="1"/>
  <c r="E28" i="27"/>
  <c r="F29" i="27"/>
  <c r="F28" i="27" s="1"/>
  <c r="F27" i="27" l="1"/>
  <c r="F22" i="26"/>
  <c r="F26" i="26"/>
  <c r="F27" i="26"/>
  <c r="F41" i="26"/>
  <c r="F39" i="26"/>
  <c r="D20" i="26"/>
  <c r="D28" i="26"/>
  <c r="D32" i="26"/>
  <c r="D38" i="26"/>
  <c r="F25" i="26"/>
  <c r="E26" i="22" l="1"/>
  <c r="D26" i="22"/>
  <c r="E36" i="25"/>
  <c r="F30" i="25"/>
  <c r="F29" i="25" s="1"/>
  <c r="F28" i="25" s="1"/>
  <c r="E29" i="25"/>
  <c r="D29" i="25"/>
  <c r="D28" i="25" s="1"/>
  <c r="D63" i="7" s="1"/>
  <c r="E28" i="25"/>
  <c r="K63" i="7" s="1"/>
  <c r="E38" i="24" l="1"/>
  <c r="F31" i="21" l="1"/>
  <c r="F32" i="21"/>
  <c r="E30" i="21"/>
  <c r="F24" i="21"/>
  <c r="F30" i="21" l="1"/>
  <c r="D38" i="18"/>
  <c r="D39" i="20"/>
  <c r="E25" i="20"/>
  <c r="D25" i="20"/>
  <c r="E32" i="20"/>
  <c r="E31" i="20" s="1"/>
  <c r="K60" i="7" s="1"/>
  <c r="D32" i="20"/>
  <c r="D31" i="20" s="1"/>
  <c r="D60" i="7" s="1"/>
  <c r="F33" i="20"/>
  <c r="F32" i="20" l="1"/>
  <c r="F31" i="20" s="1"/>
  <c r="F31" i="18"/>
  <c r="E30" i="18"/>
  <c r="D30" i="18"/>
  <c r="F32" i="18"/>
  <c r="E20" i="18"/>
  <c r="D20" i="18"/>
  <c r="F24" i="18"/>
  <c r="F30" i="18" l="1"/>
  <c r="F29" i="18" s="1"/>
  <c r="E30" i="16"/>
  <c r="D30" i="16"/>
  <c r="F32" i="16"/>
  <c r="E37" i="22" l="1"/>
  <c r="D37" i="22"/>
  <c r="D36" i="22" s="1"/>
  <c r="D35" i="22" s="1"/>
  <c r="E34" i="22"/>
  <c r="D34" i="22"/>
  <c r="D33" i="22" s="1"/>
  <c r="D32" i="22" s="1"/>
  <c r="E31" i="22"/>
  <c r="D31" i="22"/>
  <c r="E29" i="22"/>
  <c r="E28" i="22"/>
  <c r="D29" i="22"/>
  <c r="D28" i="22"/>
  <c r="E25" i="22"/>
  <c r="E24" i="22"/>
  <c r="E23" i="22"/>
  <c r="E22" i="22"/>
  <c r="E21" i="22"/>
  <c r="D25" i="22"/>
  <c r="D24" i="22"/>
  <c r="D23" i="22"/>
  <c r="D22" i="22"/>
  <c r="D21" i="22"/>
  <c r="E36" i="22"/>
  <c r="E35" i="22" s="1"/>
  <c r="E33" i="23"/>
  <c r="D33" i="23"/>
  <c r="F27" i="23"/>
  <c r="F26" i="23" s="1"/>
  <c r="F25" i="23" s="1"/>
  <c r="E26" i="23"/>
  <c r="E25" i="23" s="1"/>
  <c r="K62" i="7" s="1"/>
  <c r="D26" i="23"/>
  <c r="D25" i="23" s="1"/>
  <c r="D62" i="7" s="1"/>
  <c r="E46" i="39"/>
  <c r="D46" i="39"/>
  <c r="E43" i="39"/>
  <c r="D43" i="39"/>
  <c r="E41" i="39"/>
  <c r="D41" i="39"/>
  <c r="E39" i="39"/>
  <c r="E38" i="39"/>
  <c r="E37" i="39"/>
  <c r="D39" i="39"/>
  <c r="D38" i="39"/>
  <c r="D37" i="39"/>
  <c r="E35" i="39"/>
  <c r="E34" i="39"/>
  <c r="E33" i="39"/>
  <c r="E32" i="39"/>
  <c r="E30" i="39"/>
  <c r="E29" i="39"/>
  <c r="E28" i="39"/>
  <c r="E27" i="39"/>
  <c r="E26" i="39"/>
  <c r="E25" i="39"/>
  <c r="E24" i="39"/>
  <c r="E23" i="39"/>
  <c r="D35" i="39"/>
  <c r="D34" i="39"/>
  <c r="D33" i="39"/>
  <c r="D32" i="39"/>
  <c r="D30" i="39"/>
  <c r="D29" i="39"/>
  <c r="D28" i="39"/>
  <c r="D27" i="39"/>
  <c r="D26" i="39"/>
  <c r="D25" i="39"/>
  <c r="D24" i="39"/>
  <c r="D23" i="39"/>
  <c r="E62" i="11"/>
  <c r="E61" i="11" s="1"/>
  <c r="E59" i="11"/>
  <c r="E58" i="11" s="1"/>
  <c r="E57" i="11"/>
  <c r="E56" i="11"/>
  <c r="E55" i="11"/>
  <c r="E52" i="11"/>
  <c r="E51" i="11"/>
  <c r="D62" i="11"/>
  <c r="D59" i="11"/>
  <c r="D57" i="11"/>
  <c r="D56" i="11"/>
  <c r="D55" i="11"/>
  <c r="D52" i="11"/>
  <c r="D51" i="11"/>
  <c r="E48" i="11"/>
  <c r="E47" i="11"/>
  <c r="D48" i="11"/>
  <c r="D47" i="11"/>
  <c r="E45" i="11"/>
  <c r="E44" i="11"/>
  <c r="D45" i="11"/>
  <c r="D44" i="11"/>
  <c r="E43" i="11"/>
  <c r="D43" i="11"/>
  <c r="E41" i="11"/>
  <c r="E40" i="11"/>
  <c r="E39" i="11"/>
  <c r="E38" i="11"/>
  <c r="E37" i="11"/>
  <c r="E36" i="11"/>
  <c r="D41" i="11"/>
  <c r="D40" i="11"/>
  <c r="D39" i="11"/>
  <c r="D38" i="11"/>
  <c r="D37" i="11"/>
  <c r="D36" i="11"/>
  <c r="E34" i="11"/>
  <c r="E33" i="11"/>
  <c r="E32" i="11"/>
  <c r="E31" i="11"/>
  <c r="E30" i="11"/>
  <c r="E29" i="11"/>
  <c r="E28" i="11"/>
  <c r="E27" i="11"/>
  <c r="E26" i="11"/>
  <c r="E25" i="11"/>
  <c r="E24" i="11"/>
  <c r="D34" i="11"/>
  <c r="D33" i="11"/>
  <c r="D32" i="11"/>
  <c r="D31" i="11"/>
  <c r="D30" i="11"/>
  <c r="D29" i="11"/>
  <c r="D28" i="11"/>
  <c r="D27" i="11"/>
  <c r="D26" i="11"/>
  <c r="D25" i="11"/>
  <c r="D24" i="11"/>
  <c r="E19" i="11"/>
  <c r="D19" i="11"/>
  <c r="E17" i="11"/>
  <c r="D17" i="11"/>
  <c r="E15" i="11"/>
  <c r="E14" i="11"/>
  <c r="E13" i="11"/>
  <c r="D15" i="11"/>
  <c r="D14" i="11"/>
  <c r="D13" i="11"/>
  <c r="E52" i="39" l="1"/>
  <c r="D52" i="39"/>
  <c r="D20" i="22"/>
  <c r="D43" i="22"/>
  <c r="D68" i="11"/>
  <c r="D46" i="11"/>
  <c r="D42" i="11"/>
  <c r="D54" i="11"/>
  <c r="E54" i="11"/>
  <c r="E53" i="11" s="1"/>
  <c r="F37" i="22"/>
  <c r="F36" i="22" s="1"/>
  <c r="F35" i="22" s="1"/>
  <c r="E43" i="22"/>
  <c r="D23" i="11"/>
  <c r="F60" i="12"/>
  <c r="F59" i="12" s="1"/>
  <c r="F58" i="12" s="1"/>
  <c r="E59" i="12"/>
  <c r="E58" i="12" s="1"/>
  <c r="K54" i="7" s="1"/>
  <c r="D58" i="12"/>
  <c r="F57" i="12"/>
  <c r="F56" i="12" s="1"/>
  <c r="E56" i="12"/>
  <c r="F55" i="12"/>
  <c r="F54" i="12"/>
  <c r="F53" i="12"/>
  <c r="D46" i="7"/>
  <c r="F50" i="12"/>
  <c r="F49" i="12"/>
  <c r="E48" i="12"/>
  <c r="E47" i="12" s="1"/>
  <c r="K38" i="7" s="1"/>
  <c r="D38" i="7"/>
  <c r="F46" i="12"/>
  <c r="F45" i="12"/>
  <c r="E44" i="12"/>
  <c r="D44" i="12"/>
  <c r="F43" i="12"/>
  <c r="F42" i="12"/>
  <c r="F41" i="12"/>
  <c r="E40" i="12"/>
  <c r="D40" i="12"/>
  <c r="F39" i="12"/>
  <c r="F38" i="12"/>
  <c r="F37" i="12"/>
  <c r="F36" i="12"/>
  <c r="F35" i="12"/>
  <c r="F34" i="12"/>
  <c r="E33" i="12"/>
  <c r="D33" i="12"/>
  <c r="F32" i="12"/>
  <c r="F31" i="12"/>
  <c r="F30" i="12"/>
  <c r="F29" i="12"/>
  <c r="F28" i="12"/>
  <c r="F27" i="12"/>
  <c r="F26" i="12"/>
  <c r="F25" i="12"/>
  <c r="F24" i="12"/>
  <c r="F23" i="12"/>
  <c r="F22" i="12"/>
  <c r="E21" i="12"/>
  <c r="D21" i="12"/>
  <c r="F19" i="12"/>
  <c r="F18" i="12" s="1"/>
  <c r="E18" i="12"/>
  <c r="D18" i="12"/>
  <c r="F17" i="12"/>
  <c r="F16" i="12" s="1"/>
  <c r="E16" i="12"/>
  <c r="D16" i="12"/>
  <c r="F15" i="12"/>
  <c r="F14" i="12" s="1"/>
  <c r="E14" i="12"/>
  <c r="D14" i="12"/>
  <c r="F13" i="12"/>
  <c r="E12" i="12"/>
  <c r="J5" i="6" s="1"/>
  <c r="D12" i="12"/>
  <c r="D11" i="12" l="1"/>
  <c r="F52" i="12"/>
  <c r="E65" i="12"/>
  <c r="E20" i="12"/>
  <c r="K4" i="7" s="1"/>
  <c r="D54" i="7"/>
  <c r="F44" i="12"/>
  <c r="F66" i="12"/>
  <c r="D20" i="12"/>
  <c r="F21" i="12"/>
  <c r="E51" i="12"/>
  <c r="F48" i="12"/>
  <c r="F47" i="12" s="1"/>
  <c r="F33" i="12"/>
  <c r="F40" i="12"/>
  <c r="F51" i="12"/>
  <c r="K5" i="6"/>
  <c r="D5" i="6"/>
  <c r="C5" i="6"/>
  <c r="E11" i="12"/>
  <c r="F12" i="12"/>
  <c r="F11" i="12" s="1"/>
  <c r="D65" i="12"/>
  <c r="D4" i="7" l="1"/>
  <c r="D62" i="12"/>
  <c r="K46" i="7"/>
  <c r="E62" i="12"/>
  <c r="E64" i="12"/>
  <c r="L5" i="6"/>
  <c r="F20" i="12"/>
  <c r="D64" i="12"/>
  <c r="C4" i="5" s="1"/>
  <c r="E5" i="6"/>
  <c r="F65" i="12"/>
  <c r="D4" i="5" l="1"/>
  <c r="F62" i="12"/>
  <c r="F64" i="12"/>
  <c r="D49" i="44"/>
  <c r="D41" i="44"/>
  <c r="D40" i="44" s="1"/>
  <c r="D38" i="44"/>
  <c r="D36" i="44"/>
  <c r="D35" i="44" s="1"/>
  <c r="D33" i="44"/>
  <c r="D27" i="44"/>
  <c r="D16" i="44"/>
  <c r="D13" i="44"/>
  <c r="D12" i="44" s="1"/>
  <c r="F34" i="43"/>
  <c r="F33" i="43" s="1"/>
  <c r="F32" i="43" s="1"/>
  <c r="E33" i="43"/>
  <c r="E32" i="43" s="1"/>
  <c r="K75" i="7" s="1"/>
  <c r="D33" i="43"/>
  <c r="D32" i="43" s="1"/>
  <c r="D75" i="7" s="1"/>
  <c r="F31" i="43"/>
  <c r="F30" i="43"/>
  <c r="E30" i="43"/>
  <c r="D30" i="43"/>
  <c r="F29" i="43"/>
  <c r="F28" i="43"/>
  <c r="E27" i="43"/>
  <c r="D27" i="43"/>
  <c r="F26" i="43"/>
  <c r="F25" i="43"/>
  <c r="F24" i="43"/>
  <c r="F23" i="43"/>
  <c r="E21" i="43"/>
  <c r="D21" i="43"/>
  <c r="F19" i="43"/>
  <c r="E18" i="43"/>
  <c r="D18" i="43"/>
  <c r="F17" i="43"/>
  <c r="E16" i="43"/>
  <c r="D16" i="43"/>
  <c r="F15" i="43"/>
  <c r="D13" i="43"/>
  <c r="F29" i="42"/>
  <c r="F28" i="42" s="1"/>
  <c r="E28" i="42"/>
  <c r="D28" i="42"/>
  <c r="F27" i="42"/>
  <c r="F26" i="42"/>
  <c r="E26" i="42"/>
  <c r="D26" i="42"/>
  <c r="F25" i="42"/>
  <c r="F24" i="42"/>
  <c r="F23" i="42"/>
  <c r="F22" i="42"/>
  <c r="E21" i="42"/>
  <c r="D21" i="42"/>
  <c r="F19" i="42"/>
  <c r="F18" i="42" s="1"/>
  <c r="E18" i="42"/>
  <c r="D18" i="42"/>
  <c r="F16" i="42"/>
  <c r="E16" i="42"/>
  <c r="D16" i="42"/>
  <c r="F15" i="42"/>
  <c r="F14" i="42"/>
  <c r="E13" i="42"/>
  <c r="D13" i="42"/>
  <c r="C32" i="6" s="1"/>
  <c r="F37" i="41"/>
  <c r="F36" i="41" s="1"/>
  <c r="E36" i="41"/>
  <c r="E21" i="41" s="1"/>
  <c r="D36" i="41"/>
  <c r="F35" i="41"/>
  <c r="F34" i="41" s="1"/>
  <c r="D34" i="41"/>
  <c r="F33" i="41"/>
  <c r="F32" i="41"/>
  <c r="F31" i="41"/>
  <c r="F30" i="41"/>
  <c r="F29" i="41"/>
  <c r="F28" i="41"/>
  <c r="F27" i="41"/>
  <c r="F26" i="41"/>
  <c r="F25" i="41"/>
  <c r="F24" i="41"/>
  <c r="F23" i="41"/>
  <c r="D22" i="41"/>
  <c r="F20" i="41"/>
  <c r="F19" i="41" s="1"/>
  <c r="E19" i="41"/>
  <c r="D19" i="41"/>
  <c r="F18" i="41"/>
  <c r="F17" i="41" s="1"/>
  <c r="E17" i="41"/>
  <c r="D17" i="41"/>
  <c r="F16" i="41"/>
  <c r="F15" i="41"/>
  <c r="F14" i="41"/>
  <c r="E13" i="41"/>
  <c r="J31" i="6" s="1"/>
  <c r="D13" i="41"/>
  <c r="C31" i="6" s="1"/>
  <c r="F37" i="40"/>
  <c r="F36" i="40" s="1"/>
  <c r="F35" i="40" s="1"/>
  <c r="E36" i="40"/>
  <c r="E35" i="40" s="1"/>
  <c r="K74" i="7" s="1"/>
  <c r="D36" i="40"/>
  <c r="D35" i="40" s="1"/>
  <c r="D74" i="7" s="1"/>
  <c r="F34" i="40"/>
  <c r="F33" i="40" s="1"/>
  <c r="E33" i="40"/>
  <c r="D33" i="40"/>
  <c r="F32" i="40"/>
  <c r="F31" i="40"/>
  <c r="E30" i="40"/>
  <c r="D30" i="40"/>
  <c r="F29" i="40"/>
  <c r="F28" i="40"/>
  <c r="F27" i="40"/>
  <c r="F26" i="40"/>
  <c r="F25" i="40"/>
  <c r="F24" i="40"/>
  <c r="F23" i="40"/>
  <c r="F22" i="40"/>
  <c r="E21" i="40"/>
  <c r="D21" i="40"/>
  <c r="F19" i="40"/>
  <c r="F18" i="40" s="1"/>
  <c r="E18" i="40"/>
  <c r="D18" i="40"/>
  <c r="F17" i="40"/>
  <c r="F16" i="40" s="1"/>
  <c r="E16" i="40"/>
  <c r="D16" i="40"/>
  <c r="F15" i="40"/>
  <c r="F14" i="40"/>
  <c r="E13" i="40"/>
  <c r="J30" i="6" s="1"/>
  <c r="D13" i="40"/>
  <c r="C30" i="6" s="1"/>
  <c r="E45" i="39"/>
  <c r="E44" i="39" s="1"/>
  <c r="D45" i="39"/>
  <c r="D44" i="39" s="1"/>
  <c r="E42" i="39"/>
  <c r="D42" i="39"/>
  <c r="E40" i="39"/>
  <c r="D40" i="39"/>
  <c r="F39" i="39"/>
  <c r="D36" i="39"/>
  <c r="F35" i="39"/>
  <c r="F32" i="39"/>
  <c r="F31" i="39"/>
  <c r="F28" i="39"/>
  <c r="F24" i="39"/>
  <c r="F23" i="39"/>
  <c r="F20" i="39"/>
  <c r="F19" i="39" s="1"/>
  <c r="E19" i="39"/>
  <c r="D19" i="39"/>
  <c r="E17" i="39"/>
  <c r="D17" i="39"/>
  <c r="F16" i="39"/>
  <c r="F15" i="39"/>
  <c r="E13" i="39"/>
  <c r="D13" i="39"/>
  <c r="E54" i="38"/>
  <c r="F48" i="38"/>
  <c r="F47" i="38"/>
  <c r="F46" i="38"/>
  <c r="F45" i="38"/>
  <c r="F44" i="38"/>
  <c r="F43" i="38"/>
  <c r="F42" i="38"/>
  <c r="F40" i="38"/>
  <c r="F39" i="38"/>
  <c r="F38" i="38"/>
  <c r="F37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0" i="38"/>
  <c r="F19" i="38" s="1"/>
  <c r="E19" i="38"/>
  <c r="D19" i="38"/>
  <c r="F18" i="38"/>
  <c r="F17" i="38" s="1"/>
  <c r="E17" i="38"/>
  <c r="D17" i="38"/>
  <c r="F16" i="38"/>
  <c r="F15" i="38"/>
  <c r="F14" i="38"/>
  <c r="E13" i="38"/>
  <c r="D13" i="38"/>
  <c r="E43" i="37"/>
  <c r="D43" i="37"/>
  <c r="F37" i="37"/>
  <c r="F36" i="37" s="1"/>
  <c r="F35" i="37" s="1"/>
  <c r="E36" i="37"/>
  <c r="E35" i="37" s="1"/>
  <c r="K73" i="7" s="1"/>
  <c r="D36" i="37"/>
  <c r="D35" i="37" s="1"/>
  <c r="D73" i="7" s="1"/>
  <c r="F34" i="37"/>
  <c r="F33" i="37" s="1"/>
  <c r="E33" i="37"/>
  <c r="D33" i="37"/>
  <c r="F32" i="37"/>
  <c r="F31" i="37"/>
  <c r="F30" i="37"/>
  <c r="E29" i="37"/>
  <c r="D29" i="37"/>
  <c r="F28" i="37"/>
  <c r="F27" i="37"/>
  <c r="F26" i="37"/>
  <c r="F25" i="37"/>
  <c r="F24" i="37"/>
  <c r="F23" i="37"/>
  <c r="F22" i="37"/>
  <c r="E21" i="37"/>
  <c r="D21" i="37"/>
  <c r="F19" i="37"/>
  <c r="F18" i="37" s="1"/>
  <c r="E18" i="37"/>
  <c r="D18" i="37"/>
  <c r="F17" i="37"/>
  <c r="F16" i="37" s="1"/>
  <c r="E16" i="37"/>
  <c r="D16" i="37"/>
  <c r="F15" i="37"/>
  <c r="F14" i="37"/>
  <c r="E13" i="37"/>
  <c r="C28" i="6"/>
  <c r="D13" i="36"/>
  <c r="E13" i="36"/>
  <c r="F14" i="36"/>
  <c r="F15" i="36"/>
  <c r="F16" i="36"/>
  <c r="D17" i="36"/>
  <c r="E17" i="36"/>
  <c r="F18" i="36"/>
  <c r="D19" i="36"/>
  <c r="E19" i="36"/>
  <c r="F20" i="36"/>
  <c r="F23" i="36"/>
  <c r="F24" i="36"/>
  <c r="F25" i="36"/>
  <c r="F26" i="36"/>
  <c r="F27" i="36"/>
  <c r="F28" i="36"/>
  <c r="F29" i="36"/>
  <c r="D30" i="36"/>
  <c r="E30" i="36"/>
  <c r="F31" i="36"/>
  <c r="F30" i="36" s="1"/>
  <c r="E32" i="36"/>
  <c r="E21" i="36" s="1"/>
  <c r="D34" i="36"/>
  <c r="D72" i="7" s="1"/>
  <c r="E34" i="36"/>
  <c r="K72" i="7" s="1"/>
  <c r="F36" i="36"/>
  <c r="F35" i="36" s="1"/>
  <c r="E30" i="35"/>
  <c r="K71" i="7" s="1"/>
  <c r="D30" i="35"/>
  <c r="D71" i="7" s="1"/>
  <c r="F29" i="35"/>
  <c r="F28" i="35"/>
  <c r="E27" i="35"/>
  <c r="E20" i="35" s="1"/>
  <c r="K24" i="7" s="1"/>
  <c r="F25" i="35"/>
  <c r="F24" i="35"/>
  <c r="F23" i="35"/>
  <c r="F19" i="35"/>
  <c r="F18" i="35" s="1"/>
  <c r="E18" i="35"/>
  <c r="D18" i="35"/>
  <c r="F17" i="35"/>
  <c r="F16" i="35" s="1"/>
  <c r="E16" i="35"/>
  <c r="D16" i="35"/>
  <c r="F15" i="35"/>
  <c r="F14" i="35"/>
  <c r="E13" i="35"/>
  <c r="D13" i="35"/>
  <c r="E38" i="34"/>
  <c r="D38" i="34"/>
  <c r="F32" i="34"/>
  <c r="D31" i="34"/>
  <c r="D30" i="34" s="1"/>
  <c r="D70" i="7" s="1"/>
  <c r="F29" i="34"/>
  <c r="F28" i="34"/>
  <c r="E28" i="34"/>
  <c r="D28" i="34"/>
  <c r="F27" i="34"/>
  <c r="F26" i="34"/>
  <c r="F25" i="34"/>
  <c r="F24" i="34"/>
  <c r="F23" i="34"/>
  <c r="F22" i="34"/>
  <c r="E21" i="34"/>
  <c r="E20" i="34" s="1"/>
  <c r="K23" i="7" s="1"/>
  <c r="D20" i="34"/>
  <c r="D23" i="7" s="1"/>
  <c r="F19" i="34"/>
  <c r="F18" i="34"/>
  <c r="E18" i="34"/>
  <c r="D18" i="34"/>
  <c r="F17" i="34"/>
  <c r="F16" i="34" s="1"/>
  <c r="E16" i="34"/>
  <c r="D16" i="34"/>
  <c r="F15" i="34"/>
  <c r="F14" i="34"/>
  <c r="E13" i="34"/>
  <c r="D13" i="34"/>
  <c r="E37" i="33"/>
  <c r="F31" i="33"/>
  <c r="F30" i="33" s="1"/>
  <c r="F29" i="33" s="1"/>
  <c r="D30" i="33"/>
  <c r="D29" i="33" s="1"/>
  <c r="D69" i="7" s="1"/>
  <c r="F25" i="33"/>
  <c r="F24" i="33"/>
  <c r="F23" i="33"/>
  <c r="F22" i="33"/>
  <c r="E20" i="33"/>
  <c r="K22" i="7" s="1"/>
  <c r="F19" i="33"/>
  <c r="F18" i="33" s="1"/>
  <c r="E18" i="33"/>
  <c r="D18" i="33"/>
  <c r="F17" i="33"/>
  <c r="F16" i="33" s="1"/>
  <c r="E16" i="33"/>
  <c r="D16" i="33"/>
  <c r="F15" i="33"/>
  <c r="F14" i="33"/>
  <c r="E13" i="33"/>
  <c r="D13" i="33"/>
  <c r="E40" i="32"/>
  <c r="K68" i="7" s="1"/>
  <c r="D40" i="32"/>
  <c r="F39" i="32"/>
  <c r="F38" i="32"/>
  <c r="F37" i="32"/>
  <c r="F36" i="32"/>
  <c r="E35" i="32"/>
  <c r="F34" i="32"/>
  <c r="F33" i="32"/>
  <c r="F32" i="32"/>
  <c r="F31" i="32"/>
  <c r="F30" i="32"/>
  <c r="F29" i="32"/>
  <c r="F28" i="32"/>
  <c r="F27" i="32"/>
  <c r="F26" i="32"/>
  <c r="E24" i="32"/>
  <c r="F22" i="32"/>
  <c r="F21" i="32" s="1"/>
  <c r="E21" i="32"/>
  <c r="D21" i="32"/>
  <c r="F20" i="32"/>
  <c r="F19" i="32" s="1"/>
  <c r="E19" i="32"/>
  <c r="D19" i="32"/>
  <c r="F15" i="32"/>
  <c r="F14" i="32"/>
  <c r="F40" i="31"/>
  <c r="F39" i="31" s="1"/>
  <c r="E39" i="31"/>
  <c r="D39" i="31"/>
  <c r="F38" i="31"/>
  <c r="F37" i="31"/>
  <c r="F36" i="31"/>
  <c r="F35" i="31"/>
  <c r="E34" i="31"/>
  <c r="D34" i="31"/>
  <c r="F33" i="31"/>
  <c r="F32" i="31"/>
  <c r="F31" i="31"/>
  <c r="E30" i="31"/>
  <c r="D30" i="31"/>
  <c r="F29" i="31"/>
  <c r="F28" i="31"/>
  <c r="F27" i="31"/>
  <c r="F26" i="31"/>
  <c r="F25" i="31"/>
  <c r="F24" i="31"/>
  <c r="F23" i="31"/>
  <c r="F22" i="31"/>
  <c r="E21" i="31"/>
  <c r="D21" i="31"/>
  <c r="F19" i="31"/>
  <c r="F18" i="31" s="1"/>
  <c r="E18" i="31"/>
  <c r="D18" i="31"/>
  <c r="F17" i="31"/>
  <c r="F16" i="31" s="1"/>
  <c r="E16" i="31"/>
  <c r="D16" i="31"/>
  <c r="F15" i="31"/>
  <c r="F14" i="31"/>
  <c r="E13" i="31"/>
  <c r="D13" i="31"/>
  <c r="C22" i="6" s="1"/>
  <c r="F30" i="30"/>
  <c r="F29" i="30" s="1"/>
  <c r="E29" i="30"/>
  <c r="F28" i="30"/>
  <c r="F27" i="30"/>
  <c r="F26" i="30"/>
  <c r="F25" i="30"/>
  <c r="F24" i="30"/>
  <c r="F23" i="30"/>
  <c r="F22" i="30"/>
  <c r="E21" i="30"/>
  <c r="D21" i="30"/>
  <c r="F19" i="30"/>
  <c r="F18" i="30" s="1"/>
  <c r="E18" i="30"/>
  <c r="D18" i="30"/>
  <c r="F17" i="30"/>
  <c r="F16" i="30" s="1"/>
  <c r="E16" i="30"/>
  <c r="D16" i="30"/>
  <c r="F15" i="30"/>
  <c r="E13" i="30"/>
  <c r="D13" i="30"/>
  <c r="C21" i="6" s="1"/>
  <c r="F32" i="29"/>
  <c r="F31" i="29" s="1"/>
  <c r="F30" i="29" s="1"/>
  <c r="E31" i="29"/>
  <c r="E30" i="29" s="1"/>
  <c r="K66" i="7" s="1"/>
  <c r="D31" i="29"/>
  <c r="D30" i="29" s="1"/>
  <c r="D66" i="7" s="1"/>
  <c r="F29" i="29"/>
  <c r="F28" i="29"/>
  <c r="E27" i="29"/>
  <c r="D27" i="29"/>
  <c r="F26" i="29"/>
  <c r="F25" i="29" s="1"/>
  <c r="F24" i="29"/>
  <c r="F23" i="29"/>
  <c r="F22" i="29"/>
  <c r="E21" i="29"/>
  <c r="D21" i="29"/>
  <c r="F19" i="29"/>
  <c r="F18" i="29" s="1"/>
  <c r="E18" i="29"/>
  <c r="D18" i="29"/>
  <c r="F17" i="29"/>
  <c r="F16" i="29" s="1"/>
  <c r="E16" i="29"/>
  <c r="D16" i="29"/>
  <c r="F15" i="29"/>
  <c r="F14" i="29"/>
  <c r="E13" i="29"/>
  <c r="D13" i="29"/>
  <c r="C20" i="6" s="1"/>
  <c r="F32" i="28"/>
  <c r="E31" i="28"/>
  <c r="D31" i="28"/>
  <c r="F30" i="28"/>
  <c r="F29" i="28"/>
  <c r="F28" i="28"/>
  <c r="F27" i="28"/>
  <c r="F26" i="28"/>
  <c r="F25" i="28"/>
  <c r="F24" i="28"/>
  <c r="F23" i="28"/>
  <c r="F22" i="28"/>
  <c r="E21" i="28"/>
  <c r="D21" i="28"/>
  <c r="F19" i="28"/>
  <c r="F18" i="28" s="1"/>
  <c r="E18" i="28"/>
  <c r="D18" i="28"/>
  <c r="F17" i="28"/>
  <c r="F16" i="28" s="1"/>
  <c r="E16" i="28"/>
  <c r="D16" i="28"/>
  <c r="F15" i="28"/>
  <c r="F14" i="28"/>
  <c r="F13" i="28"/>
  <c r="E12" i="28"/>
  <c r="D12" i="28"/>
  <c r="F26" i="27"/>
  <c r="F25" i="27" s="1"/>
  <c r="E25" i="27"/>
  <c r="D25" i="27"/>
  <c r="F24" i="27"/>
  <c r="F23" i="27"/>
  <c r="F22" i="27"/>
  <c r="F21" i="27"/>
  <c r="E20" i="27"/>
  <c r="D20" i="27"/>
  <c r="F18" i="27"/>
  <c r="F17" i="27" s="1"/>
  <c r="E17" i="27"/>
  <c r="D17" i="27"/>
  <c r="F16" i="27"/>
  <c r="F15" i="27"/>
  <c r="E15" i="27"/>
  <c r="D15" i="27"/>
  <c r="F14" i="27"/>
  <c r="F13" i="27"/>
  <c r="E12" i="27"/>
  <c r="E11" i="27" s="1"/>
  <c r="D12" i="27"/>
  <c r="F40" i="26"/>
  <c r="E37" i="26"/>
  <c r="D37" i="26"/>
  <c r="D64" i="7" s="1"/>
  <c r="F33" i="26"/>
  <c r="F32" i="26" s="1"/>
  <c r="E32" i="26"/>
  <c r="F31" i="26"/>
  <c r="F30" i="26"/>
  <c r="F29" i="26"/>
  <c r="F24" i="26"/>
  <c r="F23" i="26"/>
  <c r="F21" i="26"/>
  <c r="F18" i="26"/>
  <c r="F17" i="26" s="1"/>
  <c r="E17" i="26"/>
  <c r="D17" i="26"/>
  <c r="F16" i="26"/>
  <c r="F15" i="26" s="1"/>
  <c r="E15" i="26"/>
  <c r="E46" i="26" s="1"/>
  <c r="D15" i="26"/>
  <c r="F14" i="26"/>
  <c r="F13" i="26"/>
  <c r="J17" i="6"/>
  <c r="D12" i="26"/>
  <c r="F27" i="25"/>
  <c r="F26" i="25" s="1"/>
  <c r="E26" i="25"/>
  <c r="D26" i="25"/>
  <c r="F25" i="25"/>
  <c r="E24" i="25"/>
  <c r="D24" i="25"/>
  <c r="F23" i="25"/>
  <c r="F22" i="25"/>
  <c r="F21" i="25"/>
  <c r="E20" i="25"/>
  <c r="D20" i="25"/>
  <c r="F18" i="25"/>
  <c r="F17" i="25" s="1"/>
  <c r="E17" i="25"/>
  <c r="D17" i="25"/>
  <c r="F16" i="25"/>
  <c r="F15" i="25" s="1"/>
  <c r="E15" i="25"/>
  <c r="D15" i="25"/>
  <c r="D14" i="6" s="1"/>
  <c r="F14" i="25"/>
  <c r="F13" i="25"/>
  <c r="E12" i="25"/>
  <c r="D12" i="25"/>
  <c r="F32" i="24"/>
  <c r="F31" i="24" s="1"/>
  <c r="F30" i="24" s="1"/>
  <c r="E31" i="24"/>
  <c r="E30" i="24" s="1"/>
  <c r="K39" i="7" s="1"/>
  <c r="D31" i="24"/>
  <c r="D30" i="24" s="1"/>
  <c r="D39" i="7" s="1"/>
  <c r="D41" i="7" s="1"/>
  <c r="F29" i="24"/>
  <c r="F28" i="24" s="1"/>
  <c r="E28" i="24"/>
  <c r="D28" i="24"/>
  <c r="F27" i="24"/>
  <c r="F26" i="24" s="1"/>
  <c r="E26" i="24"/>
  <c r="D26" i="24"/>
  <c r="F25" i="24"/>
  <c r="F24" i="24"/>
  <c r="F23" i="24"/>
  <c r="F22" i="24"/>
  <c r="F21" i="24"/>
  <c r="E20" i="24"/>
  <c r="D20" i="24"/>
  <c r="F18" i="24"/>
  <c r="F17" i="24" s="1"/>
  <c r="E17" i="24"/>
  <c r="D17" i="24"/>
  <c r="F16" i="24"/>
  <c r="F15" i="24" s="1"/>
  <c r="E15" i="24"/>
  <c r="D15" i="24"/>
  <c r="F13" i="24"/>
  <c r="E12" i="24"/>
  <c r="D12" i="24"/>
  <c r="C16" i="6" s="1"/>
  <c r="F24" i="23"/>
  <c r="F23" i="23"/>
  <c r="F22" i="23"/>
  <c r="F21" i="23"/>
  <c r="E20" i="23"/>
  <c r="E19" i="23" s="1"/>
  <c r="K13" i="7" s="1"/>
  <c r="D20" i="23"/>
  <c r="F18" i="23"/>
  <c r="F17" i="23" s="1"/>
  <c r="E17" i="23"/>
  <c r="D17" i="23"/>
  <c r="F16" i="23"/>
  <c r="F15" i="23" s="1"/>
  <c r="E15" i="23"/>
  <c r="D15" i="23"/>
  <c r="F13" i="23"/>
  <c r="E12" i="23"/>
  <c r="D12" i="23"/>
  <c r="C15" i="6" s="1"/>
  <c r="E33" i="22"/>
  <c r="E32" i="22" s="1"/>
  <c r="D30" i="22"/>
  <c r="E30" i="22"/>
  <c r="F29" i="22"/>
  <c r="F28" i="22"/>
  <c r="F27" i="22" s="1"/>
  <c r="E27" i="22"/>
  <c r="D27" i="22"/>
  <c r="F26" i="22"/>
  <c r="F25" i="22"/>
  <c r="F24" i="22"/>
  <c r="F23" i="22"/>
  <c r="F22" i="22"/>
  <c r="F21" i="22"/>
  <c r="E20" i="22"/>
  <c r="F18" i="22"/>
  <c r="F17" i="22" s="1"/>
  <c r="E17" i="22"/>
  <c r="E15" i="22"/>
  <c r="F14" i="22"/>
  <c r="F13" i="22"/>
  <c r="E12" i="22"/>
  <c r="F35" i="21"/>
  <c r="F34" i="21" s="1"/>
  <c r="F33" i="21" s="1"/>
  <c r="E34" i="21"/>
  <c r="E33" i="21" s="1"/>
  <c r="K61" i="7" s="1"/>
  <c r="D34" i="21"/>
  <c r="D33" i="21" s="1"/>
  <c r="D61" i="7" s="1"/>
  <c r="F29" i="21"/>
  <c r="F28" i="21"/>
  <c r="F27" i="21"/>
  <c r="F26" i="21"/>
  <c r="F25" i="21"/>
  <c r="F23" i="21"/>
  <c r="E22" i="21"/>
  <c r="E21" i="21" s="1"/>
  <c r="D22" i="21"/>
  <c r="F20" i="21"/>
  <c r="F19" i="21" s="1"/>
  <c r="E19" i="21"/>
  <c r="D19" i="21"/>
  <c r="F18" i="21"/>
  <c r="F17" i="21" s="1"/>
  <c r="E17" i="21"/>
  <c r="D17" i="21"/>
  <c r="F16" i="21"/>
  <c r="E15" i="21"/>
  <c r="D15" i="21"/>
  <c r="F14" i="21"/>
  <c r="F13" i="21"/>
  <c r="E12" i="21"/>
  <c r="D12" i="21"/>
  <c r="E39" i="20"/>
  <c r="F30" i="20"/>
  <c r="D29" i="20"/>
  <c r="F29" i="20" s="1"/>
  <c r="F28" i="20"/>
  <c r="F27" i="20"/>
  <c r="F26" i="20"/>
  <c r="F24" i="20"/>
  <c r="F23" i="20"/>
  <c r="F22" i="20"/>
  <c r="F21" i="20"/>
  <c r="E20" i="20"/>
  <c r="E19" i="20" s="1"/>
  <c r="K10" i="7" s="1"/>
  <c r="D20" i="20"/>
  <c r="F18" i="20"/>
  <c r="F17" i="20" s="1"/>
  <c r="E17" i="20"/>
  <c r="D17" i="20"/>
  <c r="F16" i="20"/>
  <c r="F15" i="20"/>
  <c r="E15" i="20"/>
  <c r="D15" i="20"/>
  <c r="D12" i="6" s="1"/>
  <c r="F14" i="20"/>
  <c r="F13" i="20"/>
  <c r="E12" i="20"/>
  <c r="D12" i="20"/>
  <c r="F36" i="19"/>
  <c r="F35" i="19" s="1"/>
  <c r="F34" i="19" s="1"/>
  <c r="E35" i="19"/>
  <c r="E34" i="19" s="1"/>
  <c r="K59" i="7" s="1"/>
  <c r="D35" i="19"/>
  <c r="D34" i="19" s="1"/>
  <c r="D59" i="7" s="1"/>
  <c r="F33" i="19"/>
  <c r="F32" i="19" s="1"/>
  <c r="E32" i="19"/>
  <c r="D32" i="19"/>
  <c r="F31" i="19"/>
  <c r="F30" i="19" s="1"/>
  <c r="E30" i="19"/>
  <c r="D30" i="19"/>
  <c r="F29" i="19"/>
  <c r="E28" i="19"/>
  <c r="D28" i="19"/>
  <c r="F27" i="19"/>
  <c r="F26" i="19"/>
  <c r="F25" i="19"/>
  <c r="F42" i="19" s="1"/>
  <c r="F24" i="19"/>
  <c r="F23" i="19"/>
  <c r="F22" i="19"/>
  <c r="F21" i="19"/>
  <c r="E20" i="19"/>
  <c r="D20" i="19"/>
  <c r="F18" i="19"/>
  <c r="F17" i="19" s="1"/>
  <c r="E17" i="19"/>
  <c r="D17" i="19"/>
  <c r="F16" i="19"/>
  <c r="F15" i="19" s="1"/>
  <c r="E15" i="19"/>
  <c r="D15" i="19"/>
  <c r="D11" i="6" s="1"/>
  <c r="F14" i="19"/>
  <c r="F13" i="19"/>
  <c r="E12" i="19"/>
  <c r="J11" i="6" s="1"/>
  <c r="D12" i="19"/>
  <c r="C11" i="6" s="1"/>
  <c r="E38" i="18"/>
  <c r="E29" i="18"/>
  <c r="K58" i="7" s="1"/>
  <c r="D29" i="18"/>
  <c r="D58" i="7" s="1"/>
  <c r="F28" i="18"/>
  <c r="F27" i="18" s="1"/>
  <c r="E27" i="18"/>
  <c r="D27" i="18"/>
  <c r="F26" i="18"/>
  <c r="F25" i="18" s="1"/>
  <c r="E25" i="18"/>
  <c r="E19" i="18" s="1"/>
  <c r="K8" i="7" s="1"/>
  <c r="D25" i="18"/>
  <c r="F23" i="18"/>
  <c r="F22" i="18"/>
  <c r="F21" i="18"/>
  <c r="F18" i="18"/>
  <c r="F17" i="18" s="1"/>
  <c r="E17" i="18"/>
  <c r="D17" i="18"/>
  <c r="F16" i="18"/>
  <c r="F15" i="18" s="1"/>
  <c r="E15" i="18"/>
  <c r="D15" i="18"/>
  <c r="F14" i="18"/>
  <c r="F13" i="18"/>
  <c r="E12" i="18"/>
  <c r="J10" i="6" s="1"/>
  <c r="D12" i="18"/>
  <c r="E38" i="16"/>
  <c r="F31" i="16"/>
  <c r="F30" i="16" s="1"/>
  <c r="F29" i="16" s="1"/>
  <c r="E29" i="16"/>
  <c r="K57" i="7" s="1"/>
  <c r="D29" i="16"/>
  <c r="D57" i="7" s="1"/>
  <c r="F28" i="16"/>
  <c r="F27" i="16" s="1"/>
  <c r="E27" i="16"/>
  <c r="D27" i="16"/>
  <c r="F26" i="16"/>
  <c r="F25" i="16" s="1"/>
  <c r="E25" i="16"/>
  <c r="D25" i="16"/>
  <c r="F24" i="16"/>
  <c r="F23" i="16"/>
  <c r="F22" i="16"/>
  <c r="F21" i="16"/>
  <c r="E20" i="16"/>
  <c r="D20" i="16"/>
  <c r="F18" i="16"/>
  <c r="F17" i="16" s="1"/>
  <c r="E17" i="16"/>
  <c r="D17" i="16"/>
  <c r="F16" i="16"/>
  <c r="F15" i="16" s="1"/>
  <c r="E15" i="16"/>
  <c r="D15" i="16"/>
  <c r="F14" i="16"/>
  <c r="F13" i="16"/>
  <c r="F12" i="16" s="1"/>
  <c r="E12" i="16"/>
  <c r="J9" i="6" s="1"/>
  <c r="D12" i="16"/>
  <c r="F29" i="15"/>
  <c r="F28" i="15"/>
  <c r="F27" i="15" s="1"/>
  <c r="E28" i="15"/>
  <c r="E27" i="15" s="1"/>
  <c r="K56" i="7" s="1"/>
  <c r="D28" i="15"/>
  <c r="D27" i="15" s="1"/>
  <c r="D56" i="7" s="1"/>
  <c r="F26" i="15"/>
  <c r="F25" i="15" s="1"/>
  <c r="E25" i="15"/>
  <c r="D25" i="15"/>
  <c r="F24" i="15"/>
  <c r="F23" i="15"/>
  <c r="F22" i="15"/>
  <c r="F21" i="15"/>
  <c r="E20" i="15"/>
  <c r="D20" i="15"/>
  <c r="F18" i="15"/>
  <c r="F17" i="15" s="1"/>
  <c r="E17" i="15"/>
  <c r="D17" i="15"/>
  <c r="F16" i="15"/>
  <c r="F15" i="15" s="1"/>
  <c r="E15" i="15"/>
  <c r="D15" i="15"/>
  <c r="F14" i="15"/>
  <c r="F13" i="15"/>
  <c r="E12" i="15"/>
  <c r="J8" i="6" s="1"/>
  <c r="D12" i="15"/>
  <c r="C8" i="6" s="1"/>
  <c r="F56" i="14"/>
  <c r="K55" i="7"/>
  <c r="D53" i="14"/>
  <c r="D55" i="7" s="1"/>
  <c r="F52" i="14"/>
  <c r="F51" i="14"/>
  <c r="D50" i="14"/>
  <c r="F49" i="14"/>
  <c r="F48" i="14"/>
  <c r="F47" i="14" s="1"/>
  <c r="F46" i="14"/>
  <c r="F44" i="14"/>
  <c r="F43" i="14"/>
  <c r="F42" i="14"/>
  <c r="F41" i="14"/>
  <c r="F40" i="14"/>
  <c r="F39" i="14"/>
  <c r="F38" i="14"/>
  <c r="F37" i="14"/>
  <c r="F35" i="14"/>
  <c r="F34" i="14"/>
  <c r="F33" i="14"/>
  <c r="F32" i="14"/>
  <c r="F31" i="14"/>
  <c r="F30" i="14"/>
  <c r="F29" i="14"/>
  <c r="F27" i="14"/>
  <c r="F26" i="14"/>
  <c r="F25" i="14"/>
  <c r="F23" i="14"/>
  <c r="F20" i="14"/>
  <c r="F19" i="14" s="1"/>
  <c r="E19" i="14"/>
  <c r="D19" i="14"/>
  <c r="F18" i="14"/>
  <c r="F17" i="14" s="1"/>
  <c r="E17" i="14"/>
  <c r="D17" i="14"/>
  <c r="F16" i="14"/>
  <c r="F15" i="14" s="1"/>
  <c r="E15" i="14"/>
  <c r="D15" i="14"/>
  <c r="F13" i="14"/>
  <c r="E12" i="14"/>
  <c r="E34" i="13"/>
  <c r="D34" i="13"/>
  <c r="F28" i="13"/>
  <c r="F27" i="13" s="1"/>
  <c r="E27" i="13"/>
  <c r="D27" i="13"/>
  <c r="F26" i="13"/>
  <c r="F25" i="13"/>
  <c r="F24" i="13"/>
  <c r="F23" i="13"/>
  <c r="E22" i="13"/>
  <c r="D22" i="13"/>
  <c r="F20" i="13"/>
  <c r="F19" i="13" s="1"/>
  <c r="E19" i="13"/>
  <c r="D19" i="13"/>
  <c r="F18" i="13"/>
  <c r="F17" i="13" s="1"/>
  <c r="E17" i="13"/>
  <c r="D17" i="13"/>
  <c r="F16" i="13"/>
  <c r="F15" i="13"/>
  <c r="D14" i="13"/>
  <c r="C6" i="6" s="1"/>
  <c r="F62" i="11"/>
  <c r="F61" i="11" s="1"/>
  <c r="F60" i="11" s="1"/>
  <c r="D61" i="11"/>
  <c r="D60" i="11" s="1"/>
  <c r="E60" i="11"/>
  <c r="D58" i="11"/>
  <c r="D53" i="11" s="1"/>
  <c r="F57" i="11"/>
  <c r="F55" i="11"/>
  <c r="F52" i="11"/>
  <c r="E50" i="11"/>
  <c r="E49" i="11" s="1"/>
  <c r="D50" i="11"/>
  <c r="D49" i="11" s="1"/>
  <c r="E46" i="11"/>
  <c r="F47" i="11"/>
  <c r="F45" i="11"/>
  <c r="F44" i="11"/>
  <c r="E42" i="11"/>
  <c r="F41" i="11"/>
  <c r="F40" i="11"/>
  <c r="F39" i="11"/>
  <c r="F38" i="11"/>
  <c r="F37" i="11"/>
  <c r="F36" i="11"/>
  <c r="D35" i="11"/>
  <c r="F34" i="11"/>
  <c r="F33" i="11"/>
  <c r="F32" i="11"/>
  <c r="F31" i="11"/>
  <c r="F30" i="11"/>
  <c r="F29" i="11"/>
  <c r="F28" i="11"/>
  <c r="F26" i="11"/>
  <c r="F25" i="11"/>
  <c r="E23" i="11"/>
  <c r="F21" i="11"/>
  <c r="F20" i="11" s="1"/>
  <c r="E20" i="11"/>
  <c r="D20" i="11"/>
  <c r="D18" i="11"/>
  <c r="E18" i="11"/>
  <c r="F17" i="11"/>
  <c r="F16" i="11" s="1"/>
  <c r="E16" i="11"/>
  <c r="D16" i="11"/>
  <c r="E68" i="11"/>
  <c r="F15" i="11"/>
  <c r="D12" i="11"/>
  <c r="F13" i="11"/>
  <c r="B10" i="9"/>
  <c r="B10" i="8"/>
  <c r="K48" i="7"/>
  <c r="D48" i="7"/>
  <c r="E13" i="13" l="1"/>
  <c r="J7" i="6"/>
  <c r="E11" i="14"/>
  <c r="E58" i="14" s="1"/>
  <c r="D5" i="5" s="1"/>
  <c r="D10" i="6"/>
  <c r="D13" i="6"/>
  <c r="J22" i="6"/>
  <c r="E12" i="31"/>
  <c r="F49" i="31"/>
  <c r="E11" i="24"/>
  <c r="F21" i="33"/>
  <c r="F20" i="33" s="1"/>
  <c r="J12" i="6"/>
  <c r="E11" i="20"/>
  <c r="E37" i="20" s="1"/>
  <c r="E11" i="23"/>
  <c r="E32" i="23"/>
  <c r="F27" i="29"/>
  <c r="F13" i="34"/>
  <c r="F12" i="34" s="1"/>
  <c r="E20" i="43"/>
  <c r="E12" i="43"/>
  <c r="E36" i="43" s="1"/>
  <c r="D31" i="5" s="1"/>
  <c r="E12" i="42"/>
  <c r="E20" i="42"/>
  <c r="K30" i="7" s="1"/>
  <c r="D21" i="41"/>
  <c r="F43" i="40"/>
  <c r="J28" i="6"/>
  <c r="E12" i="37"/>
  <c r="F42" i="36"/>
  <c r="E12" i="36"/>
  <c r="E38" i="36" s="1"/>
  <c r="J27" i="6"/>
  <c r="C27" i="6"/>
  <c r="D41" i="36"/>
  <c r="D12" i="36"/>
  <c r="E12" i="35"/>
  <c r="E35" i="35" s="1"/>
  <c r="E12" i="34"/>
  <c r="E34" i="34" s="1"/>
  <c r="D23" i="5" s="1"/>
  <c r="E12" i="33"/>
  <c r="D23" i="6"/>
  <c r="E23" i="6" s="1"/>
  <c r="D12" i="32"/>
  <c r="D47" i="32"/>
  <c r="K23" i="6"/>
  <c r="L23" i="6" s="1"/>
  <c r="E47" i="32"/>
  <c r="E12" i="32"/>
  <c r="J21" i="6"/>
  <c r="E12" i="30"/>
  <c r="J20" i="6"/>
  <c r="E12" i="29"/>
  <c r="D20" i="6"/>
  <c r="E20" i="6" s="1"/>
  <c r="F38" i="28"/>
  <c r="E11" i="28"/>
  <c r="D18" i="6"/>
  <c r="C14" i="6"/>
  <c r="E14" i="6" s="1"/>
  <c r="D35" i="25"/>
  <c r="D11" i="25"/>
  <c r="J14" i="6"/>
  <c r="E11" i="25"/>
  <c r="E32" i="25" s="1"/>
  <c r="D12" i="5" s="1"/>
  <c r="F41" i="21"/>
  <c r="E11" i="21"/>
  <c r="F35" i="15"/>
  <c r="F47" i="26"/>
  <c r="E21" i="13"/>
  <c r="K32" i="7" s="1"/>
  <c r="J29" i="6"/>
  <c r="E12" i="38"/>
  <c r="E50" i="38" s="1"/>
  <c r="E53" i="38"/>
  <c r="F31" i="34"/>
  <c r="F30" i="34" s="1"/>
  <c r="F48" i="32"/>
  <c r="F24" i="32"/>
  <c r="E20" i="31"/>
  <c r="E45" i="31" s="1"/>
  <c r="D12" i="9"/>
  <c r="F35" i="42"/>
  <c r="F43" i="41"/>
  <c r="C29" i="6"/>
  <c r="D53" i="38"/>
  <c r="F39" i="35"/>
  <c r="E12" i="39"/>
  <c r="F31" i="35"/>
  <c r="F30" i="35" s="1"/>
  <c r="C33" i="6"/>
  <c r="D12" i="43"/>
  <c r="D39" i="43"/>
  <c r="J33" i="6"/>
  <c r="E39" i="43"/>
  <c r="K32" i="6"/>
  <c r="F30" i="40"/>
  <c r="F54" i="38"/>
  <c r="F21" i="35"/>
  <c r="K22" i="6"/>
  <c r="L22" i="6" s="1"/>
  <c r="J19" i="6"/>
  <c r="E37" i="28"/>
  <c r="C19" i="6"/>
  <c r="D37" i="28"/>
  <c r="K11" i="6"/>
  <c r="L11" i="6" s="1"/>
  <c r="F20" i="15"/>
  <c r="F19" i="15"/>
  <c r="F18" i="43"/>
  <c r="F16" i="43"/>
  <c r="D29" i="6"/>
  <c r="K29" i="6"/>
  <c r="D20" i="28"/>
  <c r="D17" i="7" s="1"/>
  <c r="F27" i="35"/>
  <c r="F31" i="28"/>
  <c r="F20" i="22"/>
  <c r="D19" i="22"/>
  <c r="F50" i="14"/>
  <c r="F36" i="14"/>
  <c r="F62" i="14"/>
  <c r="K10" i="6"/>
  <c r="L10" i="6" s="1"/>
  <c r="K13" i="6"/>
  <c r="C17" i="6"/>
  <c r="D46" i="26"/>
  <c r="F20" i="26"/>
  <c r="F21" i="34"/>
  <c r="F20" i="34" s="1"/>
  <c r="K28" i="6"/>
  <c r="L28" i="6" s="1"/>
  <c r="F22" i="36"/>
  <c r="K27" i="6"/>
  <c r="D29" i="7"/>
  <c r="D28" i="6"/>
  <c r="E28" i="6" s="1"/>
  <c r="D12" i="37"/>
  <c r="D8" i="6"/>
  <c r="E8" i="6" s="1"/>
  <c r="F20" i="23"/>
  <c r="F19" i="23" s="1"/>
  <c r="D24" i="6"/>
  <c r="F13" i="40"/>
  <c r="E20" i="40"/>
  <c r="K28" i="7" s="1"/>
  <c r="F22" i="41"/>
  <c r="F21" i="41" s="1"/>
  <c r="D20" i="42"/>
  <c r="D30" i="7" s="1"/>
  <c r="D6" i="6"/>
  <c r="E6" i="6" s="1"/>
  <c r="K8" i="6"/>
  <c r="L8" i="6" s="1"/>
  <c r="E19" i="16"/>
  <c r="K7" i="7" s="1"/>
  <c r="D21" i="21"/>
  <c r="D11" i="7" s="1"/>
  <c r="J16" i="6"/>
  <c r="K41" i="7"/>
  <c r="G8" i="4" s="1"/>
  <c r="F28" i="26"/>
  <c r="D21" i="6"/>
  <c r="E21" i="6" s="1"/>
  <c r="E33" i="13"/>
  <c r="K6" i="6"/>
  <c r="L6" i="6" s="1"/>
  <c r="K7" i="6"/>
  <c r="F54" i="14"/>
  <c r="F53" i="14" s="1"/>
  <c r="F20" i="16"/>
  <c r="F19" i="16" s="1"/>
  <c r="F38" i="26"/>
  <c r="F37" i="26" s="1"/>
  <c r="E20" i="29"/>
  <c r="K18" i="7" s="1"/>
  <c r="E20" i="37"/>
  <c r="K26" i="7" s="1"/>
  <c r="F29" i="37"/>
  <c r="F36" i="38"/>
  <c r="K30" i="6"/>
  <c r="L30" i="6" s="1"/>
  <c r="F21" i="42"/>
  <c r="F20" i="42" s="1"/>
  <c r="K64" i="7"/>
  <c r="K76" i="7" s="1"/>
  <c r="D11" i="8"/>
  <c r="G9" i="4"/>
  <c r="D12" i="8"/>
  <c r="D26" i="6"/>
  <c r="F20" i="18"/>
  <c r="F22" i="14"/>
  <c r="K33" i="6"/>
  <c r="D33" i="6"/>
  <c r="D27" i="6"/>
  <c r="D32" i="6"/>
  <c r="E32" i="6" s="1"/>
  <c r="E34" i="42"/>
  <c r="J32" i="6"/>
  <c r="K31" i="6"/>
  <c r="L31" i="6" s="1"/>
  <c r="D31" i="6"/>
  <c r="E31" i="6" s="1"/>
  <c r="D42" i="41"/>
  <c r="E42" i="41"/>
  <c r="D30" i="6"/>
  <c r="E30" i="6" s="1"/>
  <c r="K26" i="6"/>
  <c r="J26" i="6"/>
  <c r="E38" i="35"/>
  <c r="D38" i="35"/>
  <c r="C26" i="6"/>
  <c r="K25" i="6"/>
  <c r="D25" i="6"/>
  <c r="E37" i="34"/>
  <c r="J25" i="6"/>
  <c r="D12" i="34"/>
  <c r="D36" i="34" s="1"/>
  <c r="C23" i="5" s="1"/>
  <c r="C25" i="6"/>
  <c r="K24" i="6"/>
  <c r="F37" i="33"/>
  <c r="E33" i="33"/>
  <c r="D22" i="5" s="1"/>
  <c r="J24" i="6"/>
  <c r="D12" i="33"/>
  <c r="D33" i="33" s="1"/>
  <c r="D36" i="33"/>
  <c r="C24" i="6"/>
  <c r="F13" i="33"/>
  <c r="D22" i="6"/>
  <c r="E22" i="6" s="1"/>
  <c r="D48" i="31"/>
  <c r="E48" i="31"/>
  <c r="K21" i="6"/>
  <c r="K20" i="6"/>
  <c r="L20" i="6" s="1"/>
  <c r="F38" i="29"/>
  <c r="D19" i="6"/>
  <c r="K19" i="6"/>
  <c r="K18" i="6"/>
  <c r="F35" i="27"/>
  <c r="J18" i="6"/>
  <c r="E34" i="27"/>
  <c r="C18" i="6"/>
  <c r="D34" i="27"/>
  <c r="K17" i="6"/>
  <c r="L17" i="6" s="1"/>
  <c r="D17" i="6"/>
  <c r="F28" i="19"/>
  <c r="E19" i="19"/>
  <c r="K9" i="7" s="1"/>
  <c r="E11" i="22"/>
  <c r="F38" i="24"/>
  <c r="D37" i="24"/>
  <c r="D11" i="24"/>
  <c r="D16" i="6"/>
  <c r="E16" i="6" s="1"/>
  <c r="K16" i="6"/>
  <c r="K14" i="6"/>
  <c r="L14" i="6" s="1"/>
  <c r="K15" i="6"/>
  <c r="D15" i="6"/>
  <c r="E15" i="6" s="1"/>
  <c r="D11" i="23"/>
  <c r="J15" i="6"/>
  <c r="D32" i="23"/>
  <c r="J13" i="6"/>
  <c r="E40" i="21"/>
  <c r="D40" i="21"/>
  <c r="F15" i="21"/>
  <c r="F22" i="21"/>
  <c r="F21" i="21" s="1"/>
  <c r="C13" i="6"/>
  <c r="E13" i="6" s="1"/>
  <c r="F12" i="21"/>
  <c r="K11" i="7"/>
  <c r="K12" i="6"/>
  <c r="L12" i="6" s="1"/>
  <c r="F39" i="20"/>
  <c r="C12" i="6"/>
  <c r="E12" i="6" s="1"/>
  <c r="D38" i="20"/>
  <c r="E11" i="6"/>
  <c r="F12" i="19"/>
  <c r="F11" i="19" s="1"/>
  <c r="F38" i="18"/>
  <c r="C10" i="6"/>
  <c r="D37" i="18"/>
  <c r="D21" i="14"/>
  <c r="D7" i="6"/>
  <c r="E61" i="14"/>
  <c r="D20" i="37"/>
  <c r="D26" i="7" s="1"/>
  <c r="D11" i="16"/>
  <c r="C9" i="6"/>
  <c r="D9" i="6"/>
  <c r="F38" i="16"/>
  <c r="D19" i="16"/>
  <c r="D7" i="7" s="1"/>
  <c r="K9" i="6"/>
  <c r="D22" i="7"/>
  <c r="D68" i="7"/>
  <c r="D76" i="7" s="1"/>
  <c r="D13" i="8" s="1"/>
  <c r="D20" i="40"/>
  <c r="D28" i="7" s="1"/>
  <c r="F21" i="40"/>
  <c r="F20" i="40" s="1"/>
  <c r="K25" i="7"/>
  <c r="F34" i="36"/>
  <c r="F19" i="36"/>
  <c r="F17" i="36"/>
  <c r="F13" i="36"/>
  <c r="E41" i="36"/>
  <c r="D21" i="36"/>
  <c r="D25" i="7" s="1"/>
  <c r="E19" i="15"/>
  <c r="K6" i="7" s="1"/>
  <c r="D19" i="15"/>
  <c r="D6" i="7" s="1"/>
  <c r="F41" i="32"/>
  <c r="F40" i="32" s="1"/>
  <c r="E23" i="32"/>
  <c r="K21" i="7" s="1"/>
  <c r="F13" i="31"/>
  <c r="F12" i="31" s="1"/>
  <c r="D12" i="30"/>
  <c r="E20" i="30"/>
  <c r="K19" i="7" s="1"/>
  <c r="D20" i="30"/>
  <c r="D19" i="7" s="1"/>
  <c r="E19" i="27"/>
  <c r="K16" i="7" s="1"/>
  <c r="F20" i="27"/>
  <c r="F19" i="27" s="1"/>
  <c r="D11" i="26"/>
  <c r="E11" i="26"/>
  <c r="D19" i="26"/>
  <c r="D15" i="7" s="1"/>
  <c r="F24" i="25"/>
  <c r="F36" i="25"/>
  <c r="F20" i="25"/>
  <c r="D19" i="23"/>
  <c r="D13" i="7" s="1"/>
  <c r="D19" i="20"/>
  <c r="D10" i="7" s="1"/>
  <c r="F25" i="20"/>
  <c r="F20" i="20"/>
  <c r="D21" i="13"/>
  <c r="D32" i="7" s="1"/>
  <c r="D22" i="11"/>
  <c r="E36" i="39"/>
  <c r="F37" i="39"/>
  <c r="F38" i="39"/>
  <c r="F29" i="39"/>
  <c r="F30" i="39"/>
  <c r="F33" i="39"/>
  <c r="F25" i="39"/>
  <c r="F26" i="39"/>
  <c r="E22" i="39"/>
  <c r="F27" i="39"/>
  <c r="F34" i="39"/>
  <c r="D48" i="44"/>
  <c r="D15" i="44"/>
  <c r="D47" i="44" s="1"/>
  <c r="D34" i="42"/>
  <c r="D20" i="43"/>
  <c r="D31" i="7" s="1"/>
  <c r="F27" i="43"/>
  <c r="F13" i="43"/>
  <c r="F22" i="43"/>
  <c r="F21" i="43" s="1"/>
  <c r="D12" i="42"/>
  <c r="F13" i="42"/>
  <c r="E12" i="41"/>
  <c r="D12" i="41"/>
  <c r="F13" i="41"/>
  <c r="F12" i="41" s="1"/>
  <c r="D12" i="40"/>
  <c r="E12" i="40"/>
  <c r="F12" i="40"/>
  <c r="D42" i="40"/>
  <c r="E42" i="40"/>
  <c r="D12" i="39"/>
  <c r="F43" i="39"/>
  <c r="F42" i="39" s="1"/>
  <c r="D22" i="39"/>
  <c r="D21" i="39" s="1"/>
  <c r="F46" i="39"/>
  <c r="F45" i="39" s="1"/>
  <c r="F44" i="39" s="1"/>
  <c r="F41" i="39"/>
  <c r="F40" i="39" s="1"/>
  <c r="F18" i="39"/>
  <c r="F17" i="39" s="1"/>
  <c r="F14" i="39"/>
  <c r="F41" i="38"/>
  <c r="D21" i="38"/>
  <c r="F22" i="38"/>
  <c r="D12" i="38"/>
  <c r="F13" i="38"/>
  <c r="F43" i="37"/>
  <c r="F21" i="37"/>
  <c r="F13" i="37"/>
  <c r="F12" i="37" s="1"/>
  <c r="E42" i="37"/>
  <c r="D42" i="37"/>
  <c r="E37" i="35"/>
  <c r="D12" i="35"/>
  <c r="D37" i="35" s="1"/>
  <c r="C24" i="5" s="1"/>
  <c r="F13" i="35"/>
  <c r="F38" i="34"/>
  <c r="D37" i="34"/>
  <c r="E36" i="33"/>
  <c r="F35" i="32"/>
  <c r="F13" i="32"/>
  <c r="F12" i="32" s="1"/>
  <c r="D20" i="31"/>
  <c r="D20" i="7" s="1"/>
  <c r="F34" i="31"/>
  <c r="F30" i="31"/>
  <c r="F21" i="31"/>
  <c r="D12" i="31"/>
  <c r="F21" i="30"/>
  <c r="F20" i="30" s="1"/>
  <c r="D35" i="30"/>
  <c r="E35" i="30"/>
  <c r="F14" i="30"/>
  <c r="F36" i="30" s="1"/>
  <c r="D20" i="29"/>
  <c r="D18" i="7" s="1"/>
  <c r="F21" i="29"/>
  <c r="F20" i="29" s="1"/>
  <c r="D37" i="29"/>
  <c r="F13" i="29"/>
  <c r="E37" i="29"/>
  <c r="D12" i="29"/>
  <c r="E20" i="28"/>
  <c r="K17" i="7" s="1"/>
  <c r="F21" i="28"/>
  <c r="D11" i="28"/>
  <c r="F12" i="28"/>
  <c r="D19" i="27"/>
  <c r="D16" i="7" s="1"/>
  <c r="F12" i="27"/>
  <c r="D11" i="27"/>
  <c r="E19" i="26"/>
  <c r="K15" i="7" s="1"/>
  <c r="F12" i="26"/>
  <c r="E19" i="25"/>
  <c r="K12" i="7" s="1"/>
  <c r="D19" i="25"/>
  <c r="D12" i="7" s="1"/>
  <c r="E35" i="25"/>
  <c r="F12" i="25"/>
  <c r="D19" i="24"/>
  <c r="D14" i="7" s="1"/>
  <c r="E19" i="24"/>
  <c r="K14" i="7" s="1"/>
  <c r="F20" i="24"/>
  <c r="F19" i="24" s="1"/>
  <c r="E37" i="24"/>
  <c r="F12" i="24"/>
  <c r="F11" i="24" s="1"/>
  <c r="F33" i="23"/>
  <c r="F12" i="23"/>
  <c r="E19" i="22"/>
  <c r="E42" i="22"/>
  <c r="F12" i="22"/>
  <c r="D17" i="22"/>
  <c r="D11" i="22" s="1"/>
  <c r="D39" i="22" s="1"/>
  <c r="F31" i="22"/>
  <c r="F30" i="22" s="1"/>
  <c r="F34" i="22"/>
  <c r="F33" i="22" s="1"/>
  <c r="F32" i="22" s="1"/>
  <c r="F16" i="22"/>
  <c r="F15" i="22" s="1"/>
  <c r="D11" i="21"/>
  <c r="E37" i="21"/>
  <c r="D11" i="5" s="1"/>
  <c r="E38" i="20"/>
  <c r="F12" i="20"/>
  <c r="D11" i="20"/>
  <c r="D19" i="19"/>
  <c r="D9" i="7" s="1"/>
  <c r="F20" i="19"/>
  <c r="D11" i="19"/>
  <c r="E41" i="19"/>
  <c r="E11" i="19"/>
  <c r="D41" i="19"/>
  <c r="D19" i="18"/>
  <c r="D8" i="7" s="1"/>
  <c r="F19" i="18"/>
  <c r="E11" i="18"/>
  <c r="F12" i="18"/>
  <c r="D11" i="18"/>
  <c r="E37" i="18"/>
  <c r="E37" i="16"/>
  <c r="E11" i="16"/>
  <c r="F11" i="16"/>
  <c r="D37" i="16"/>
  <c r="F37" i="16"/>
  <c r="D11" i="15"/>
  <c r="E11" i="15"/>
  <c r="F12" i="15"/>
  <c r="F11" i="15" s="1"/>
  <c r="D34" i="15"/>
  <c r="E34" i="15"/>
  <c r="D61" i="14"/>
  <c r="D11" i="14"/>
  <c r="F12" i="14"/>
  <c r="F22" i="13"/>
  <c r="F21" i="13" s="1"/>
  <c r="D13" i="13"/>
  <c r="F34" i="13"/>
  <c r="E30" i="13"/>
  <c r="E32" i="13"/>
  <c r="D32" i="5" s="1"/>
  <c r="D33" i="13"/>
  <c r="F14" i="13"/>
  <c r="D11" i="11"/>
  <c r="D67" i="11"/>
  <c r="F35" i="11"/>
  <c r="F24" i="11"/>
  <c r="E35" i="11"/>
  <c r="E22" i="11" s="1"/>
  <c r="F48" i="11"/>
  <c r="F46" i="11" s="1"/>
  <c r="F56" i="11"/>
  <c r="F54" i="11" s="1"/>
  <c r="F14" i="11"/>
  <c r="F27" i="11"/>
  <c r="F43" i="11"/>
  <c r="F42" i="11" s="1"/>
  <c r="F51" i="11"/>
  <c r="F50" i="11" s="1"/>
  <c r="F49" i="11" s="1"/>
  <c r="F59" i="11"/>
  <c r="F58" i="11" s="1"/>
  <c r="E12" i="11"/>
  <c r="F12" i="11" s="1"/>
  <c r="F19" i="11"/>
  <c r="F18" i="11" s="1"/>
  <c r="E31" i="15" l="1"/>
  <c r="D6" i="5" s="1"/>
  <c r="E36" i="34"/>
  <c r="L21" i="6"/>
  <c r="E34" i="29"/>
  <c r="D18" i="5" s="1"/>
  <c r="E36" i="18"/>
  <c r="E34" i="18"/>
  <c r="D8" i="5" s="1"/>
  <c r="E10" i="6"/>
  <c r="E29" i="23"/>
  <c r="E31" i="23"/>
  <c r="F40" i="43"/>
  <c r="E31" i="42"/>
  <c r="D30" i="5" s="1"/>
  <c r="E39" i="37"/>
  <c r="D26" i="5" s="1"/>
  <c r="F12" i="36"/>
  <c r="F41" i="36"/>
  <c r="D34" i="34"/>
  <c r="F34" i="34" s="1"/>
  <c r="F36" i="34"/>
  <c r="F37" i="34"/>
  <c r="F47" i="32"/>
  <c r="E18" i="6"/>
  <c r="D34" i="25"/>
  <c r="D32" i="25"/>
  <c r="F19" i="22"/>
  <c r="E34" i="16"/>
  <c r="D7" i="5" s="1"/>
  <c r="D34" i="16"/>
  <c r="F34" i="16" s="1"/>
  <c r="F33" i="15"/>
  <c r="E43" i="26"/>
  <c r="D15" i="5" s="1"/>
  <c r="L29" i="6"/>
  <c r="D44" i="32"/>
  <c r="C21" i="5" s="1"/>
  <c r="K29" i="7"/>
  <c r="E39" i="41"/>
  <c r="D29" i="5" s="1"/>
  <c r="F21" i="14"/>
  <c r="K34" i="6"/>
  <c r="J34" i="6"/>
  <c r="D34" i="6"/>
  <c r="E7" i="6"/>
  <c r="L7" i="6"/>
  <c r="E29" i="6"/>
  <c r="E25" i="6"/>
  <c r="F52" i="39"/>
  <c r="D50" i="39"/>
  <c r="F20" i="35"/>
  <c r="E60" i="14"/>
  <c r="D5" i="7"/>
  <c r="D58" i="14"/>
  <c r="F12" i="43"/>
  <c r="F39" i="43"/>
  <c r="D39" i="21"/>
  <c r="C11" i="5" s="1"/>
  <c r="L13" i="6"/>
  <c r="L32" i="6"/>
  <c r="D41" i="41"/>
  <c r="C29" i="5" s="1"/>
  <c r="E39" i="40"/>
  <c r="D28" i="5" s="1"/>
  <c r="D27" i="7"/>
  <c r="D52" i="38"/>
  <c r="C27" i="5" s="1"/>
  <c r="D50" i="38"/>
  <c r="F53" i="38"/>
  <c r="F38" i="35"/>
  <c r="E19" i="6"/>
  <c r="F37" i="28"/>
  <c r="L19" i="6"/>
  <c r="D36" i="28"/>
  <c r="C17" i="5" s="1"/>
  <c r="D34" i="28"/>
  <c r="E34" i="28"/>
  <c r="D17" i="5" s="1"/>
  <c r="E36" i="28"/>
  <c r="F20" i="28"/>
  <c r="E33" i="6"/>
  <c r="D25" i="5"/>
  <c r="D11" i="9"/>
  <c r="D27" i="5"/>
  <c r="E52" i="38"/>
  <c r="L33" i="6"/>
  <c r="L27" i="6"/>
  <c r="E17" i="6"/>
  <c r="L16" i="6"/>
  <c r="F41" i="41"/>
  <c r="D41" i="40"/>
  <c r="C28" i="5" s="1"/>
  <c r="F20" i="37"/>
  <c r="D32" i="13"/>
  <c r="D43" i="26"/>
  <c r="D45" i="26"/>
  <c r="C15" i="5" s="1"/>
  <c r="F46" i="26"/>
  <c r="L25" i="6"/>
  <c r="E26" i="6"/>
  <c r="L24" i="6"/>
  <c r="F19" i="26"/>
  <c r="F68" i="11"/>
  <c r="D33" i="15"/>
  <c r="C6" i="5" s="1"/>
  <c r="E41" i="22"/>
  <c r="E24" i="6"/>
  <c r="F34" i="27"/>
  <c r="D13" i="9"/>
  <c r="G10" i="4"/>
  <c r="K27" i="7"/>
  <c r="E47" i="31"/>
  <c r="K20" i="7"/>
  <c r="F53" i="11"/>
  <c r="E38" i="43"/>
  <c r="K31" i="7"/>
  <c r="E27" i="6"/>
  <c r="E40" i="36"/>
  <c r="D38" i="36"/>
  <c r="C25" i="5" s="1"/>
  <c r="E41" i="41"/>
  <c r="L26" i="6"/>
  <c r="D35" i="35"/>
  <c r="F33" i="33"/>
  <c r="E35" i="33"/>
  <c r="D35" i="33"/>
  <c r="C22" i="5" s="1"/>
  <c r="F12" i="33"/>
  <c r="F35" i="33" s="1"/>
  <c r="F36" i="33"/>
  <c r="D32" i="30"/>
  <c r="L18" i="6"/>
  <c r="E33" i="27"/>
  <c r="E31" i="27"/>
  <c r="D16" i="5" s="1"/>
  <c r="D33" i="27"/>
  <c r="C16" i="5" s="1"/>
  <c r="D31" i="27"/>
  <c r="F41" i="19"/>
  <c r="E38" i="19"/>
  <c r="D9" i="5" s="1"/>
  <c r="F43" i="22"/>
  <c r="E39" i="22"/>
  <c r="F39" i="22" s="1"/>
  <c r="D42" i="22"/>
  <c r="F11" i="22"/>
  <c r="F42" i="22"/>
  <c r="F37" i="24"/>
  <c r="L15" i="6"/>
  <c r="D13" i="5"/>
  <c r="E39" i="21"/>
  <c r="F40" i="21"/>
  <c r="F11" i="21"/>
  <c r="F39" i="21" s="1"/>
  <c r="F11" i="20"/>
  <c r="F38" i="20"/>
  <c r="D35" i="20"/>
  <c r="D37" i="20"/>
  <c r="C10" i="5" s="1"/>
  <c r="D40" i="19"/>
  <c r="C9" i="5" s="1"/>
  <c r="F11" i="18"/>
  <c r="F36" i="18" s="1"/>
  <c r="F37" i="18"/>
  <c r="D36" i="18"/>
  <c r="C8" i="5" s="1"/>
  <c r="F34" i="15"/>
  <c r="D41" i="37"/>
  <c r="C26" i="5" s="1"/>
  <c r="L9" i="6"/>
  <c r="D36" i="16"/>
  <c r="C7" i="5" s="1"/>
  <c r="E9" i="6"/>
  <c r="E21" i="39"/>
  <c r="E50" i="39" s="1"/>
  <c r="F42" i="40"/>
  <c r="F21" i="38"/>
  <c r="D24" i="5"/>
  <c r="D40" i="36"/>
  <c r="F21" i="36"/>
  <c r="F20" i="43"/>
  <c r="D36" i="43"/>
  <c r="C31" i="5" s="1"/>
  <c r="E44" i="32"/>
  <c r="D21" i="5" s="1"/>
  <c r="F23" i="32"/>
  <c r="F48" i="31"/>
  <c r="D47" i="31"/>
  <c r="C20" i="5" s="1"/>
  <c r="D45" i="31"/>
  <c r="D20" i="5"/>
  <c r="F20" i="31"/>
  <c r="F47" i="31" s="1"/>
  <c r="D34" i="30"/>
  <c r="C19" i="5" s="1"/>
  <c r="F37" i="29"/>
  <c r="E45" i="26"/>
  <c r="F19" i="25"/>
  <c r="D31" i="23"/>
  <c r="C13" i="5" s="1"/>
  <c r="D29" i="23"/>
  <c r="E35" i="20"/>
  <c r="D10" i="5" s="1"/>
  <c r="F19" i="20"/>
  <c r="E51" i="39"/>
  <c r="F36" i="39"/>
  <c r="F22" i="39"/>
  <c r="D48" i="39"/>
  <c r="D45" i="44"/>
  <c r="D10" i="10" s="1"/>
  <c r="D32" i="10" s="1"/>
  <c r="E33" i="42"/>
  <c r="D38" i="43"/>
  <c r="F12" i="42"/>
  <c r="F33" i="42" s="1"/>
  <c r="F34" i="42"/>
  <c r="D33" i="42"/>
  <c r="C30" i="5" s="1"/>
  <c r="D31" i="42"/>
  <c r="F31" i="42" s="1"/>
  <c r="D39" i="41"/>
  <c r="F42" i="41"/>
  <c r="D39" i="40"/>
  <c r="E41" i="40"/>
  <c r="F41" i="40"/>
  <c r="D51" i="39"/>
  <c r="F13" i="39"/>
  <c r="F12" i="38"/>
  <c r="F41" i="37"/>
  <c r="F42" i="37"/>
  <c r="E41" i="37"/>
  <c r="D39" i="37"/>
  <c r="F12" i="35"/>
  <c r="F37" i="35" s="1"/>
  <c r="E46" i="32"/>
  <c r="D46" i="32"/>
  <c r="E32" i="30"/>
  <c r="D19" i="5" s="1"/>
  <c r="E34" i="30"/>
  <c r="F13" i="30"/>
  <c r="E36" i="29"/>
  <c r="F12" i="29"/>
  <c r="F36" i="29" s="1"/>
  <c r="D36" i="29"/>
  <c r="C18" i="5" s="1"/>
  <c r="D34" i="29"/>
  <c r="F11" i="28"/>
  <c r="F11" i="27"/>
  <c r="F33" i="27" s="1"/>
  <c r="F11" i="26"/>
  <c r="E34" i="25"/>
  <c r="F35" i="25"/>
  <c r="F11" i="25"/>
  <c r="C12" i="5"/>
  <c r="F32" i="25"/>
  <c r="E36" i="24"/>
  <c r="D36" i="24"/>
  <c r="C14" i="5" s="1"/>
  <c r="E34" i="24"/>
  <c r="D14" i="5" s="1"/>
  <c r="D34" i="24"/>
  <c r="F36" i="24"/>
  <c r="F32" i="23"/>
  <c r="F11" i="23"/>
  <c r="F31" i="23" s="1"/>
  <c r="D37" i="21"/>
  <c r="F37" i="21" s="1"/>
  <c r="D38" i="19"/>
  <c r="F19" i="19"/>
  <c r="F40" i="19" s="1"/>
  <c r="E40" i="19"/>
  <c r="D34" i="18"/>
  <c r="E36" i="16"/>
  <c r="F36" i="16"/>
  <c r="D31" i="15"/>
  <c r="F31" i="15" s="1"/>
  <c r="E33" i="15"/>
  <c r="F61" i="14"/>
  <c r="F11" i="14"/>
  <c r="D60" i="14"/>
  <c r="C5" i="5" s="1"/>
  <c r="D30" i="13"/>
  <c r="F33" i="13"/>
  <c r="F13" i="13"/>
  <c r="F32" i="13" s="1"/>
  <c r="F11" i="11"/>
  <c r="E67" i="11"/>
  <c r="E11" i="11"/>
  <c r="F23" i="11"/>
  <c r="F22" i="11" s="1"/>
  <c r="D66" i="11"/>
  <c r="D64" i="11"/>
  <c r="F39" i="37" l="1"/>
  <c r="F34" i="29"/>
  <c r="F39" i="41"/>
  <c r="F39" i="40"/>
  <c r="F36" i="28"/>
  <c r="F34" i="25"/>
  <c r="F41" i="22"/>
  <c r="F30" i="13"/>
  <c r="C32" i="5"/>
  <c r="C34" i="5" s="1"/>
  <c r="F52" i="38"/>
  <c r="D34" i="5"/>
  <c r="F60" i="14"/>
  <c r="F34" i="28"/>
  <c r="L34" i="6"/>
  <c r="E34" i="6"/>
  <c r="F58" i="14"/>
  <c r="D33" i="7"/>
  <c r="F45" i="26"/>
  <c r="F43" i="26"/>
  <c r="G11" i="4"/>
  <c r="E14" i="3"/>
  <c r="F37" i="20"/>
  <c r="F36" i="43"/>
  <c r="K33" i="7"/>
  <c r="F40" i="36"/>
  <c r="F38" i="36"/>
  <c r="F32" i="30"/>
  <c r="F31" i="27"/>
  <c r="F38" i="19"/>
  <c r="F29" i="23"/>
  <c r="F35" i="20"/>
  <c r="F34" i="18"/>
  <c r="E64" i="11"/>
  <c r="F64" i="11" s="1"/>
  <c r="E66" i="11"/>
  <c r="E48" i="39"/>
  <c r="F48" i="39" s="1"/>
  <c r="F50" i="38"/>
  <c r="F35" i="35"/>
  <c r="F38" i="43"/>
  <c r="F44" i="32"/>
  <c r="F46" i="32"/>
  <c r="F45" i="31"/>
  <c r="F21" i="39"/>
  <c r="F12" i="39"/>
  <c r="F51" i="39"/>
  <c r="F35" i="30"/>
  <c r="F12" i="30"/>
  <c r="F34" i="30" s="1"/>
  <c r="F34" i="24"/>
  <c r="D41" i="22"/>
  <c r="F66" i="11"/>
  <c r="F67" i="11"/>
  <c r="D10" i="8" l="1"/>
  <c r="G7" i="4"/>
  <c r="D10" i="9"/>
  <c r="F50" i="39"/>
  <c r="D56" i="2"/>
  <c r="D55" i="2" s="1"/>
  <c r="C14" i="3" s="1"/>
  <c r="D52" i="2"/>
  <c r="D67" i="2"/>
  <c r="E56" i="2"/>
  <c r="E55" i="2" s="1"/>
  <c r="D35" i="5" l="1"/>
  <c r="D36" i="5" s="1"/>
  <c r="C12" i="3"/>
  <c r="D53" i="2"/>
  <c r="D3" i="9"/>
  <c r="D6" i="9" s="1"/>
  <c r="D10" i="4"/>
  <c r="F55" i="2"/>
  <c r="D4" i="10"/>
  <c r="D7" i="10" s="1"/>
  <c r="D11" i="4"/>
  <c r="D58" i="2"/>
  <c r="F52" i="2"/>
  <c r="D71" i="2" l="1"/>
  <c r="D70" i="2"/>
  <c r="P59" i="1" l="1"/>
  <c r="D52" i="1"/>
  <c r="D51" i="1" s="1"/>
  <c r="E52" i="1"/>
  <c r="E51" i="1" s="1"/>
  <c r="F52" i="1"/>
  <c r="F51" i="1" s="1"/>
  <c r="G52" i="1"/>
  <c r="G51" i="1" s="1"/>
  <c r="H52" i="1"/>
  <c r="H51" i="1" s="1"/>
  <c r="I52" i="1"/>
  <c r="I51" i="1" s="1"/>
  <c r="J52" i="1"/>
  <c r="J51" i="1" s="1"/>
  <c r="K52" i="1"/>
  <c r="K51" i="1" s="1"/>
  <c r="L52" i="1"/>
  <c r="L51" i="1" s="1"/>
  <c r="M52" i="1"/>
  <c r="M51" i="1" s="1"/>
  <c r="N52" i="1"/>
  <c r="N51" i="1" s="1"/>
  <c r="O52" i="1"/>
  <c r="O51" i="1" s="1"/>
  <c r="K49" i="1"/>
  <c r="E49" i="1"/>
  <c r="F49" i="1"/>
  <c r="G49" i="1"/>
  <c r="H49" i="1"/>
  <c r="I49" i="1"/>
  <c r="J49" i="1"/>
  <c r="L49" i="1"/>
  <c r="M49" i="1"/>
  <c r="N49" i="1"/>
  <c r="O49" i="1"/>
  <c r="D49" i="1"/>
  <c r="E47" i="1"/>
  <c r="F47" i="1"/>
  <c r="G47" i="1"/>
  <c r="H47" i="1"/>
  <c r="I47" i="1"/>
  <c r="J47" i="1"/>
  <c r="K47" i="1"/>
  <c r="L47" i="1"/>
  <c r="M47" i="1"/>
  <c r="N47" i="1"/>
  <c r="O47" i="1"/>
  <c r="D47" i="1"/>
  <c r="G40" i="1"/>
  <c r="F40" i="1"/>
  <c r="E40" i="1"/>
  <c r="H40" i="1"/>
  <c r="I40" i="1"/>
  <c r="J40" i="1"/>
  <c r="K40" i="1"/>
  <c r="L40" i="1"/>
  <c r="M40" i="1"/>
  <c r="N40" i="1"/>
  <c r="O40" i="1"/>
  <c r="D40" i="1"/>
  <c r="E37" i="1"/>
  <c r="E36" i="1" s="1"/>
  <c r="F37" i="1"/>
  <c r="F36" i="1" s="1"/>
  <c r="G37" i="1"/>
  <c r="G36" i="1" s="1"/>
  <c r="H37" i="1"/>
  <c r="H36" i="1" s="1"/>
  <c r="I37" i="1"/>
  <c r="I36" i="1" s="1"/>
  <c r="J37" i="1"/>
  <c r="J36" i="1" s="1"/>
  <c r="K37" i="1"/>
  <c r="K36" i="1" s="1"/>
  <c r="L37" i="1"/>
  <c r="L36" i="1" s="1"/>
  <c r="M37" i="1"/>
  <c r="M36" i="1" s="1"/>
  <c r="N37" i="1"/>
  <c r="N36" i="1" s="1"/>
  <c r="O37" i="1"/>
  <c r="O36" i="1" s="1"/>
  <c r="D37" i="1"/>
  <c r="D36" i="1" s="1"/>
  <c r="H34" i="1"/>
  <c r="E34" i="1"/>
  <c r="F34" i="1"/>
  <c r="G34" i="1"/>
  <c r="I34" i="1"/>
  <c r="J34" i="1"/>
  <c r="K34" i="1"/>
  <c r="L34" i="1"/>
  <c r="M34" i="1"/>
  <c r="N34" i="1"/>
  <c r="O34" i="1"/>
  <c r="D34" i="1"/>
  <c r="O18" i="1"/>
  <c r="N18" i="1"/>
  <c r="M18" i="1"/>
  <c r="L18" i="1"/>
  <c r="K18" i="1"/>
  <c r="J18" i="1"/>
  <c r="I18" i="1"/>
  <c r="H18" i="1"/>
  <c r="G18" i="1"/>
  <c r="F18" i="1"/>
  <c r="E18" i="1"/>
  <c r="D18" i="1"/>
  <c r="D17" i="1" s="1"/>
  <c r="N9" i="1"/>
  <c r="N8" i="1" s="1"/>
  <c r="O9" i="1"/>
  <c r="O8" i="1" s="1"/>
  <c r="M9" i="1"/>
  <c r="L9" i="1"/>
  <c r="K9" i="1"/>
  <c r="K8" i="1" s="1"/>
  <c r="J9" i="1"/>
  <c r="I9" i="1"/>
  <c r="I8" i="1" s="1"/>
  <c r="H9" i="1"/>
  <c r="G9" i="1"/>
  <c r="G8" i="1" s="1"/>
  <c r="F9" i="1"/>
  <c r="F8" i="1" s="1"/>
  <c r="E9" i="1"/>
  <c r="D9" i="1"/>
  <c r="P38" i="1"/>
  <c r="E38" i="2" s="1"/>
  <c r="E37" i="2" s="1"/>
  <c r="E36" i="2" s="1"/>
  <c r="D8" i="4" s="1"/>
  <c r="P22" i="1"/>
  <c r="E22" i="2" s="1"/>
  <c r="P25" i="1"/>
  <c r="E25" i="2" s="1"/>
  <c r="P24" i="1"/>
  <c r="E24" i="2" s="1"/>
  <c r="D39" i="1" l="1"/>
  <c r="L39" i="1"/>
  <c r="D58" i="1"/>
  <c r="L58" i="1"/>
  <c r="H17" i="1"/>
  <c r="G17" i="1"/>
  <c r="E58" i="1"/>
  <c r="F17" i="1"/>
  <c r="O39" i="1"/>
  <c r="E17" i="1"/>
  <c r="N39" i="1"/>
  <c r="G58" i="1"/>
  <c r="M39" i="1"/>
  <c r="M58" i="1"/>
  <c r="F39" i="1"/>
  <c r="N17" i="1"/>
  <c r="M17" i="1"/>
  <c r="E39" i="1"/>
  <c r="E8" i="1"/>
  <c r="I58" i="1"/>
  <c r="K39" i="1"/>
  <c r="J39" i="1"/>
  <c r="L8" i="1"/>
  <c r="P37" i="1"/>
  <c r="P36" i="1" s="1"/>
  <c r="J58" i="1"/>
  <c r="J17" i="1"/>
  <c r="N58" i="1"/>
  <c r="H58" i="1"/>
  <c r="L17" i="1"/>
  <c r="M8" i="1"/>
  <c r="K58" i="1"/>
  <c r="O58" i="1"/>
  <c r="I17" i="1"/>
  <c r="J8" i="1"/>
  <c r="F58" i="1"/>
  <c r="G39" i="1"/>
  <c r="D8" i="1"/>
  <c r="H8" i="1"/>
  <c r="O17" i="1"/>
  <c r="H39" i="1"/>
  <c r="K17" i="1"/>
  <c r="I39" i="1"/>
  <c r="N55" i="1" l="1"/>
  <c r="G55" i="1"/>
  <c r="F55" i="1"/>
  <c r="N57" i="1"/>
  <c r="I57" i="1"/>
  <c r="G57" i="1"/>
  <c r="K57" i="1"/>
  <c r="F57" i="1"/>
  <c r="P58" i="1"/>
  <c r="E55" i="1"/>
  <c r="E57" i="1"/>
  <c r="D55" i="1"/>
  <c r="D57" i="1"/>
  <c r="I55" i="1"/>
  <c r="K55" i="1"/>
  <c r="H55" i="1"/>
  <c r="H57" i="1"/>
  <c r="M57" i="1"/>
  <c r="M55" i="1"/>
  <c r="L55" i="1"/>
  <c r="L57" i="1"/>
  <c r="J57" i="1"/>
  <c r="J55" i="1"/>
  <c r="O57" i="1"/>
  <c r="O55" i="1"/>
  <c r="P10" i="1"/>
  <c r="E10" i="2" s="1"/>
  <c r="P11" i="1"/>
  <c r="E11" i="2" s="1"/>
  <c r="P12" i="1"/>
  <c r="E12" i="2" s="1"/>
  <c r="P13" i="1"/>
  <c r="E13" i="2" s="1"/>
  <c r="P14" i="1"/>
  <c r="E14" i="2" s="1"/>
  <c r="P15" i="1"/>
  <c r="E15" i="2" s="1"/>
  <c r="P16" i="1"/>
  <c r="E16" i="2" s="1"/>
  <c r="P19" i="1"/>
  <c r="E19" i="2" s="1"/>
  <c r="P20" i="1"/>
  <c r="E20" i="2" s="1"/>
  <c r="P21" i="1"/>
  <c r="E21" i="2" s="1"/>
  <c r="P23" i="1"/>
  <c r="E23" i="2" s="1"/>
  <c r="P26" i="1"/>
  <c r="E26" i="2" s="1"/>
  <c r="P27" i="1"/>
  <c r="E27" i="2" s="1"/>
  <c r="P28" i="1"/>
  <c r="E28" i="2" s="1"/>
  <c r="P29" i="1"/>
  <c r="E29" i="2" s="1"/>
  <c r="P30" i="1"/>
  <c r="E30" i="2" s="1"/>
  <c r="P31" i="1"/>
  <c r="E31" i="2" s="1"/>
  <c r="P32" i="1"/>
  <c r="E32" i="2" s="1"/>
  <c r="P33" i="1"/>
  <c r="E33" i="2" s="1"/>
  <c r="P35" i="1"/>
  <c r="P41" i="1"/>
  <c r="E41" i="2" s="1"/>
  <c r="P42" i="1"/>
  <c r="E42" i="2" s="1"/>
  <c r="P43" i="1"/>
  <c r="E43" i="2" s="1"/>
  <c r="P44" i="1"/>
  <c r="E44" i="2" s="1"/>
  <c r="P45" i="1"/>
  <c r="E45" i="2" s="1"/>
  <c r="P46" i="1"/>
  <c r="E46" i="2" s="1"/>
  <c r="P48" i="1"/>
  <c r="P50" i="1"/>
  <c r="P53" i="1"/>
  <c r="E68" i="2" s="1"/>
  <c r="E67" i="2" s="1"/>
  <c r="E58" i="2" s="1"/>
  <c r="E18" i="2" l="1"/>
  <c r="P49" i="1"/>
  <c r="E50" i="2"/>
  <c r="E49" i="2" s="1"/>
  <c r="P34" i="1"/>
  <c r="E35" i="2"/>
  <c r="E34" i="2" s="1"/>
  <c r="P47" i="1"/>
  <c r="E48" i="2"/>
  <c r="E47" i="2" s="1"/>
  <c r="P57" i="1"/>
  <c r="D5" i="8"/>
  <c r="E40" i="2"/>
  <c r="E9" i="2"/>
  <c r="P52" i="1"/>
  <c r="P51" i="1" s="1"/>
  <c r="P9" i="1"/>
  <c r="P8" i="1" s="1"/>
  <c r="P40" i="1"/>
  <c r="P18" i="1"/>
  <c r="E71" i="2" l="1"/>
  <c r="C8" i="3" s="1"/>
  <c r="C18" i="3" s="1"/>
  <c r="E72" i="2"/>
  <c r="C35" i="5"/>
  <c r="C36" i="5" s="1"/>
  <c r="F58" i="2"/>
  <c r="D12" i="4" s="1"/>
  <c r="E17" i="2"/>
  <c r="D7" i="4" s="1"/>
  <c r="P17" i="1"/>
  <c r="P39" i="1"/>
  <c r="E8" i="2"/>
  <c r="E39" i="2"/>
  <c r="D9" i="4" s="1"/>
  <c r="E70" i="2" l="1"/>
  <c r="P55" i="1"/>
  <c r="E51" i="2"/>
  <c r="D6" i="4"/>
  <c r="D14" i="4" s="1"/>
  <c r="D3" i="8" l="1"/>
  <c r="D6" i="8" s="1"/>
  <c r="F51" i="2"/>
  <c r="F71" i="2" l="1"/>
  <c r="F72" i="2" s="1"/>
  <c r="F70" i="2"/>
  <c r="C34" i="6" l="1"/>
  <c r="G6" i="4" l="1"/>
  <c r="G14" i="4" s="1"/>
  <c r="D9" i="9"/>
  <c r="D14" i="9" s="1"/>
  <c r="E12" i="3" s="1"/>
  <c r="D9" i="8"/>
  <c r="D14" i="8" s="1"/>
  <c r="E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L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50% DEL FODES 25% SEGÚN REQUERIDO POR EL SAFIM Y LA LEY DEL FODES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dato tomado del Presupuesto de Ingresos con Fondos Propios año 2016 (UATM)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dato tomado del Presupuesto de Ingresos con Fondos Propios año 2016 (UATM)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 descuento por préstamo</t>
        </r>
      </text>
    </comment>
    <comment ref="D1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$449,752.82</t>
        </r>
      </text>
    </comment>
    <comment ref="D1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$149,770.00</t>
        </r>
      </text>
    </comment>
    <comment ref="D1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$114,633.85</t>
        </r>
      </text>
    </comment>
    <comment ref="D14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$57,245.95</t>
        </r>
      </text>
    </comment>
    <comment ref="D15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$25,000.00</t>
        </r>
      </text>
    </comment>
    <comment ref="D16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$24,000.00</t>
        </r>
      </text>
    </comment>
    <comment ref="D18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$47,338.80</t>
        </r>
      </text>
    </comment>
    <comment ref="D20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$56,875.00</t>
        </r>
      </text>
    </comment>
    <comment ref="D22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TOTAL $80,000.00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1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presupuestado por $200.00 poe cada sesion</t>
        </r>
      </text>
    </comment>
  </commentList>
</comments>
</file>

<file path=xl/sharedStrings.xml><?xml version="1.0" encoding="utf-8"?>
<sst xmlns="http://schemas.openxmlformats.org/spreadsheetml/2006/main" count="2007" uniqueCount="461">
  <si>
    <t>Total</t>
  </si>
  <si>
    <t>Cuentas por cobrar de años anteriores</t>
  </si>
  <si>
    <t>CUENTAS POR COBRAR DE AÑOS ANTERIORES</t>
  </si>
  <si>
    <t>SALDO DE AÑOS ANTERIORES</t>
  </si>
  <si>
    <t>Ingresos Diversos</t>
  </si>
  <si>
    <t>Otros Ingresos no Clasificados</t>
  </si>
  <si>
    <t>Arrendamiento de Bienes Inmuebles</t>
  </si>
  <si>
    <t>Arrendamiento de Bienes</t>
  </si>
  <si>
    <t>Otras Multas Municipales</t>
  </si>
  <si>
    <t>Multas al comercio</t>
  </si>
  <si>
    <t>Multa por Registro Civil</t>
  </si>
  <si>
    <t>Multa por Declaracion Extemporanea</t>
  </si>
  <si>
    <t>Intereses por Mora Impuestos</t>
  </si>
  <si>
    <t>Multa por Mora de Impuestos</t>
  </si>
  <si>
    <t>Multas e Intereses por Mora</t>
  </si>
  <si>
    <t>Ingresos Financieros y Otros</t>
  </si>
  <si>
    <t>Permisos y Licencias Municipales</t>
  </si>
  <si>
    <t>Derechos</t>
  </si>
  <si>
    <t>Rastro y Tiangue</t>
  </si>
  <si>
    <t>Postes Torres y Antenas</t>
  </si>
  <si>
    <t>Pavimentación</t>
  </si>
  <si>
    <t>Mercados</t>
  </si>
  <si>
    <t>Fiestas</t>
  </si>
  <si>
    <t>Desechos</t>
  </si>
  <si>
    <t>Cementerios Municipales</t>
  </si>
  <si>
    <t>Casetas Telefonicas</t>
  </si>
  <si>
    <t>Aseo Público</t>
  </si>
  <si>
    <t>Alumbrado Público</t>
  </si>
  <si>
    <t>Por Acceso a Lugares Publicos</t>
  </si>
  <si>
    <t>Expedición Docum. de Identificación</t>
  </si>
  <si>
    <t>Servicios de Certificación</t>
  </si>
  <si>
    <t>Tasas</t>
  </si>
  <si>
    <t>Tasas y Derechos</t>
  </si>
  <si>
    <t>Impuestos Municipales Diversos</t>
  </si>
  <si>
    <t>Vialidad</t>
  </si>
  <si>
    <t>Vallas publicitarias</t>
  </si>
  <si>
    <t>Hoteles, Moteles y Similares</t>
  </si>
  <si>
    <t>Servicios</t>
  </si>
  <si>
    <t>Industria</t>
  </si>
  <si>
    <t>Comercio</t>
  </si>
  <si>
    <t xml:space="preserve">Impuestos Municipales </t>
  </si>
  <si>
    <t>Impuestos</t>
  </si>
  <si>
    <t>Dic.</t>
  </si>
  <si>
    <t>Nov.</t>
  </si>
  <si>
    <t>Octubre</t>
  </si>
  <si>
    <t>Sept.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</si>
  <si>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</si>
  <si>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</si>
  <si>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</si>
  <si>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</si>
  <si>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</si>
  <si>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</si>
  <si>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</si>
  <si>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</si>
  <si>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CUENTA PRESUPUESTARIA</t>
  </si>
  <si>
    <t xml:space="preserve">CODIGO </t>
  </si>
  <si>
    <t>En Dolares de los Estados Unidos de América</t>
  </si>
  <si>
    <t>Fuente de Financiamiento: FF2 - Fondos Propios</t>
  </si>
  <si>
    <t>Presupuesto de Ingresos por Areas de Gestión - Ejercicio 2019</t>
  </si>
  <si>
    <t>ALCALDIA MUNCIPAL DE PANCHIMALCO, DEPARTAMENTO DE SAN SALVADOR</t>
  </si>
  <si>
    <t>BARRIDO DE CALLES</t>
  </si>
  <si>
    <t>CHAPODA</t>
  </si>
  <si>
    <t>Ingresos por Prestación de Servicios Públicos</t>
  </si>
  <si>
    <t>Servicios Básicos</t>
  </si>
  <si>
    <t>VENTA DE BIENES Y SERVICIOS</t>
  </si>
  <si>
    <t>TOTAL RUBROS</t>
  </si>
  <si>
    <t>TOTAL CUENTAS</t>
  </si>
  <si>
    <t>TOTAL OBJETOS ESPECIFICOS</t>
  </si>
  <si>
    <t>ALCALDIA MUNICIPAL DE PANCHIMALCO</t>
  </si>
  <si>
    <t>PRESUPUESTO INSTITUCIONAL DE INGRESOS</t>
  </si>
  <si>
    <t>EN DOLARES DE LOS ESTADOS UNIDOS DE AMERICA</t>
  </si>
  <si>
    <t>RUBRO CUENTA OBJ. ESP</t>
  </si>
  <si>
    <t>ESPECIFICO</t>
  </si>
  <si>
    <t>FONDO GENERAL FF1 25% Y 75% FODES</t>
  </si>
  <si>
    <t>FONDO COMUN FF 2</t>
  </si>
  <si>
    <t>TOTAL</t>
  </si>
  <si>
    <t>IMPUESTOS</t>
  </si>
  <si>
    <t>IMPUESTOS MUNICIPALES</t>
  </si>
  <si>
    <t>COMERCIO</t>
  </si>
  <si>
    <t>INDUSTRIA</t>
  </si>
  <si>
    <t>SERVICIOS</t>
  </si>
  <si>
    <t>HOTELES, MOTELES Y SIMILARES</t>
  </si>
  <si>
    <t>VIALIDAD</t>
  </si>
  <si>
    <t>IMPUESTOS MUNICIPALES DIVERSOS</t>
  </si>
  <si>
    <t>TASAS Y DERECHOS</t>
  </si>
  <si>
    <t>TASAS DE SERVICIOS PUBLICOS</t>
  </si>
  <si>
    <t>SERVICIOS DE CERTIFICACION</t>
  </si>
  <si>
    <t>EXPEDICION DE DOCUMENTOS DE IDENTIFICACION</t>
  </si>
  <si>
    <t>POR ACCESO A LUGARES PUBLICOS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</si>
  <si>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</si>
  <si>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</si>
  <si>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</si>
  <si>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</si>
  <si>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</si>
  <si>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</si>
  <si>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</si>
  <si>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</si>
  <si>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</si>
  <si>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>DERECHOS</t>
  </si>
  <si>
    <t>PERMISOS Y LICENCIAS MUNICIPALES</t>
  </si>
  <si>
    <t>INGRESOS FINANCIEROS Y OTROS</t>
  </si>
  <si>
    <t>MULTAS E INTERESES POR MORA</t>
  </si>
  <si>
    <t>MULTA POR MORA DE IMPUESTO</t>
  </si>
  <si>
    <t>INTERESES POR MORA DE IMPUESTOS</t>
  </si>
  <si>
    <t>MULTA POR DECLARACION EXTEMPORANEA</t>
  </si>
  <si>
    <t>MULTA POR REGISTRO CIVIL</t>
  </si>
  <si>
    <t>MULTAS AL COMERCIO</t>
  </si>
  <si>
    <t>OTRAS MULTAS MUNICIPALES</t>
  </si>
  <si>
    <t>ARRENDAMIENTO DE BIENES</t>
  </si>
  <si>
    <t>ARRENDAMIENTOS DE BIENES INMUEBLES</t>
  </si>
  <si>
    <t>OTROS INGRESOS NO CLASIFICADOS</t>
  </si>
  <si>
    <t>INGRESOS DIVERSOS</t>
  </si>
  <si>
    <t>SUB TOTAL DE INGRESOS</t>
  </si>
  <si>
    <t>TRANSFERENCIAS CORRIENTES</t>
  </si>
  <si>
    <t xml:space="preserve">TRANSFERENCIAS CORRIENTES DEL SECTOR PUBLICO </t>
  </si>
  <si>
    <t>TRANSFERENCIAS CORRIENTES DEL SECTOR PUBLICO 25%</t>
  </si>
  <si>
    <t>TRANSFERENCIAS DE CAPITAL</t>
  </si>
  <si>
    <t>TRANSFERENCIAS DE CAPITAL DEL SECTOR PUBLICO</t>
  </si>
  <si>
    <t>TRANSFERENCIAS DE CAPITAL DEL SECTOR PUBLICO 75%</t>
  </si>
  <si>
    <t>SALDO INICIALES CAJA Y BANCOS</t>
  </si>
  <si>
    <t>SALDOS INICIALES EN CAJA</t>
  </si>
  <si>
    <t>SALDO INICIAL EN BANCOS Y CUENTAS DE AHORRO CORRIENTES FONDOS PROPIOS</t>
  </si>
  <si>
    <t>SALDO INICIAL EN BANCOS 5%</t>
  </si>
  <si>
    <t>SALDO INICIAL EN BANCOS 25%</t>
  </si>
  <si>
    <t>SALDO INICIAL EN BANCOS 75%</t>
  </si>
  <si>
    <t>SALDOS INICIALES FONDOS FISDL-PFGL</t>
  </si>
  <si>
    <t>SUB TOTAL TRANSF + SALDOS INICIALES EN CAJA Y BANCOS</t>
  </si>
  <si>
    <t>TOTAL GENERAL DE INGRESOS</t>
  </si>
  <si>
    <t>DIFERENCIA</t>
  </si>
  <si>
    <t>FONDOS PROPIOS</t>
  </si>
  <si>
    <t xml:space="preserve">           FONDOS PROPIOS</t>
  </si>
  <si>
    <t xml:space="preserve">FONDOS FODES 25% </t>
  </si>
  <si>
    <t>PROYECTADOS FODES 25%</t>
  </si>
  <si>
    <t>FONDO FODES 75%</t>
  </si>
  <si>
    <t>PROYECTADOS FODES 75%</t>
  </si>
  <si>
    <t>GASTOS PROYECTADOS 2019</t>
  </si>
  <si>
    <t>EJERCICIO FINANCIERO FISCAL 2019</t>
  </si>
  <si>
    <t>EXPRESADO EN DOLARES DE LOS ESTADOS UNIDOS DE AMERICA</t>
  </si>
  <si>
    <t>INGRESOS</t>
  </si>
  <si>
    <t>EGRESOS</t>
  </si>
  <si>
    <t>REMUNERACIONES</t>
  </si>
  <si>
    <t>ADQUISICION DE BIENES Y SERVICIOS</t>
  </si>
  <si>
    <t>GASTOS FINANCIEROS Y OTROS</t>
  </si>
  <si>
    <t>INVERSIONES EN ACTIVO FIJO</t>
  </si>
  <si>
    <t>TOTAL INGRESOS</t>
  </si>
  <si>
    <t>TOTAL EGRESOS</t>
  </si>
  <si>
    <t>COD.</t>
  </si>
  <si>
    <t>UNIDADES</t>
  </si>
  <si>
    <t>FODES 25%</t>
  </si>
  <si>
    <t>CONCEJO</t>
  </si>
  <si>
    <t>DESPACHO</t>
  </si>
  <si>
    <t>SINDICATURA</t>
  </si>
  <si>
    <t>SECRETARÍA</t>
  </si>
  <si>
    <t>JURIDICO</t>
  </si>
  <si>
    <t>GERENCIA</t>
  </si>
  <si>
    <t>AUDITORIA</t>
  </si>
  <si>
    <t>RECURSOS HUMANOS</t>
  </si>
  <si>
    <t>CONTABILIDAD</t>
  </si>
  <si>
    <t>PRESUPUESTO</t>
  </si>
  <si>
    <t>TESORERIA</t>
  </si>
  <si>
    <t>UATM</t>
  </si>
  <si>
    <t>UACI</t>
  </si>
  <si>
    <t>MERCADO Y PARQUE</t>
  </si>
  <si>
    <t>REGISTRO</t>
  </si>
  <si>
    <t>CEMENTERIO</t>
  </si>
  <si>
    <t>DISTRITO 1</t>
  </si>
  <si>
    <t>PROYECTOS</t>
  </si>
  <si>
    <t>ACCESO A LA INFORM.</t>
  </si>
  <si>
    <t>DESARROLLO TECNOL.</t>
  </si>
  <si>
    <t>COMUNICACIONES</t>
  </si>
  <si>
    <t>CAM</t>
  </si>
  <si>
    <t>DHI</t>
  </si>
  <si>
    <t>SERVICIOS GENERALES</t>
  </si>
  <si>
    <t>MEDIO AMBIENTE</t>
  </si>
  <si>
    <t>GESTION DE RIESGOS</t>
  </si>
  <si>
    <t>UDEL</t>
  </si>
  <si>
    <t>PROMOCIÓN SOCIAL</t>
  </si>
  <si>
    <t>GESTIÓN COOPERACCIÓN</t>
  </si>
  <si>
    <t>TOTALES</t>
  </si>
  <si>
    <t>MENOS: INGRESOS</t>
  </si>
  <si>
    <t>SALARIOS FONDO FODES 25%</t>
  </si>
  <si>
    <t>NOMBRE</t>
  </si>
  <si>
    <t>MONTO</t>
  </si>
  <si>
    <t>SINDICO</t>
  </si>
  <si>
    <t>SECRETARIA</t>
  </si>
  <si>
    <t>GERENTE</t>
  </si>
  <si>
    <t>R.R.H.H.</t>
  </si>
  <si>
    <t>MERCADO</t>
  </si>
  <si>
    <t>REF</t>
  </si>
  <si>
    <t>DISTRITO</t>
  </si>
  <si>
    <t>UAIP</t>
  </si>
  <si>
    <t>INFORMATICA</t>
  </si>
  <si>
    <t>SERVICIOS GRALES</t>
  </si>
  <si>
    <t>G. RIESGOS</t>
  </si>
  <si>
    <t>PROMO</t>
  </si>
  <si>
    <t>GESTION Y COOPERACION</t>
  </si>
  <si>
    <t>54 ADQUISICION DE BIENES Y SERVICIOS FONDOS PROPIOS</t>
  </si>
  <si>
    <t>54 ADQUISICION DE BIENES Y SERVICIOS FODES 25%</t>
  </si>
  <si>
    <t>UNIDAD</t>
  </si>
  <si>
    <t>MERCADO Y POLIDEPORTIVO</t>
  </si>
  <si>
    <t>REGISTRO FAMILIAR</t>
  </si>
  <si>
    <t>RASTRO Y CEMENTERIO</t>
  </si>
  <si>
    <t>ACCESO A LA INFORMACION</t>
  </si>
  <si>
    <t>DESARROLLO TECNOLOGICO</t>
  </si>
  <si>
    <t>PROMOCION SOCIAL</t>
  </si>
  <si>
    <t>55  GASTOS FINANCIEROS Y OTROS</t>
  </si>
  <si>
    <t>55 GASTOS FINANCIEROS Y OTROS</t>
  </si>
  <si>
    <t>56 TRANSFERENCIAS CORRIENTES</t>
  </si>
  <si>
    <t>61 INVERSIONES EN ACTIVO FIJO FONDOS PROPIOS</t>
  </si>
  <si>
    <t>61 INVERSIONES EN ACTIVO FIJO FODES 25%</t>
  </si>
  <si>
    <t>FONDOS PROPIOS 2019</t>
  </si>
  <si>
    <t>FODES 25% 2019</t>
  </si>
  <si>
    <t>Saldos Iniciales Fondos Propios</t>
  </si>
  <si>
    <t>Disponible</t>
  </si>
  <si>
    <t>N°</t>
  </si>
  <si>
    <t>DESCRIPCION</t>
  </si>
  <si>
    <t>VALOR</t>
  </si>
  <si>
    <t>GASTOS POR REMUNERACIONES (51)</t>
  </si>
  <si>
    <t>GASTOS DE FUNCIONAMIENTO (54)</t>
  </si>
  <si>
    <t>GASTOS FINANCIEROS Y OTROS (55)</t>
  </si>
  <si>
    <t>TRANSFERENCIAS CORRIENTES (56 )</t>
  </si>
  <si>
    <t>INVERSIONES EN ACTIVO FIJO (61)</t>
  </si>
  <si>
    <t>TOTAL DE GASTOS A FINANCIAR CON FONDOS PROPIOS</t>
  </si>
  <si>
    <t>EJERCICIO FISCAL AÑO 2019</t>
  </si>
  <si>
    <t>Ingresos Proyectados Fondos Fodes 25%</t>
  </si>
  <si>
    <t>Saldos Iniciales Fodes 25%</t>
  </si>
  <si>
    <t>ADQUISICION DE BIENES Y SERVICIOS (54)</t>
  </si>
  <si>
    <t>TRANSFERENCIAS CORRIENTES (56)</t>
  </si>
  <si>
    <t>TOTAL GASTOS A FINANCIAR CON FODES 25%</t>
  </si>
  <si>
    <t>Ingresos Proyectados FODES 75%</t>
  </si>
  <si>
    <t>Saldos iniciales Fodes 75%</t>
  </si>
  <si>
    <t>PROYECTO</t>
  </si>
  <si>
    <t>SALDO</t>
  </si>
  <si>
    <t>FODES 75%</t>
  </si>
  <si>
    <t>FIESTAS PATRONALES EN HONOR A LA SANTA CRUZ DE ROMA, MUNICIPIO DE PANCHIMALCO AÑO 2018</t>
  </si>
  <si>
    <t>MANTENIMIENTO PREVENTIVO Y CORRECTIVO EN CALLE LA RONDA Y AVENIDAS DEL CASCO URBANO DE PANCHIMALCO</t>
  </si>
  <si>
    <t>FODES 75 %  EJERCICIO FISCAL 2019</t>
  </si>
  <si>
    <t>Cuotas pendientes de cobro Diciembre 2018</t>
  </si>
  <si>
    <t>Presupuesto de Egresos Por Expresión Presupuestaria Y Fuente de Financiamiento.</t>
  </si>
  <si>
    <t>Area de Gestión                       1 CONDUCCION ADMINISTRATIVA</t>
  </si>
  <si>
    <t>Unidad Presupuestaria           01 DIRECCION Y ADMINISTRACION SUPERIOR</t>
  </si>
  <si>
    <t xml:space="preserve">Linea de Trabajo (Exp. Pres.) </t>
  </si>
  <si>
    <t>CONCEJO MUNICIPAL</t>
  </si>
  <si>
    <t>RUBRO</t>
  </si>
  <si>
    <t>CONCEPTOS</t>
  </si>
  <si>
    <t xml:space="preserve">F. F. 2           </t>
  </si>
  <si>
    <t>F. F. 1</t>
  </si>
  <si>
    <t>Fondos Prop.</t>
  </si>
  <si>
    <t>Fondos Gral. 25%</t>
  </si>
  <si>
    <t>REMUNERACIONES PERMANENTES</t>
  </si>
  <si>
    <t>Sueldos</t>
  </si>
  <si>
    <t>Aguinaldos</t>
  </si>
  <si>
    <t>Dietas</t>
  </si>
  <si>
    <t>Beneficios Adicionales</t>
  </si>
  <si>
    <t>Contrib. Patron. Inst. Segurid. Soc. Públicas</t>
  </si>
  <si>
    <t>Por Remuneraciones Permanentes</t>
  </si>
  <si>
    <t>Contrib. Patron. Inst. Segurid. Soc. Privadas</t>
  </si>
  <si>
    <t>INDEMNIZACIONES</t>
  </si>
  <si>
    <t>Al Personal de Servicios Permanentes</t>
  </si>
  <si>
    <t xml:space="preserve">ADQUISICIONES DE BIENES Y SERVICIOS   </t>
  </si>
  <si>
    <t xml:space="preserve">BIENES DE USO Y CONSUMO  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</si>
  <si>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</si>
  <si>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</si>
  <si>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</si>
  <si>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</si>
  <si>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</si>
  <si>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Minerales no Metalicos y Productos Derivados</t>
  </si>
  <si>
    <t>Minerales, Metalicos y Productos Derivados</t>
  </si>
  <si>
    <t>Materiales de Oficina</t>
  </si>
  <si>
    <t>Materiales Informaticos</t>
  </si>
  <si>
    <t>Materiales Electricos</t>
  </si>
  <si>
    <t>Bienes de Uso y Consumo Diversos</t>
  </si>
  <si>
    <t>SERVICIOS GENERALES Y ARRENDAMIENTOS</t>
  </si>
  <si>
    <t>Mtto. Y Rep. De Bienes Muebles</t>
  </si>
  <si>
    <t>Mtto. Y Rep. De Bienes Inmuebles</t>
  </si>
  <si>
    <t>Transp. Fletes y Almacenamientos</t>
  </si>
  <si>
    <t>Impresiones, Publicaciones y Reproducciones</t>
  </si>
  <si>
    <t>Atenciones Oficiales</t>
  </si>
  <si>
    <t>Servicios Generales y Arrendamientos Diversos</t>
  </si>
  <si>
    <t>PASAJES Y VIATICOS</t>
  </si>
  <si>
    <t>Pasajes al Interior</t>
  </si>
  <si>
    <t>Pasajes al Exterior</t>
  </si>
  <si>
    <t>Viaticos por Comision Externa</t>
  </si>
  <si>
    <t>CONSULTORIA, ESTUDIOS E INVESTIGACIONES</t>
  </si>
  <si>
    <t>Servicios Jurídicos</t>
  </si>
  <si>
    <t>Consultorias, Estudios e Investigaciones Diversas</t>
  </si>
  <si>
    <t>SEGUROS, COMISIONES Y GASTOS BANCARIOS</t>
  </si>
  <si>
    <t>Primas y Gastos de Seguros de Personas</t>
  </si>
  <si>
    <t>Primas y Gastos de Seguros de Bienes</t>
  </si>
  <si>
    <t>TRANSFERENCIAS CORRIENTES AL SECTOR PUBLICO</t>
  </si>
  <si>
    <t>COMURES</t>
  </si>
  <si>
    <t>AMUSDELI</t>
  </si>
  <si>
    <t>ENEPASA</t>
  </si>
  <si>
    <t>TRANSFERENCIAS CORRIENTES AL SECTOR PRIVADO</t>
  </si>
  <si>
    <t>A Personas Naturales</t>
  </si>
  <si>
    <t>INVERSIONES EN ACTIVOS FIJOS</t>
  </si>
  <si>
    <t>BIENES MUEBLES</t>
  </si>
  <si>
    <t>Mobiliario</t>
  </si>
  <si>
    <t>ALCALDIA MUNICIPAL  DE  PANCHIMALCO AÑO 2019</t>
  </si>
  <si>
    <t>Unidad Presupuestaria           02 SERVICIOS MUNICIPALES</t>
  </si>
  <si>
    <t>SERVICIOS EXTERNOS</t>
  </si>
  <si>
    <t xml:space="preserve">ADQUISIONES DE BIENES Y SERVICIOS   </t>
  </si>
  <si>
    <t>BIENES DE USO Y CONSUMO</t>
  </si>
  <si>
    <t>DESPACHO MUNICIPAL</t>
  </si>
  <si>
    <t xml:space="preserve">                      </t>
  </si>
  <si>
    <t>GASTOS DE REPRESENTACION</t>
  </si>
  <si>
    <t>Por Prestacion de Servicios en el Pais</t>
  </si>
  <si>
    <t>Productos Alimenticios Para Personas</t>
  </si>
  <si>
    <t>Productos quimicos</t>
  </si>
  <si>
    <t>Llantas y Neumaticos</t>
  </si>
  <si>
    <t>Herramientas, Repuestos y Accesorios</t>
  </si>
  <si>
    <t>mantenimiento y reparacion de vehiculos</t>
  </si>
  <si>
    <t>Transportes, Fletes y Almacenamientos</t>
  </si>
  <si>
    <t>Servicios de Publicidad</t>
  </si>
  <si>
    <t>Arrendamiento de bienes muebles</t>
  </si>
  <si>
    <t>Viaticos Por Comision Externa</t>
  </si>
  <si>
    <t>Servicios Juridicos</t>
  </si>
  <si>
    <t>Obras de Arte y Culturales</t>
  </si>
  <si>
    <t>SINDICATURA MUNICIPAL</t>
  </si>
  <si>
    <t>SECRETARIA MUNICIPAL</t>
  </si>
  <si>
    <t>Libros, Textos, Utiles de Enseñanza y Publicaciones</t>
  </si>
  <si>
    <t>Mobiliarios</t>
  </si>
  <si>
    <t>DEPARTAMENTO JURIDICO</t>
  </si>
  <si>
    <t>CONSULTORIAS, ESTUDIOS E INVESTIGACIONES</t>
  </si>
  <si>
    <t>GERENCIA GENERAL</t>
  </si>
  <si>
    <t>Libros, Textos y Utiles de Enseñanza</t>
  </si>
  <si>
    <t>Materiales Eléctricos</t>
  </si>
  <si>
    <t>Bienes Muebles</t>
  </si>
  <si>
    <t>Area de Gestión                       1 Conducción Administrativa</t>
  </si>
  <si>
    <t xml:space="preserve">Unidad Presupuestaria           01 AdministraciónSuperior </t>
  </si>
  <si>
    <t>Linea de Trabajo (Exp. Pres.) 0_</t>
  </si>
  <si>
    <t>UNIDAD DE AUDITORIA INTERNA</t>
  </si>
  <si>
    <t>Impresiones, Public. Y Reproducciones</t>
  </si>
  <si>
    <t>Serviciones Grales y Arrendamiento Diversos</t>
  </si>
  <si>
    <t>Remuneraciones Eventuales</t>
  </si>
  <si>
    <t>Productos Quimicos</t>
  </si>
  <si>
    <t>Materiales Informáticos</t>
  </si>
  <si>
    <t>Equipos Informáticos</t>
  </si>
  <si>
    <t>Unidad Presupuestaria           02 ADMINISTRACION FINANCIERA TRIBUTARIA</t>
  </si>
  <si>
    <t>DEPARTAMENTO DE TESORERIA</t>
  </si>
  <si>
    <t>Herramientas, repuestos y accesorios</t>
  </si>
  <si>
    <t>Especies Municipales Diversas</t>
  </si>
  <si>
    <t>Comisiones y Gastos Bancarios</t>
  </si>
  <si>
    <t xml:space="preserve"> PRESUPUESTO</t>
  </si>
  <si>
    <t xml:space="preserve"> CONTABILIDAD</t>
  </si>
  <si>
    <t xml:space="preserve">BIENES DE USO Y CONSUMO   </t>
  </si>
  <si>
    <t>Mantenimiento Y Reparacion de  Bienes Muebles</t>
  </si>
  <si>
    <t>Arrendamiento por el Uso de Bienes Intangibles</t>
  </si>
  <si>
    <t xml:space="preserve">BIENES MUEBLES    </t>
  </si>
  <si>
    <t>Equipo Informático</t>
  </si>
  <si>
    <t>ADMINISTRACION MERCADO Y POLIDEPORTIVO</t>
  </si>
  <si>
    <t>Combustibles y Lubricantes</t>
  </si>
  <si>
    <t>Minerales No Metalicos y Productos Derivados</t>
  </si>
  <si>
    <t>Maquinaria y Equipo</t>
  </si>
  <si>
    <t>SERVICIOS INTERNOS</t>
  </si>
  <si>
    <t>Productos Químicos</t>
  </si>
  <si>
    <t>SERVICIOS BASICOS</t>
  </si>
  <si>
    <t>Servicios De Correos</t>
  </si>
  <si>
    <t>Equipos Informaticos</t>
  </si>
  <si>
    <t>ADMINISTRACION CEMENTERIO Y RASTRO</t>
  </si>
  <si>
    <t>Minerales Metalicos y Productos Derivados</t>
  </si>
  <si>
    <t>DISTRITO 1 LOS PLANES</t>
  </si>
  <si>
    <t>Minerales  Metalicos y Productos Derivados</t>
  </si>
  <si>
    <t>Servicios de Energia Electrica</t>
  </si>
  <si>
    <t>Servicios de Agua</t>
  </si>
  <si>
    <t>Servicios de Telecomunicaciones</t>
  </si>
  <si>
    <t>Mantenimiento y Reparacion de Bienes Inmuebles</t>
  </si>
  <si>
    <t>Arrendamiento de Bienes Muebles</t>
  </si>
  <si>
    <t>PLANIFICACION Y PROYECTOS</t>
  </si>
  <si>
    <t>Mantenimiento y Reparaciones de Vehiculos</t>
  </si>
  <si>
    <t xml:space="preserve">transporte, flete y almacenamientos </t>
  </si>
  <si>
    <t xml:space="preserve"> INVERSIONES EN ACTIVOS FIJOS</t>
  </si>
  <si>
    <t>Equipos informaticos</t>
  </si>
  <si>
    <t xml:space="preserve">BIENES MUEBLES   </t>
  </si>
  <si>
    <t>Derechos de Propiedad Intelectual</t>
  </si>
  <si>
    <t>Combustibles Y Lubricantes</t>
  </si>
  <si>
    <t>DESARROLLO HUMANO INTEGRAL</t>
  </si>
  <si>
    <t>Herramientas repuestos y accesorios</t>
  </si>
  <si>
    <t>Mantenimiento y Reparacion de Bienes Muebles</t>
  </si>
  <si>
    <t>Transportes Fletes y Almacenamiento</t>
  </si>
  <si>
    <t>Alumbrado Publico</t>
  </si>
  <si>
    <t>Mantenimiento y Reparaciones de Bienes Inmuebles</t>
  </si>
  <si>
    <t>Transportes, fletes y almacenamientos</t>
  </si>
  <si>
    <t>MEDIO AMBIENTE Y GESTION DE RIESGOS</t>
  </si>
  <si>
    <t>Productos Alimenticios para animales</t>
  </si>
  <si>
    <t>Bienes de Uso Y Consumo Diversos</t>
  </si>
  <si>
    <t>Mtto y Reparaciones de Vehiculos</t>
  </si>
  <si>
    <t>Servicios de Capacitacion</t>
  </si>
  <si>
    <t xml:space="preserve">REMUNERACIONES PERMANENTES </t>
  </si>
  <si>
    <t>Fondos Gral. 75%</t>
  </si>
  <si>
    <t>Salario por jornal</t>
  </si>
  <si>
    <t>Minerales no Metálicos y Productos Derivados</t>
  </si>
  <si>
    <t>Minerales Metálicos y Productos Derivados</t>
  </si>
  <si>
    <t>Consultorías, Estudios e Investigaciones Diversas</t>
  </si>
  <si>
    <t>Intereses y Comisiones de Empréstitos Internos</t>
  </si>
  <si>
    <t>De Instituciones Descentralizadas no Empresariales</t>
  </si>
  <si>
    <t>Seguros, Comisiones y Gastos Bancarios</t>
  </si>
  <si>
    <t>Infraestructuras</t>
  </si>
  <si>
    <t>Supervisión de Infraestructuras</t>
  </si>
  <si>
    <t>Obras de Infraestructura Diversas</t>
  </si>
  <si>
    <t>ALCALDIA MUNICIPAL  DE  PANCHIMALCO 2019</t>
  </si>
  <si>
    <t>GASTOS PROGRAMADOS 2019</t>
  </si>
  <si>
    <t xml:space="preserve">Productos Textiles </t>
  </si>
  <si>
    <t xml:space="preserve">Mantenimiento y Reparacion de Bienes Muebles </t>
  </si>
  <si>
    <t>Libros, Textos y Utiles de Enz y Public.</t>
  </si>
  <si>
    <t>Herramientas, Rep. Y Accesorios</t>
  </si>
  <si>
    <t>Vehículo de Transporte</t>
  </si>
  <si>
    <t>101-103</t>
  </si>
  <si>
    <t>401-501-601-701</t>
  </si>
  <si>
    <t xml:space="preserve">PRESUPUESTO </t>
  </si>
  <si>
    <t>Ingresos Proyectados Fondos Propios</t>
  </si>
  <si>
    <t>PROYECTOS FINANCIADOS FODES 75% 2019 Y PROYECTOS DE AÑOS ANTERIORES</t>
  </si>
  <si>
    <t>RECOLECCION Y DISPOSICION DE DESECHOS SOLIDOS, COMBUSTIBLES Y MANTENIMIENTO DE CAMIONES RECOLECTORES DE DESECHOS SOLIDOS DEL MUNICIPIO DE PANCHIMALCO AÑO 2019</t>
  </si>
  <si>
    <t>LAS ARTES UN CAMINO PARA CONSTRUIR LA PAZ, AÑO 2019</t>
  </si>
  <si>
    <t>LIMPIEZA Y CHAPODA GENERAL DE LAS DIFERENTES CALLES Y CUNETAS DEL MUNICIPIO DE PANCHIMALCO, AÑO 2019</t>
  </si>
  <si>
    <t>FUNCIONAMIENTO OPTIMO DEL SISTEMA DE VIDEO VIGILANCIA Y COBERTURA DE SEGURIDAD EN ZONA PLANES DE RENDEROS Y CASCO URBANO DE PANCHIMALCO, AÑO 2019.</t>
  </si>
  <si>
    <t>CENTRO MUNICIPAL DE FORMACION VOCACIONAL (CMFV) Y ACADEMIA MICROSOFT MUNICIPAL PANCHIMALCO AÑO 2019.</t>
  </si>
  <si>
    <t>CENTRO PARA EL DESARROLLO PRODUCTIVO DE LAS MUJERES, AÑO 2019.</t>
  </si>
  <si>
    <t>APOYO A LA CALIDAD EDUCATIVA DEL MUNICIPIO DE PANCHIMALCO, DE FEBRERO A NOVIEMBRE DEL  2019.</t>
  </si>
  <si>
    <t>APORTE MUNICIPAL IMPULSANDO LA NIÑEZ, JUVENTUD, DEPORTE Y CULTURA, AÑO 2019.</t>
  </si>
  <si>
    <t>ORQUESTA FILARMONICA MUNICIPAL DE PANCHIMALCO, FEBRERO A DICIEMBRE DE 2019.</t>
  </si>
  <si>
    <t>MANTENIMIENTO Y EQUIPAMIENTO DEL AREA DE MERCADO, POLIDEPORTIVO Y PARQUE ACUATICO, AÑO 2019.</t>
  </si>
  <si>
    <t>APOYO A INICIATIVAS DE PRINCIPIOS Y VALORES QUE LAS IGLESIAS DESARROLLAN EN EL MUNICIPIO DE PANCHIMALCO, AÑO 2019.</t>
  </si>
  <si>
    <t>FISDL  EJERCICIO FISCAL 2019</t>
  </si>
  <si>
    <t>FISDL</t>
  </si>
  <si>
    <t>Ingresos Proyectados FISDL</t>
  </si>
  <si>
    <t>Saldos iniciales FISDL</t>
  </si>
  <si>
    <t>SALDO INICIAL EN BANCO DE DONACIONES</t>
  </si>
  <si>
    <t>Ingresos Proyectados Donaciones</t>
  </si>
  <si>
    <t>DONACIONES  EJERCICIO FISCAL 2019</t>
  </si>
  <si>
    <t>Saldos iniciales en Banco Donaciones</t>
  </si>
  <si>
    <t xml:space="preserve"> </t>
  </si>
  <si>
    <t>CONCEJO MUNICIPAL (FISDL)</t>
  </si>
  <si>
    <t>Donaciones</t>
  </si>
  <si>
    <t xml:space="preserve">Gasto </t>
  </si>
  <si>
    <t>Gasto</t>
  </si>
  <si>
    <t>Fondo Gral. 25%</t>
  </si>
  <si>
    <t>INGRESOS PROYECTADOS 2019</t>
  </si>
  <si>
    <t>Productos Alimenticios para Animales</t>
  </si>
  <si>
    <t>Productos Farmacéuticos y Medicinales</t>
  </si>
  <si>
    <t>Maquinarias y Equipos</t>
  </si>
  <si>
    <t>Barrido de calles</t>
  </si>
  <si>
    <t>Chapoda</t>
  </si>
  <si>
    <t>Comisiones y Descuentos sobre Ventas</t>
  </si>
  <si>
    <t>Otros Gastos no Clasificados</t>
  </si>
  <si>
    <t>XXXVIII FERIA CULTURAL DE LAS FLORES Y LAS PALMAS AÑO 2019</t>
  </si>
  <si>
    <t>APORTE MUNICIPAL FIESTAS PATRONALES SAN ANTONIO DE PADUA, CANTON LOS PLANESDE RENDEROS DEL MUNICIPIO DE PANCHIMALCO AÑO 2019</t>
  </si>
  <si>
    <t>Cuotas pendientes de mes diciembre 2018</t>
  </si>
  <si>
    <t xml:space="preserve"> PROPIOS</t>
  </si>
  <si>
    <t>APORTE ECONOMICO MUNICIPAL PARA OTORGAR BECAS A JOVENES ESTUDIANTES DE EDUCACION MEDIA Y SUPERIOR RESIDENTES EN EL MUNICIPIO DE PANCHIMALCO, AÑO 2019</t>
  </si>
  <si>
    <t>MANTENIMIENTO PREVENTIVO Y CORRECTIVO DEL SERVICIO DE ALUMBRADO PUBLICO DE LA CIUDAD DE PANCHIMALCO, AÑO 2019</t>
  </si>
  <si>
    <t>FUNCIONAMIENTO DE LOS CENTRO DE DESARROLLOS Y APRENDISAJE (CDA) ALCALDIA DE PANCHIMALCO, AÑO 2019.</t>
  </si>
  <si>
    <t>CONFORMACION Y COMPACTACION DE CALLES NO PAVIMENTADAS EN CASERIO LAS MORENAS, CANTON AMAYON AÑO 2019, MUNICIPIO DE PANCHIMALCO, DEPARTAMENTO DE SAN SAVADOR</t>
  </si>
  <si>
    <t>TERCER SIMPOSIOESCULTORICO INTERNACIONAL PANCHIMALCO 2019.</t>
  </si>
  <si>
    <t>UNIDAD MUNICIPAL DE LA MUJER AÑO 2019</t>
  </si>
  <si>
    <t>CONCEJO MUNICIPAL DONACION</t>
  </si>
  <si>
    <t>salarios por jornal</t>
  </si>
  <si>
    <t>DONACIONES</t>
  </si>
  <si>
    <t>FONDO DE DONACIONES</t>
  </si>
  <si>
    <t>FONDO FISDL</t>
  </si>
  <si>
    <t>SALARIOS FONDO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</si>
</sst>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([$$-409]* #,##0.00_);_([$$-409]* \(#,##0.00\);_([$$-409]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u val="singleAccounting"/>
      <sz val="14"/>
      <color theme="1"/>
      <name val="Arial"/>
      <family val="2"/>
    </font>
    <font>
      <b/>
      <u val="singleAccounting"/>
      <sz val="14"/>
      <name val="Arial"/>
      <family val="2"/>
    </font>
    <font>
      <sz val="11"/>
      <name val="Arial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sz val="8"/>
      <color theme="1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i/>
      <sz val="10"/>
      <color theme="1"/>
      <name val="Calibri Light"/>
      <family val="1"/>
      <scheme val="major"/>
    </font>
    <font>
      <b/>
      <sz val="9"/>
      <name val="Arial"/>
      <family val="2"/>
    </font>
    <font>
      <b/>
      <sz val="8"/>
      <name val="Arial"/>
      <family val="2"/>
    </font>
    <font>
      <b/>
      <u val="singleAccounting"/>
      <sz val="12"/>
      <color theme="1"/>
      <name val="Calibri Light"/>
      <family val="1"/>
      <scheme val="major"/>
    </font>
    <font>
      <b/>
      <i/>
      <sz val="12"/>
      <color theme="1"/>
      <name val="Calibri Light"/>
      <family val="1"/>
      <scheme val="maj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sz val="10"/>
      <name val="Century Gothic"/>
      <family val="2"/>
    </font>
    <font>
      <b/>
      <i/>
      <sz val="12"/>
      <name val="Calibri Light"/>
      <family val="1"/>
      <scheme val="maj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0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</cellStyleXfs>
  <cellXfs count="441">
    <xf numFmtId="0" fontId="0" fillId="0" borderId="0" xfId="0"/>
    <xf numFmtId="0" fontId="0" fillId="0" borderId="0" xfId="0" applyAlignment="1">
      <alignment wrapText="1"/>
    </xf>
    <xf numFmtId="164" fontId="0" fillId="4" borderId="20" xfId="1" applyFont="1" applyFill="1" applyBorder="1" applyAlignment="1">
      <alignment wrapText="1"/>
    </xf>
    <xf numFmtId="164" fontId="0" fillId="4" borderId="0" xfId="1" applyFont="1" applyFill="1" applyBorder="1" applyAlignment="1">
      <alignment wrapText="1"/>
    </xf>
    <xf numFmtId="164" fontId="0" fillId="4" borderId="21" xfId="1" applyFont="1" applyFill="1" applyBorder="1" applyAlignment="1">
      <alignment wrapText="1"/>
    </xf>
    <xf numFmtId="0" fontId="16" fillId="4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left" vertical="center" wrapText="1"/>
    </xf>
    <xf numFmtId="0" fontId="17" fillId="4" borderId="16" xfId="3" applyFont="1" applyFill="1" applyBorder="1" applyAlignment="1">
      <alignment vertical="center" wrapText="1"/>
    </xf>
    <xf numFmtId="0" fontId="16" fillId="4" borderId="0" xfId="3" applyFont="1" applyFill="1" applyBorder="1" applyAlignment="1">
      <alignment vertical="center" wrapText="1"/>
    </xf>
    <xf numFmtId="44" fontId="16" fillId="4" borderId="16" xfId="3" applyNumberFormat="1" applyFont="1" applyFill="1" applyBorder="1" applyAlignment="1">
      <alignment vertical="center" wrapText="1"/>
    </xf>
    <xf numFmtId="0" fontId="17" fillId="4" borderId="1" xfId="3" applyFont="1" applyFill="1" applyBorder="1" applyAlignment="1">
      <alignment vertical="center" wrapText="1"/>
    </xf>
    <xf numFmtId="0" fontId="16" fillId="4" borderId="1" xfId="3" applyFont="1" applyFill="1" applyBorder="1" applyAlignment="1">
      <alignment vertical="center" wrapText="1"/>
    </xf>
    <xf numFmtId="44" fontId="16" fillId="4" borderId="1" xfId="3" applyNumberFormat="1" applyFont="1" applyFill="1" applyBorder="1" applyAlignment="1">
      <alignment vertical="center" wrapText="1"/>
    </xf>
    <xf numFmtId="0" fontId="17" fillId="4" borderId="0" xfId="3" applyFont="1" applyFill="1" applyAlignment="1">
      <alignment vertical="center" wrapText="1"/>
    </xf>
    <xf numFmtId="0" fontId="18" fillId="4" borderId="0" xfId="3" applyFont="1" applyFill="1" applyAlignment="1">
      <alignment vertical="center" wrapText="1"/>
    </xf>
    <xf numFmtId="0" fontId="19" fillId="4" borderId="1" xfId="3" applyFont="1" applyFill="1" applyBorder="1" applyAlignment="1">
      <alignment horizontal="center" vertical="center" wrapText="1"/>
    </xf>
    <xf numFmtId="44" fontId="18" fillId="4" borderId="1" xfId="3" applyNumberFormat="1" applyFont="1" applyFill="1" applyBorder="1" applyAlignment="1">
      <alignment vertical="center" wrapText="1"/>
    </xf>
    <xf numFmtId="0" fontId="19" fillId="4" borderId="0" xfId="3" applyFont="1" applyFill="1" applyBorder="1" applyAlignment="1">
      <alignment horizontal="center" vertical="center" wrapText="1"/>
    </xf>
    <xf numFmtId="0" fontId="18" fillId="4" borderId="0" xfId="3" applyFont="1" applyFill="1" applyBorder="1" applyAlignment="1">
      <alignment vertical="center" wrapText="1"/>
    </xf>
    <xf numFmtId="44" fontId="21" fillId="4" borderId="0" xfId="3" applyNumberFormat="1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0" fontId="25" fillId="4" borderId="1" xfId="3" applyFont="1" applyFill="1" applyBorder="1" applyAlignment="1">
      <alignment vertical="center" wrapText="1"/>
    </xf>
    <xf numFmtId="0" fontId="16" fillId="4" borderId="3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6" fillId="4" borderId="0" xfId="3" applyFont="1" applyFill="1" applyAlignment="1">
      <alignment vertical="center" wrapText="1"/>
    </xf>
    <xf numFmtId="0" fontId="27" fillId="4" borderId="0" xfId="3" applyFont="1" applyFill="1" applyAlignment="1">
      <alignment vertical="center" wrapText="1"/>
    </xf>
    <xf numFmtId="0" fontId="28" fillId="4" borderId="0" xfId="3" applyFont="1" applyFill="1" applyBorder="1" applyAlignment="1">
      <alignment horizontal="center" vertical="center" wrapText="1"/>
    </xf>
    <xf numFmtId="0" fontId="26" fillId="4" borderId="0" xfId="3" applyFont="1" applyFill="1" applyBorder="1" applyAlignment="1">
      <alignment vertical="center" wrapText="1"/>
    </xf>
    <xf numFmtId="44" fontId="29" fillId="4" borderId="0" xfId="3" applyNumberFormat="1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center" wrapText="1"/>
    </xf>
    <xf numFmtId="0" fontId="32" fillId="0" borderId="0" xfId="0" applyFont="1" applyFill="1" applyAlignment="1">
      <alignment horizontal="center"/>
    </xf>
    <xf numFmtId="49" fontId="32" fillId="0" borderId="0" xfId="0" applyNumberFormat="1" applyFont="1" applyFill="1" applyAlignment="1">
      <alignment horizontal="center"/>
    </xf>
    <xf numFmtId="0" fontId="0" fillId="4" borderId="0" xfId="0" applyFill="1"/>
    <xf numFmtId="0" fontId="32" fillId="4" borderId="0" xfId="0" applyFont="1" applyFill="1" applyAlignment="1">
      <alignment horizontal="center"/>
    </xf>
    <xf numFmtId="49" fontId="32" fillId="4" borderId="0" xfId="0" applyNumberFormat="1" applyFont="1" applyFill="1" applyAlignment="1">
      <alignment horizontal="center"/>
    </xf>
    <xf numFmtId="0" fontId="32" fillId="4" borderId="0" xfId="0" applyFont="1" applyFill="1" applyAlignment="1">
      <alignment horizontal="center" wrapText="1"/>
    </xf>
    <xf numFmtId="49" fontId="32" fillId="4" borderId="0" xfId="0" applyNumberFormat="1" applyFont="1" applyFill="1" applyAlignment="1">
      <alignment horizontal="center" wrapText="1"/>
    </xf>
    <xf numFmtId="0" fontId="32" fillId="0" borderId="0" xfId="0" applyFont="1" applyFill="1" applyAlignment="1">
      <alignment horizontal="center" vertical="top"/>
    </xf>
    <xf numFmtId="49" fontId="32" fillId="0" borderId="0" xfId="0" applyNumberFormat="1" applyFont="1" applyFill="1" applyAlignment="1">
      <alignment horizontal="center" vertical="top"/>
    </xf>
    <xf numFmtId="0" fontId="32" fillId="4" borderId="0" xfId="0" applyFont="1" applyFill="1" applyAlignment="1">
      <alignment horizontal="center" vertical="top"/>
    </xf>
    <xf numFmtId="49" fontId="32" fillId="4" borderId="0" xfId="0" applyNumberFormat="1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32" fillId="4" borderId="0" xfId="1" applyNumberFormat="1" applyFont="1" applyFill="1" applyAlignment="1">
      <alignment horizontal="center"/>
    </xf>
    <xf numFmtId="0" fontId="0" fillId="0" borderId="0" xfId="0" applyFill="1"/>
    <xf numFmtId="0" fontId="33" fillId="4" borderId="0" xfId="0" applyFont="1" applyFill="1" applyAlignment="1">
      <alignment horizontal="center" vertical="top"/>
    </xf>
    <xf numFmtId="0" fontId="0" fillId="4" borderId="0" xfId="0" applyFill="1" applyAlignment="1">
      <alignment horizontal="left"/>
    </xf>
    <xf numFmtId="44" fontId="34" fillId="4" borderId="1" xfId="3" applyNumberFormat="1" applyFont="1" applyFill="1" applyBorder="1" applyAlignment="1">
      <alignment vertical="center" wrapText="1"/>
    </xf>
    <xf numFmtId="0" fontId="39" fillId="4" borderId="1" xfId="3" applyFont="1" applyFill="1" applyBorder="1" applyAlignment="1">
      <alignment vertical="center" wrapText="1"/>
    </xf>
    <xf numFmtId="0" fontId="38" fillId="4" borderId="1" xfId="3" applyFont="1" applyFill="1" applyBorder="1" applyAlignment="1">
      <alignment vertical="center" wrapText="1"/>
    </xf>
    <xf numFmtId="44" fontId="38" fillId="4" borderId="1" xfId="3" applyNumberFormat="1" applyFont="1" applyFill="1" applyBorder="1" applyAlignment="1">
      <alignment vertical="center" wrapText="1"/>
    </xf>
    <xf numFmtId="0" fontId="39" fillId="4" borderId="0" xfId="3" applyFont="1" applyFill="1" applyAlignment="1">
      <alignment vertical="center" wrapText="1"/>
    </xf>
    <xf numFmtId="0" fontId="40" fillId="4" borderId="0" xfId="3" applyFont="1" applyFill="1" applyAlignment="1">
      <alignment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37" fillId="4" borderId="0" xfId="0" applyFont="1" applyFill="1" applyAlignment="1">
      <alignment wrapText="1"/>
    </xf>
    <xf numFmtId="0" fontId="38" fillId="4" borderId="3" xfId="3" applyFont="1" applyFill="1" applyBorder="1" applyAlignment="1">
      <alignment vertical="center" wrapText="1"/>
    </xf>
    <xf numFmtId="0" fontId="39" fillId="4" borderId="0" xfId="0" applyFont="1" applyFill="1"/>
    <xf numFmtId="0" fontId="41" fillId="2" borderId="1" xfId="0" applyFont="1" applyFill="1" applyBorder="1" applyAlignment="1">
      <alignment horizontal="center" wrapText="1"/>
    </xf>
    <xf numFmtId="0" fontId="42" fillId="2" borderId="1" xfId="0" applyFont="1" applyFill="1" applyBorder="1" applyAlignment="1">
      <alignment horizontal="left" vertical="top" wrapText="1"/>
    </xf>
    <xf numFmtId="164" fontId="41" fillId="0" borderId="1" xfId="1" applyFont="1" applyBorder="1" applyAlignment="1">
      <alignment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wrapText="1"/>
    </xf>
    <xf numFmtId="164" fontId="4" fillId="4" borderId="16" xfId="1" applyFont="1" applyFill="1" applyBorder="1" applyAlignment="1">
      <alignment wrapText="1"/>
    </xf>
    <xf numFmtId="164" fontId="4" fillId="4" borderId="1" xfId="1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4" fillId="4" borderId="28" xfId="0" applyFont="1" applyFill="1" applyBorder="1" applyAlignment="1">
      <alignment wrapText="1"/>
    </xf>
    <xf numFmtId="0" fontId="5" fillId="4" borderId="3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wrapText="1"/>
    </xf>
    <xf numFmtId="164" fontId="5" fillId="4" borderId="1" xfId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0" fillId="4" borderId="0" xfId="0" applyFill="1" applyAlignment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/>
    </xf>
    <xf numFmtId="0" fontId="4" fillId="4" borderId="16" xfId="0" applyFont="1" applyFill="1" applyBorder="1" applyAlignment="1"/>
    <xf numFmtId="164" fontId="4" fillId="4" borderId="16" xfId="1" applyFont="1" applyFill="1" applyBorder="1" applyAlignment="1"/>
    <xf numFmtId="164" fontId="4" fillId="4" borderId="27" xfId="1" applyFont="1" applyFill="1" applyBorder="1" applyAlignment="1"/>
    <xf numFmtId="164" fontId="4" fillId="4" borderId="1" xfId="1" applyFont="1" applyFill="1" applyBorder="1" applyAlignment="1"/>
    <xf numFmtId="0" fontId="4" fillId="4" borderId="1" xfId="0" applyFont="1" applyFill="1" applyBorder="1" applyAlignment="1">
      <alignment horizontal="left"/>
    </xf>
    <xf numFmtId="0" fontId="4" fillId="4" borderId="28" xfId="0" applyFont="1" applyFill="1" applyBorder="1" applyAlignment="1"/>
    <xf numFmtId="164" fontId="4" fillId="4" borderId="3" xfId="1" applyFont="1" applyFill="1" applyBorder="1" applyAlignment="1"/>
    <xf numFmtId="0" fontId="5" fillId="4" borderId="3" xfId="0" applyFont="1" applyFill="1" applyBorder="1" applyAlignment="1">
      <alignment horizontal="left"/>
    </xf>
    <xf numFmtId="0" fontId="5" fillId="4" borderId="29" xfId="0" applyFont="1" applyFill="1" applyBorder="1" applyAlignment="1"/>
    <xf numFmtId="164" fontId="5" fillId="4" borderId="1" xfId="1" applyFont="1" applyFill="1" applyBorder="1" applyAlignment="1"/>
    <xf numFmtId="0" fontId="5" fillId="4" borderId="1" xfId="0" applyFont="1" applyFill="1" applyBorder="1" applyAlignment="1"/>
    <xf numFmtId="0" fontId="5" fillId="4" borderId="3" xfId="0" applyFont="1" applyFill="1" applyBorder="1" applyAlignment="1"/>
    <xf numFmtId="164" fontId="5" fillId="4" borderId="3" xfId="1" applyFont="1" applyFill="1" applyBorder="1" applyAlignment="1"/>
    <xf numFmtId="0" fontId="5" fillId="4" borderId="1" xfId="0" applyFont="1" applyFill="1" applyBorder="1" applyAlignment="1">
      <alignment horizontal="left"/>
    </xf>
    <xf numFmtId="0" fontId="4" fillId="4" borderId="1" xfId="0" applyFont="1" applyFill="1" applyBorder="1" applyAlignment="1"/>
    <xf numFmtId="0" fontId="5" fillId="4" borderId="16" xfId="0" applyFont="1" applyFill="1" applyBorder="1" applyAlignment="1">
      <alignment horizontal="left"/>
    </xf>
    <xf numFmtId="0" fontId="5" fillId="4" borderId="16" xfId="0" applyFont="1" applyFill="1" applyBorder="1" applyAlignment="1"/>
    <xf numFmtId="164" fontId="5" fillId="4" borderId="16" xfId="1" applyFont="1" applyFill="1" applyBorder="1" applyAlignment="1"/>
    <xf numFmtId="164" fontId="5" fillId="4" borderId="27" xfId="1" applyFont="1" applyFill="1" applyBorder="1" applyAlignment="1"/>
    <xf numFmtId="0" fontId="4" fillId="0" borderId="16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0" borderId="16" xfId="0" applyFont="1" applyFill="1" applyBorder="1"/>
    <xf numFmtId="164" fontId="4" fillId="4" borderId="16" xfId="1" applyFont="1" applyFill="1" applyBorder="1"/>
    <xf numFmtId="0" fontId="4" fillId="0" borderId="28" xfId="0" applyFont="1" applyFill="1" applyBorder="1"/>
    <xf numFmtId="164" fontId="4" fillId="4" borderId="1" xfId="1" applyFont="1" applyFill="1" applyBorder="1"/>
    <xf numFmtId="0" fontId="5" fillId="4" borderId="29" xfId="0" applyFont="1" applyFill="1" applyBorder="1"/>
    <xf numFmtId="164" fontId="5" fillId="4" borderId="1" xfId="1" applyFont="1" applyFill="1" applyBorder="1"/>
    <xf numFmtId="0" fontId="5" fillId="4" borderId="1" xfId="0" applyFont="1" applyFill="1" applyBorder="1"/>
    <xf numFmtId="0" fontId="4" fillId="4" borderId="16" xfId="0" applyFont="1" applyFill="1" applyBorder="1"/>
    <xf numFmtId="0" fontId="4" fillId="4" borderId="1" xfId="0" applyFont="1" applyFill="1" applyBorder="1"/>
    <xf numFmtId="0" fontId="11" fillId="4" borderId="1" xfId="0" applyFont="1" applyFill="1" applyBorder="1" applyAlignment="1">
      <alignment horizontal="left"/>
    </xf>
    <xf numFmtId="0" fontId="4" fillId="0" borderId="1" xfId="0" applyFont="1" applyFill="1" applyBorder="1"/>
    <xf numFmtId="164" fontId="4" fillId="0" borderId="1" xfId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164" fontId="5" fillId="0" borderId="1" xfId="1" applyFont="1" applyFill="1" applyBorder="1"/>
    <xf numFmtId="0" fontId="4" fillId="4" borderId="28" xfId="0" applyFont="1" applyFill="1" applyBorder="1"/>
    <xf numFmtId="0" fontId="4" fillId="4" borderId="3" xfId="0" applyFont="1" applyFill="1" applyBorder="1" applyAlignment="1">
      <alignment horizontal="left"/>
    </xf>
    <xf numFmtId="0" fontId="11" fillId="4" borderId="1" xfId="0" applyFont="1" applyFill="1" applyBorder="1" applyAlignment="1"/>
    <xf numFmtId="0" fontId="4" fillId="4" borderId="1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vertical="top"/>
    </xf>
    <xf numFmtId="164" fontId="4" fillId="4" borderId="16" xfId="1" applyFont="1" applyFill="1" applyBorder="1" applyAlignment="1">
      <alignment vertical="top"/>
    </xf>
    <xf numFmtId="0" fontId="4" fillId="4" borderId="1" xfId="0" applyFont="1" applyFill="1" applyBorder="1" applyAlignment="1">
      <alignment horizontal="left" vertical="top"/>
    </xf>
    <xf numFmtId="0" fontId="4" fillId="4" borderId="28" xfId="0" applyFont="1" applyFill="1" applyBorder="1" applyAlignment="1">
      <alignment vertical="top"/>
    </xf>
    <xf numFmtId="164" fontId="4" fillId="4" borderId="1" xfId="1" applyFont="1" applyFill="1" applyBorder="1" applyAlignment="1">
      <alignment vertical="top"/>
    </xf>
    <xf numFmtId="0" fontId="5" fillId="4" borderId="3" xfId="0" applyFont="1" applyFill="1" applyBorder="1" applyAlignment="1">
      <alignment horizontal="left" vertical="top"/>
    </xf>
    <xf numFmtId="0" fontId="5" fillId="4" borderId="29" xfId="0" applyFont="1" applyFill="1" applyBorder="1" applyAlignment="1">
      <alignment vertical="top"/>
    </xf>
    <xf numFmtId="164" fontId="5" fillId="4" borderId="1" xfId="1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28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29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164" fontId="4" fillId="0" borderId="1" xfId="1" applyFont="1" applyFill="1" applyBorder="1" applyAlignment="1">
      <alignment vertical="top"/>
    </xf>
    <xf numFmtId="164" fontId="5" fillId="0" borderId="1" xfId="1" applyFont="1" applyFill="1" applyBorder="1" applyAlignment="1">
      <alignment vertical="top"/>
    </xf>
    <xf numFmtId="166" fontId="43" fillId="4" borderId="1" xfId="1" applyNumberFormat="1" applyFont="1" applyFill="1" applyBorder="1"/>
    <xf numFmtId="166" fontId="5" fillId="4" borderId="1" xfId="1" applyNumberFormat="1" applyFont="1" applyFill="1" applyBorder="1"/>
    <xf numFmtId="0" fontId="5" fillId="4" borderId="16" xfId="0" applyFont="1" applyFill="1" applyBorder="1"/>
    <xf numFmtId="0" fontId="7" fillId="4" borderId="0" xfId="0" applyFont="1" applyFill="1" applyBorder="1" applyAlignment="1"/>
    <xf numFmtId="0" fontId="7" fillId="4" borderId="0" xfId="0" applyFont="1" applyFill="1" applyBorder="1" applyAlignment="1">
      <alignment horizontal="left"/>
    </xf>
    <xf numFmtId="166" fontId="5" fillId="4" borderId="1" xfId="5" applyNumberFormat="1" applyFont="1" applyFill="1" applyBorder="1"/>
    <xf numFmtId="0" fontId="5" fillId="4" borderId="1" xfId="6" applyFont="1" applyFill="1" applyBorder="1" applyAlignment="1">
      <alignment horizontal="left"/>
    </xf>
    <xf numFmtId="0" fontId="5" fillId="4" borderId="1" xfId="6" applyFont="1" applyFill="1" applyBorder="1"/>
    <xf numFmtId="0" fontId="32" fillId="4" borderId="0" xfId="4" applyFont="1" applyFill="1" applyAlignment="1">
      <alignment horizontal="center"/>
    </xf>
    <xf numFmtId="0" fontId="4" fillId="4" borderId="1" xfId="4" applyFont="1" applyFill="1" applyBorder="1" applyAlignment="1">
      <alignment horizontal="center" vertical="center"/>
    </xf>
    <xf numFmtId="0" fontId="4" fillId="4" borderId="16" xfId="4" applyFont="1" applyFill="1" applyBorder="1" applyAlignment="1">
      <alignment horizontal="left" vertical="center"/>
    </xf>
    <xf numFmtId="0" fontId="4" fillId="4" borderId="16" xfId="4" applyFont="1" applyFill="1" applyBorder="1" applyAlignment="1">
      <alignment vertical="center"/>
    </xf>
    <xf numFmtId="165" fontId="4" fillId="4" borderId="16" xfId="5" applyNumberFormat="1" applyFont="1" applyFill="1" applyBorder="1" applyAlignment="1">
      <alignment vertical="center"/>
    </xf>
    <xf numFmtId="0" fontId="4" fillId="4" borderId="1" xfId="4" applyFont="1" applyFill="1" applyBorder="1" applyAlignment="1">
      <alignment horizontal="left" vertical="center"/>
    </xf>
    <xf numFmtId="0" fontId="4" fillId="4" borderId="28" xfId="4" applyFont="1" applyFill="1" applyBorder="1" applyAlignment="1">
      <alignment vertical="center"/>
    </xf>
    <xf numFmtId="165" fontId="4" fillId="4" borderId="1" xfId="5" applyNumberFormat="1" applyFont="1" applyFill="1" applyBorder="1" applyAlignment="1">
      <alignment vertical="center"/>
    </xf>
    <xf numFmtId="0" fontId="5" fillId="4" borderId="3" xfId="4" applyFont="1" applyFill="1" applyBorder="1" applyAlignment="1">
      <alignment horizontal="left" vertical="center"/>
    </xf>
    <xf numFmtId="0" fontId="5" fillId="4" borderId="29" xfId="4" applyFont="1" applyFill="1" applyBorder="1" applyAlignment="1">
      <alignment vertical="center"/>
    </xf>
    <xf numFmtId="165" fontId="5" fillId="4" borderId="1" xfId="5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vertical="center"/>
    </xf>
    <xf numFmtId="165" fontId="5" fillId="4" borderId="34" xfId="5" applyNumberFormat="1" applyFont="1" applyFill="1" applyBorder="1" applyAlignment="1">
      <alignment vertical="center"/>
    </xf>
    <xf numFmtId="165" fontId="5" fillId="4" borderId="28" xfId="5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center"/>
    </xf>
    <xf numFmtId="164" fontId="4" fillId="4" borderId="1" xfId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164" fontId="5" fillId="4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4" applyFont="1" applyFill="1" applyBorder="1" applyAlignment="1">
      <alignment vertical="center"/>
    </xf>
    <xf numFmtId="0" fontId="5" fillId="4" borderId="1" xfId="4" applyFont="1" applyFill="1" applyBorder="1" applyAlignment="1">
      <alignment horizontal="left" vertical="center"/>
    </xf>
    <xf numFmtId="165" fontId="5" fillId="4" borderId="16" xfId="5" applyNumberFormat="1" applyFont="1" applyFill="1" applyBorder="1" applyAlignment="1">
      <alignment vertical="center"/>
    </xf>
    <xf numFmtId="165" fontId="5" fillId="4" borderId="2" xfId="5" applyNumberFormat="1" applyFont="1" applyFill="1" applyBorder="1" applyAlignment="1">
      <alignment vertical="center"/>
    </xf>
    <xf numFmtId="165" fontId="4" fillId="4" borderId="2" xfId="5" applyNumberFormat="1" applyFont="1" applyFill="1" applyBorder="1" applyAlignment="1">
      <alignment vertical="center"/>
    </xf>
    <xf numFmtId="164" fontId="4" fillId="4" borderId="1" xfId="5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wrapText="1"/>
    </xf>
    <xf numFmtId="164" fontId="21" fillId="4" borderId="1" xfId="1" applyFont="1" applyFill="1" applyBorder="1" applyAlignment="1">
      <alignment horizontal="center" wrapText="1"/>
    </xf>
    <xf numFmtId="164" fontId="21" fillId="4" borderId="1" xfId="1" applyFont="1" applyFill="1" applyBorder="1" applyAlignment="1">
      <alignment wrapText="1"/>
    </xf>
    <xf numFmtId="0" fontId="44" fillId="4" borderId="1" xfId="0" applyFont="1" applyFill="1" applyBorder="1" applyAlignment="1">
      <alignment horizontal="left" vertical="top" wrapText="1"/>
    </xf>
    <xf numFmtId="0" fontId="20" fillId="4" borderId="1" xfId="3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wrapText="1"/>
    </xf>
    <xf numFmtId="0" fontId="46" fillId="4" borderId="1" xfId="0" applyFont="1" applyFill="1" applyBorder="1" applyAlignment="1">
      <alignment horizontal="left" vertical="top" wrapText="1"/>
    </xf>
    <xf numFmtId="164" fontId="47" fillId="4" borderId="1" xfId="1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wrapText="1"/>
    </xf>
    <xf numFmtId="0" fontId="8" fillId="4" borderId="10" xfId="2" applyFont="1" applyFill="1" applyBorder="1" applyAlignment="1">
      <alignment wrapText="1"/>
    </xf>
    <xf numFmtId="0" fontId="8" fillId="4" borderId="9" xfId="2" applyFont="1" applyFill="1" applyBorder="1" applyAlignment="1">
      <alignment horizontal="center" wrapText="1"/>
    </xf>
    <xf numFmtId="0" fontId="9" fillId="4" borderId="9" xfId="2" applyFont="1" applyFill="1" applyBorder="1" applyAlignment="1">
      <alignment horizontal="center" wrapText="1"/>
    </xf>
    <xf numFmtId="0" fontId="12" fillId="4" borderId="1" xfId="0" applyFont="1" applyFill="1" applyBorder="1"/>
    <xf numFmtId="164" fontId="13" fillId="4" borderId="1" xfId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/>
    <xf numFmtId="0" fontId="0" fillId="4" borderId="1" xfId="0" applyFill="1" applyBorder="1"/>
    <xf numFmtId="164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164" fontId="12" fillId="4" borderId="1" xfId="1" applyFont="1" applyFill="1" applyBorder="1" applyAlignment="1">
      <alignment vertical="center"/>
    </xf>
    <xf numFmtId="164" fontId="0" fillId="4" borderId="1" xfId="1" applyFont="1" applyFill="1" applyBorder="1" applyAlignment="1">
      <alignment wrapText="1"/>
    </xf>
    <xf numFmtId="44" fontId="21" fillId="4" borderId="1" xfId="3" applyNumberFormat="1" applyFont="1" applyFill="1" applyBorder="1" applyAlignment="1">
      <alignment vertical="center" wrapText="1"/>
    </xf>
    <xf numFmtId="0" fontId="0" fillId="4" borderId="0" xfId="0" applyFont="1" applyFill="1"/>
    <xf numFmtId="0" fontId="37" fillId="4" borderId="0" xfId="0" applyFont="1" applyFill="1"/>
    <xf numFmtId="0" fontId="48" fillId="4" borderId="0" xfId="0" applyFont="1" applyFill="1"/>
    <xf numFmtId="0" fontId="36" fillId="4" borderId="1" xfId="0" applyFont="1" applyFill="1" applyBorder="1" applyAlignment="1">
      <alignment vertical="center"/>
    </xf>
    <xf numFmtId="0" fontId="4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8" fillId="4" borderId="1" xfId="1" applyFont="1" applyFill="1" applyBorder="1" applyAlignment="1">
      <alignment vertical="center"/>
    </xf>
    <xf numFmtId="164" fontId="7" fillId="4" borderId="1" xfId="1" applyFont="1" applyFill="1" applyBorder="1" applyAlignment="1">
      <alignment vertical="center"/>
    </xf>
    <xf numFmtId="164" fontId="8" fillId="4" borderId="1" xfId="1" applyFont="1" applyFill="1" applyBorder="1" applyAlignment="1">
      <alignment vertical="center" wrapText="1"/>
    </xf>
    <xf numFmtId="0" fontId="15" fillId="4" borderId="1" xfId="0" applyFont="1" applyFill="1" applyBorder="1"/>
    <xf numFmtId="0" fontId="15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15" fillId="4" borderId="1" xfId="0" applyNumberFormat="1" applyFont="1" applyFill="1" applyBorder="1"/>
    <xf numFmtId="164" fontId="15" fillId="4" borderId="1" xfId="1" applyFont="1" applyFill="1" applyBorder="1"/>
    <xf numFmtId="164" fontId="15" fillId="4" borderId="0" xfId="0" applyNumberFormat="1" applyFont="1" applyFill="1"/>
    <xf numFmtId="0" fontId="0" fillId="4" borderId="0" xfId="0" applyFont="1" applyFill="1" applyAlignment="1">
      <alignment vertical="center" wrapText="1"/>
    </xf>
    <xf numFmtId="0" fontId="0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vertical="center" wrapText="1"/>
    </xf>
    <xf numFmtId="164" fontId="3" fillId="4" borderId="1" xfId="1" applyFont="1" applyFill="1" applyBorder="1" applyAlignment="1">
      <alignment wrapText="1"/>
    </xf>
    <xf numFmtId="164" fontId="15" fillId="4" borderId="20" xfId="1" applyFont="1" applyFill="1" applyBorder="1" applyAlignment="1">
      <alignment wrapText="1"/>
    </xf>
    <xf numFmtId="164" fontId="15" fillId="4" borderId="0" xfId="1" applyFont="1" applyFill="1" applyBorder="1" applyAlignment="1">
      <alignment wrapText="1"/>
    </xf>
    <xf numFmtId="164" fontId="15" fillId="4" borderId="21" xfId="1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4" fontId="3" fillId="4" borderId="1" xfId="1" applyFont="1" applyFill="1" applyBorder="1" applyAlignment="1">
      <alignment vertical="center" wrapText="1"/>
    </xf>
    <xf numFmtId="164" fontId="3" fillId="4" borderId="20" xfId="1" applyFont="1" applyFill="1" applyBorder="1" applyAlignment="1">
      <alignment wrapText="1"/>
    </xf>
    <xf numFmtId="164" fontId="3" fillId="4" borderId="0" xfId="1" applyFont="1" applyFill="1" applyBorder="1" applyAlignment="1">
      <alignment wrapText="1"/>
    </xf>
    <xf numFmtId="164" fontId="3" fillId="4" borderId="21" xfId="1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64" fontId="15" fillId="4" borderId="1" xfId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44" fontId="41" fillId="4" borderId="1" xfId="0" applyNumberFormat="1" applyFont="1" applyFill="1" applyBorder="1" applyAlignment="1">
      <alignment wrapText="1"/>
    </xf>
    <xf numFmtId="164" fontId="5" fillId="0" borderId="3" xfId="1" applyFont="1" applyFill="1" applyBorder="1" applyAlignment="1"/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6" xfId="1" applyFont="1" applyFill="1" applyBorder="1"/>
    <xf numFmtId="0" fontId="5" fillId="0" borderId="29" xfId="0" applyFont="1" applyFill="1" applyBorder="1"/>
    <xf numFmtId="164" fontId="5" fillId="0" borderId="35" xfId="1" applyFont="1" applyFill="1" applyBorder="1"/>
    <xf numFmtId="0" fontId="4" fillId="0" borderId="1" xfId="0" applyFont="1" applyFill="1" applyBorder="1" applyAlignment="1"/>
    <xf numFmtId="164" fontId="4" fillId="0" borderId="1" xfId="1" applyFont="1" applyFill="1" applyBorder="1" applyAlignment="1"/>
    <xf numFmtId="0" fontId="0" fillId="0" borderId="0" xfId="0" applyFill="1" applyAlignment="1"/>
    <xf numFmtId="0" fontId="5" fillId="0" borderId="1" xfId="0" applyFont="1" applyFill="1" applyBorder="1" applyAlignment="1"/>
    <xf numFmtId="164" fontId="5" fillId="0" borderId="1" xfId="1" applyFont="1" applyFill="1" applyBorder="1" applyAlignment="1"/>
    <xf numFmtId="0" fontId="4" fillId="0" borderId="16" xfId="0" applyFont="1" applyFill="1" applyBorder="1" applyAlignment="1"/>
    <xf numFmtId="164" fontId="4" fillId="0" borderId="16" xfId="1" applyFont="1" applyFill="1" applyBorder="1" applyAlignment="1"/>
    <xf numFmtId="0" fontId="4" fillId="0" borderId="28" xfId="0" applyFont="1" applyFill="1" applyBorder="1" applyAlignment="1"/>
    <xf numFmtId="0" fontId="5" fillId="0" borderId="29" xfId="0" applyFont="1" applyFill="1" applyBorder="1" applyAlignment="1"/>
    <xf numFmtId="0" fontId="5" fillId="0" borderId="16" xfId="0" applyFont="1" applyFill="1" applyBorder="1" applyAlignment="1"/>
    <xf numFmtId="164" fontId="5" fillId="0" borderId="16" xfId="1" applyFont="1" applyFill="1" applyBorder="1" applyAlignment="1"/>
    <xf numFmtId="0" fontId="11" fillId="0" borderId="1" xfId="0" applyFont="1" applyFill="1" applyBorder="1"/>
    <xf numFmtId="0" fontId="10" fillId="0" borderId="1" xfId="0" applyFont="1" applyFill="1" applyBorder="1"/>
    <xf numFmtId="164" fontId="10" fillId="0" borderId="1" xfId="1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1" xfId="1" applyFont="1" applyFill="1" applyBorder="1" applyAlignment="1">
      <alignment wrapText="1"/>
    </xf>
    <xf numFmtId="0" fontId="4" fillId="0" borderId="16" xfId="0" applyFont="1" applyFill="1" applyBorder="1" applyAlignment="1">
      <alignment wrapText="1"/>
    </xf>
    <xf numFmtId="164" fontId="4" fillId="0" borderId="16" xfId="1" applyFont="1" applyFill="1" applyBorder="1" applyAlignment="1">
      <alignment wrapText="1"/>
    </xf>
    <xf numFmtId="165" fontId="4" fillId="0" borderId="16" xfId="5" applyNumberFormat="1" applyFont="1" applyFill="1" applyBorder="1" applyAlignment="1">
      <alignment vertical="center"/>
    </xf>
    <xf numFmtId="165" fontId="5" fillId="0" borderId="16" xfId="5" applyNumberFormat="1" applyFont="1" applyFill="1" applyBorder="1" applyAlignment="1">
      <alignment vertical="center"/>
    </xf>
    <xf numFmtId="165" fontId="5" fillId="0" borderId="1" xfId="5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164" fontId="11" fillId="0" borderId="1" xfId="1" applyFont="1" applyFill="1" applyBorder="1" applyAlignment="1"/>
    <xf numFmtId="164" fontId="4" fillId="0" borderId="16" xfId="1" applyFont="1" applyFill="1" applyBorder="1" applyAlignment="1">
      <alignment vertical="top"/>
    </xf>
    <xf numFmtId="166" fontId="43" fillId="0" borderId="1" xfId="1" applyNumberFormat="1" applyFont="1" applyFill="1" applyBorder="1"/>
    <xf numFmtId="164" fontId="5" fillId="0" borderId="1" xfId="1" applyNumberFormat="1" applyFont="1" applyFill="1" applyBorder="1"/>
    <xf numFmtId="166" fontId="5" fillId="0" borderId="1" xfId="5" applyNumberFormat="1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164" fontId="6" fillId="4" borderId="1" xfId="1" applyFont="1" applyFill="1" applyBorder="1"/>
    <xf numFmtId="0" fontId="7" fillId="4" borderId="1" xfId="0" applyFont="1" applyFill="1" applyBorder="1"/>
    <xf numFmtId="164" fontId="7" fillId="4" borderId="1" xfId="0" applyNumberFormat="1" applyFont="1" applyFill="1" applyBorder="1"/>
    <xf numFmtId="164" fontId="7" fillId="4" borderId="1" xfId="1" applyFont="1" applyFill="1" applyBorder="1"/>
    <xf numFmtId="0" fontId="9" fillId="4" borderId="0" xfId="0" applyFont="1" applyFill="1"/>
    <xf numFmtId="0" fontId="12" fillId="4" borderId="1" xfId="0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44" fontId="6" fillId="4" borderId="1" xfId="0" applyNumberFormat="1" applyFont="1" applyFill="1" applyBorder="1"/>
    <xf numFmtId="44" fontId="7" fillId="4" borderId="1" xfId="0" applyNumberFormat="1" applyFont="1" applyFill="1" applyBorder="1"/>
    <xf numFmtId="164" fontId="8" fillId="4" borderId="1" xfId="1" applyFont="1" applyFill="1" applyBorder="1"/>
    <xf numFmtId="0" fontId="5" fillId="0" borderId="16" xfId="0" applyFont="1" applyFill="1" applyBorder="1"/>
    <xf numFmtId="0" fontId="49" fillId="4" borderId="0" xfId="0" applyFont="1" applyFill="1"/>
    <xf numFmtId="0" fontId="51" fillId="4" borderId="0" xfId="0" applyFont="1" applyFill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64" fontId="7" fillId="5" borderId="1" xfId="1" applyFont="1" applyFill="1" applyBorder="1" applyAlignment="1">
      <alignment horizontal="center" vertical="center" wrapText="1"/>
    </xf>
    <xf numFmtId="164" fontId="7" fillId="5" borderId="1" xfId="1" applyFont="1" applyFill="1" applyBorder="1" applyAlignment="1">
      <alignment vertical="center" wrapText="1"/>
    </xf>
    <xf numFmtId="0" fontId="50" fillId="5" borderId="1" xfId="2" applyFont="1" applyFill="1" applyBorder="1" applyAlignment="1">
      <alignment horizontal="center" vertical="center" wrapText="1"/>
    </xf>
    <xf numFmtId="0" fontId="50" fillId="5" borderId="1" xfId="2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164" fontId="6" fillId="4" borderId="1" xfId="1" applyFont="1" applyFill="1" applyBorder="1" applyAlignment="1">
      <alignment vertical="center" wrapText="1"/>
    </xf>
    <xf numFmtId="164" fontId="7" fillId="4" borderId="1" xfId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52" fillId="5" borderId="1" xfId="0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wrapText="1"/>
    </xf>
    <xf numFmtId="0" fontId="9" fillId="4" borderId="5" xfId="2" applyFont="1" applyFill="1" applyBorder="1" applyAlignment="1">
      <alignment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wrapText="1"/>
    </xf>
    <xf numFmtId="164" fontId="9" fillId="4" borderId="1" xfId="1" applyFont="1" applyFill="1" applyBorder="1" applyAlignment="1">
      <alignment wrapText="1"/>
    </xf>
    <xf numFmtId="164" fontId="8" fillId="4" borderId="1" xfId="1" applyFont="1" applyFill="1" applyBorder="1" applyAlignment="1">
      <alignment wrapText="1"/>
    </xf>
    <xf numFmtId="0" fontId="9" fillId="4" borderId="1" xfId="2" applyFont="1" applyFill="1" applyBorder="1" applyAlignment="1">
      <alignment horizontal="center" wrapText="1"/>
    </xf>
    <xf numFmtId="0" fontId="9" fillId="4" borderId="1" xfId="2" applyFont="1" applyFill="1" applyBorder="1" applyAlignment="1">
      <alignment wrapText="1"/>
    </xf>
    <xf numFmtId="164" fontId="6" fillId="4" borderId="1" xfId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9" fillId="4" borderId="11" xfId="2" applyFont="1" applyFill="1" applyBorder="1" applyAlignment="1">
      <alignment horizontal="center" wrapText="1"/>
    </xf>
    <xf numFmtId="0" fontId="9" fillId="4" borderId="11" xfId="2" applyFont="1" applyFill="1" applyBorder="1" applyAlignment="1">
      <alignment wrapText="1"/>
    </xf>
    <xf numFmtId="164" fontId="9" fillId="4" borderId="11" xfId="1" applyFont="1" applyFill="1" applyBorder="1" applyAlignment="1">
      <alignment wrapText="1"/>
    </xf>
    <xf numFmtId="0" fontId="53" fillId="4" borderId="12" xfId="2" applyFont="1" applyFill="1" applyBorder="1" applyAlignment="1">
      <alignment horizontal="center" wrapText="1"/>
    </xf>
    <xf numFmtId="0" fontId="8" fillId="4" borderId="13" xfId="2" applyFont="1" applyFill="1" applyBorder="1" applyAlignment="1">
      <alignment wrapText="1"/>
    </xf>
    <xf numFmtId="164" fontId="53" fillId="4" borderId="14" xfId="1" applyFont="1" applyFill="1" applyBorder="1" applyAlignment="1">
      <alignment wrapText="1"/>
    </xf>
    <xf numFmtId="164" fontId="54" fillId="4" borderId="14" xfId="1" applyFont="1" applyFill="1" applyBorder="1" applyAlignment="1">
      <alignment wrapText="1"/>
    </xf>
    <xf numFmtId="164" fontId="54" fillId="4" borderId="15" xfId="1" applyFont="1" applyFill="1" applyBorder="1" applyAlignment="1">
      <alignment wrapText="1"/>
    </xf>
    <xf numFmtId="0" fontId="8" fillId="4" borderId="16" xfId="2" applyFont="1" applyFill="1" applyBorder="1" applyAlignment="1">
      <alignment horizontal="center" wrapText="1"/>
    </xf>
    <xf numFmtId="0" fontId="8" fillId="4" borderId="16" xfId="2" applyFont="1" applyFill="1" applyBorder="1" applyAlignment="1">
      <alignment wrapText="1"/>
    </xf>
    <xf numFmtId="164" fontId="8" fillId="4" borderId="16" xfId="1" applyFont="1" applyFill="1" applyBorder="1" applyAlignment="1">
      <alignment wrapText="1"/>
    </xf>
    <xf numFmtId="0" fontId="8" fillId="4" borderId="17" xfId="2" applyFont="1" applyFill="1" applyBorder="1" applyAlignment="1">
      <alignment horizontal="center" wrapText="1"/>
    </xf>
    <xf numFmtId="0" fontId="8" fillId="4" borderId="18" xfId="2" applyFont="1" applyFill="1" applyBorder="1" applyAlignment="1">
      <alignment wrapText="1"/>
    </xf>
    <xf numFmtId="164" fontId="51" fillId="4" borderId="0" xfId="0" applyNumberFormat="1" applyFont="1" applyFill="1" applyAlignment="1">
      <alignment wrapText="1"/>
    </xf>
    <xf numFmtId="164" fontId="8" fillId="4" borderId="1" xfId="1" applyNumberFormat="1" applyFont="1" applyFill="1" applyBorder="1" applyAlignment="1">
      <alignment wrapText="1"/>
    </xf>
    <xf numFmtId="0" fontId="9" fillId="4" borderId="3" xfId="2" applyFont="1" applyFill="1" applyBorder="1" applyAlignment="1">
      <alignment horizontal="center" wrapText="1"/>
    </xf>
    <xf numFmtId="0" fontId="9" fillId="4" borderId="2" xfId="2" applyFont="1" applyFill="1" applyBorder="1" applyAlignment="1">
      <alignment wrapText="1"/>
    </xf>
    <xf numFmtId="44" fontId="41" fillId="4" borderId="1" xfId="3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center" wrapText="1"/>
    </xf>
    <xf numFmtId="0" fontId="51" fillId="0" borderId="0" xfId="0" applyFont="1" applyFill="1" applyAlignment="1">
      <alignment wrapText="1"/>
    </xf>
    <xf numFmtId="164" fontId="6" fillId="0" borderId="1" xfId="1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164" fontId="21" fillId="0" borderId="1" xfId="1" applyFont="1" applyFill="1" applyBorder="1" applyAlignment="1">
      <alignment wrapText="1"/>
    </xf>
    <xf numFmtId="0" fontId="21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wrapText="1"/>
    </xf>
    <xf numFmtId="0" fontId="9" fillId="4" borderId="19" xfId="2" applyFont="1" applyFill="1" applyBorder="1" applyAlignment="1">
      <alignment horizontal="center" wrapText="1"/>
    </xf>
    <xf numFmtId="0" fontId="9" fillId="4" borderId="2" xfId="2" applyFont="1" applyFill="1" applyBorder="1" applyAlignment="1">
      <alignment horizont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wrapText="1"/>
    </xf>
    <xf numFmtId="0" fontId="8" fillId="4" borderId="2" xfId="2" applyFont="1" applyFill="1" applyBorder="1" applyAlignment="1">
      <alignment horizontal="center" wrapText="1"/>
    </xf>
    <xf numFmtId="0" fontId="36" fillId="4" borderId="6" xfId="2" applyFont="1" applyFill="1" applyBorder="1" applyAlignment="1">
      <alignment horizontal="center" vertical="center" wrapText="1"/>
    </xf>
    <xf numFmtId="0" fontId="36" fillId="4" borderId="8" xfId="2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0" xfId="0" applyFont="1" applyFill="1" applyAlignment="1">
      <alignment horizontal="center" vertical="top"/>
    </xf>
    <xf numFmtId="0" fontId="12" fillId="4" borderId="0" xfId="0" applyFont="1" applyFill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wrapText="1"/>
    </xf>
    <xf numFmtId="0" fontId="16" fillId="4" borderId="3" xfId="3" applyFont="1" applyFill="1" applyBorder="1" applyAlignment="1">
      <alignment horizontal="center" vertical="center" wrapText="1"/>
    </xf>
    <xf numFmtId="0" fontId="16" fillId="4" borderId="19" xfId="3" applyFont="1" applyFill="1" applyBorder="1" applyAlignment="1">
      <alignment horizontal="center" vertical="center" wrapText="1"/>
    </xf>
    <xf numFmtId="0" fontId="16" fillId="4" borderId="2" xfId="3" applyFont="1" applyFill="1" applyBorder="1" applyAlignment="1">
      <alignment horizontal="center" vertical="center" wrapText="1"/>
    </xf>
    <xf numFmtId="0" fontId="24" fillId="4" borderId="3" xfId="3" applyFont="1" applyFill="1" applyBorder="1" applyAlignment="1">
      <alignment horizontal="center" vertical="center" wrapText="1"/>
    </xf>
    <xf numFmtId="0" fontId="24" fillId="4" borderId="19" xfId="3" applyFont="1" applyFill="1" applyBorder="1" applyAlignment="1">
      <alignment horizontal="center" vertical="center" wrapText="1"/>
    </xf>
    <xf numFmtId="0" fontId="24" fillId="4" borderId="2" xfId="3" applyFont="1" applyFill="1" applyBorder="1" applyAlignment="1">
      <alignment horizontal="center" vertical="center" wrapText="1"/>
    </xf>
    <xf numFmtId="0" fontId="38" fillId="4" borderId="3" xfId="3" applyFont="1" applyFill="1" applyBorder="1" applyAlignment="1">
      <alignment horizontal="center" vertical="center" wrapText="1"/>
    </xf>
    <xf numFmtId="0" fontId="38" fillId="4" borderId="19" xfId="3" applyFont="1" applyFill="1" applyBorder="1" applyAlignment="1">
      <alignment horizontal="center" vertical="center" wrapText="1"/>
    </xf>
    <xf numFmtId="0" fontId="38" fillId="4" borderId="2" xfId="3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vertical="top" wrapText="1"/>
    </xf>
    <xf numFmtId="0" fontId="4" fillId="4" borderId="1" xfId="4" applyFont="1" applyFill="1" applyBorder="1" applyAlignment="1">
      <alignment horizontal="center" vertical="center"/>
    </xf>
    <xf numFmtId="0" fontId="7" fillId="4" borderId="0" xfId="4" applyFont="1" applyFill="1" applyBorder="1" applyAlignment="1">
      <alignment horizontal="center"/>
    </xf>
    <xf numFmtId="0" fontId="7" fillId="4" borderId="0" xfId="4" applyFont="1" applyFill="1" applyBorder="1" applyAlignment="1">
      <alignment horizontal="left"/>
    </xf>
    <xf numFmtId="0" fontId="7" fillId="4" borderId="0" xfId="4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</cellXfs>
  <cellStyles count="7">
    <cellStyle name="Moneda" xfId="1" builtinId="4"/>
    <cellStyle name="Moneda 3" xfId="5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2" xr:uid="{00000000-0005-0000-0000-000005000000}"/>
    <cellStyle name="Normal 6" xfId="3" xr:uid="{00000000-0005-0000-0000-000006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9"/>
  <sheetViews>
    <sheetView workbookViewId="0">
      <pane ySplit="7" topLeftCell="A8" activePane="bottomLeft" state="frozen"/>
      <selection pane="bottomLeft" activeCell="I67" sqref="I67"/>
    </sheetView>
  </sheetViews>
  <sheetFormatPr baseColWidth="10" defaultRowHeight="15.75" x14ac:dyDescent="0.25"/>
  <cols>
    <col min="1" max="1" width="3.85546875" style="299" customWidth="1"/>
    <col min="2" max="2" width="10.85546875" style="299" customWidth="1"/>
    <col min="3" max="3" width="34.5703125" style="299" customWidth="1"/>
    <col min="4" max="4" width="15.140625" style="299" customWidth="1"/>
    <col min="5" max="5" width="14.85546875" style="299" customWidth="1"/>
    <col min="6" max="6" width="15" style="299" customWidth="1"/>
    <col min="7" max="7" width="15.140625" style="299" customWidth="1"/>
    <col min="8" max="8" width="14.85546875" style="299" customWidth="1"/>
    <col min="9" max="9" width="15.140625" style="299" customWidth="1"/>
    <col min="10" max="10" width="15.140625" style="299" bestFit="1" customWidth="1"/>
    <col min="11" max="11" width="15.7109375" style="299" customWidth="1"/>
    <col min="12" max="12" width="14.85546875" style="299" customWidth="1"/>
    <col min="13" max="13" width="15.28515625" style="299" customWidth="1"/>
    <col min="14" max="14" width="15" style="299" customWidth="1"/>
    <col min="15" max="15" width="15.28515625" style="299" customWidth="1"/>
    <col min="16" max="16" width="16.42578125" style="299" customWidth="1"/>
    <col min="17" max="16384" width="11.42578125" style="299"/>
  </cols>
  <sheetData>
    <row r="2" spans="2:16" x14ac:dyDescent="0.25">
      <c r="B2" s="362" t="s">
        <v>59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2:16" x14ac:dyDescent="0.25">
      <c r="B3" s="363" t="s">
        <v>58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</row>
    <row r="4" spans="2:16" x14ac:dyDescent="0.25">
      <c r="B4" s="363" t="s">
        <v>57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</row>
    <row r="5" spans="2:16" x14ac:dyDescent="0.25">
      <c r="B5" s="363" t="s">
        <v>56</v>
      </c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</row>
    <row r="6" spans="2:16" x14ac:dyDescent="0.25"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</row>
    <row r="7" spans="2:16" x14ac:dyDescent="0.25">
      <c r="B7" s="300" t="s">
        <v>55</v>
      </c>
      <c r="C7" s="301" t="s">
        <v>54</v>
      </c>
      <c r="D7" s="300" t="s">
        <v>53</v>
      </c>
      <c r="E7" s="300" t="s">
        <v>52</v>
      </c>
      <c r="F7" s="300" t="s">
        <v>51</v>
      </c>
      <c r="G7" s="300" t="s">
        <v>50</v>
      </c>
      <c r="H7" s="300" t="s">
        <v>49</v>
      </c>
      <c r="I7" s="300" t="s">
        <v>48</v>
      </c>
      <c r="J7" s="300" t="s">
        <v>47</v>
      </c>
      <c r="K7" s="300" t="s">
        <v>46</v>
      </c>
      <c r="L7" s="300" t="s">
        <v>45</v>
      </c>
      <c r="M7" s="300" t="s">
        <v>44</v>
      </c>
      <c r="N7" s="300" t="s">
        <v>43</v>
      </c>
      <c r="O7" s="300" t="s">
        <v>42</v>
      </c>
      <c r="P7" s="300" t="s">
        <v>0</v>
      </c>
    </row>
    <row r="8" spans="2:16" x14ac:dyDescent="0.25">
      <c r="B8" s="302">
        <v>11</v>
      </c>
      <c r="C8" s="303" t="s">
        <v>41</v>
      </c>
      <c r="D8" s="304">
        <f>SUM(D9:D9)</f>
        <v>6037.41</v>
      </c>
      <c r="E8" s="304">
        <f t="shared" ref="E8:O8" si="0">SUM(E9:E9)</f>
        <v>6054.5599999999995</v>
      </c>
      <c r="F8" s="304">
        <f t="shared" si="0"/>
        <v>6088.86</v>
      </c>
      <c r="G8" s="304">
        <f t="shared" si="0"/>
        <v>5337.41</v>
      </c>
      <c r="H8" s="304">
        <f t="shared" si="0"/>
        <v>6054.86</v>
      </c>
      <c r="I8" s="304">
        <f t="shared" si="0"/>
        <v>6088.86</v>
      </c>
      <c r="J8" s="304">
        <f t="shared" si="0"/>
        <v>6054.5599999999995</v>
      </c>
      <c r="K8" s="304">
        <f t="shared" si="0"/>
        <v>5337.41</v>
      </c>
      <c r="L8" s="304">
        <f t="shared" si="0"/>
        <v>6054.5599999999995</v>
      </c>
      <c r="M8" s="304">
        <f t="shared" si="0"/>
        <v>6054.5599999999995</v>
      </c>
      <c r="N8" s="304">
        <f t="shared" si="0"/>
        <v>6054.86</v>
      </c>
      <c r="O8" s="304">
        <f t="shared" si="0"/>
        <v>5254.5599999999995</v>
      </c>
      <c r="P8" s="304">
        <f>SUM(P9)</f>
        <v>70472.47</v>
      </c>
    </row>
    <row r="9" spans="2:16" x14ac:dyDescent="0.25">
      <c r="B9" s="302">
        <v>118</v>
      </c>
      <c r="C9" s="303" t="s">
        <v>40</v>
      </c>
      <c r="D9" s="304">
        <f t="shared" ref="D9:P9" si="1">SUM(D10:D16)</f>
        <v>6037.41</v>
      </c>
      <c r="E9" s="304">
        <f t="shared" si="1"/>
        <v>6054.5599999999995</v>
      </c>
      <c r="F9" s="304">
        <f t="shared" si="1"/>
        <v>6088.86</v>
      </c>
      <c r="G9" s="304">
        <f t="shared" si="1"/>
        <v>5337.41</v>
      </c>
      <c r="H9" s="304">
        <f t="shared" si="1"/>
        <v>6054.86</v>
      </c>
      <c r="I9" s="304">
        <f t="shared" si="1"/>
        <v>6088.86</v>
      </c>
      <c r="J9" s="304">
        <f t="shared" si="1"/>
        <v>6054.5599999999995</v>
      </c>
      <c r="K9" s="304">
        <f t="shared" si="1"/>
        <v>5337.41</v>
      </c>
      <c r="L9" s="304">
        <f t="shared" si="1"/>
        <v>6054.5599999999995</v>
      </c>
      <c r="M9" s="304">
        <f t="shared" si="1"/>
        <v>6054.5599999999995</v>
      </c>
      <c r="N9" s="304">
        <f t="shared" si="1"/>
        <v>6054.86</v>
      </c>
      <c r="O9" s="304">
        <f t="shared" si="1"/>
        <v>5254.5599999999995</v>
      </c>
      <c r="P9" s="304">
        <f t="shared" si="1"/>
        <v>70472.47</v>
      </c>
    </row>
    <row r="10" spans="2:16" s="355" customFormat="1" x14ac:dyDescent="0.25">
      <c r="B10" s="351">
        <v>11801</v>
      </c>
      <c r="C10" s="352" t="s">
        <v>39</v>
      </c>
      <c r="D10" s="353">
        <v>900</v>
      </c>
      <c r="E10" s="353">
        <v>900</v>
      </c>
      <c r="F10" s="353">
        <v>900</v>
      </c>
      <c r="G10" s="353">
        <v>700</v>
      </c>
      <c r="H10" s="353">
        <v>900</v>
      </c>
      <c r="I10" s="353">
        <v>900</v>
      </c>
      <c r="J10" s="353">
        <v>900</v>
      </c>
      <c r="K10" s="353">
        <v>700</v>
      </c>
      <c r="L10" s="353">
        <v>900</v>
      </c>
      <c r="M10" s="353">
        <v>900</v>
      </c>
      <c r="N10" s="353">
        <v>900</v>
      </c>
      <c r="O10" s="353">
        <v>600</v>
      </c>
      <c r="P10" s="354">
        <f t="shared" ref="P10:P16" si="2">SUM(D10:O10)</f>
        <v>10100</v>
      </c>
    </row>
    <row r="11" spans="2:16" s="355" customFormat="1" x14ac:dyDescent="0.25">
      <c r="B11" s="351">
        <v>11802</v>
      </c>
      <c r="C11" s="352" t="s">
        <v>38</v>
      </c>
      <c r="D11" s="353">
        <v>900</v>
      </c>
      <c r="E11" s="353">
        <v>900</v>
      </c>
      <c r="F11" s="353">
        <v>900</v>
      </c>
      <c r="G11" s="353">
        <v>900</v>
      </c>
      <c r="H11" s="353">
        <v>900</v>
      </c>
      <c r="I11" s="353">
        <v>900</v>
      </c>
      <c r="J11" s="353">
        <v>900</v>
      </c>
      <c r="K11" s="353">
        <v>900</v>
      </c>
      <c r="L11" s="353">
        <v>900</v>
      </c>
      <c r="M11" s="353">
        <v>900</v>
      </c>
      <c r="N11" s="353">
        <v>900</v>
      </c>
      <c r="O11" s="353">
        <v>900</v>
      </c>
      <c r="P11" s="354">
        <f t="shared" si="2"/>
        <v>10800</v>
      </c>
    </row>
    <row r="12" spans="2:16" s="355" customFormat="1" x14ac:dyDescent="0.25">
      <c r="B12" s="351">
        <v>11804</v>
      </c>
      <c r="C12" s="352" t="s">
        <v>37</v>
      </c>
      <c r="D12" s="353">
        <v>4000</v>
      </c>
      <c r="E12" s="353">
        <v>4000</v>
      </c>
      <c r="F12" s="353">
        <v>4000</v>
      </c>
      <c r="G12" s="353">
        <v>3500</v>
      </c>
      <c r="H12" s="353">
        <v>4000</v>
      </c>
      <c r="I12" s="353">
        <v>4000</v>
      </c>
      <c r="J12" s="353">
        <v>4000</v>
      </c>
      <c r="K12" s="353">
        <v>3500</v>
      </c>
      <c r="L12" s="353">
        <v>4000</v>
      </c>
      <c r="M12" s="353">
        <v>4000</v>
      </c>
      <c r="N12" s="353">
        <v>4000</v>
      </c>
      <c r="O12" s="353">
        <v>3500</v>
      </c>
      <c r="P12" s="354">
        <f t="shared" si="2"/>
        <v>46500</v>
      </c>
    </row>
    <row r="13" spans="2:16" s="355" customFormat="1" x14ac:dyDescent="0.25">
      <c r="B13" s="351">
        <v>11810</v>
      </c>
      <c r="C13" s="352" t="s">
        <v>36</v>
      </c>
      <c r="D13" s="353">
        <v>10.5</v>
      </c>
      <c r="E13" s="353">
        <v>10.5</v>
      </c>
      <c r="F13" s="353">
        <v>10.5</v>
      </c>
      <c r="G13" s="353">
        <v>10.5</v>
      </c>
      <c r="H13" s="353">
        <v>10.5</v>
      </c>
      <c r="I13" s="353">
        <v>10.5</v>
      </c>
      <c r="J13" s="353">
        <v>10.5</v>
      </c>
      <c r="K13" s="353">
        <v>10.5</v>
      </c>
      <c r="L13" s="353">
        <v>10.5</v>
      </c>
      <c r="M13" s="353">
        <v>10.5</v>
      </c>
      <c r="N13" s="353">
        <v>10.5</v>
      </c>
      <c r="O13" s="353">
        <v>10.5</v>
      </c>
      <c r="P13" s="354">
        <f t="shared" si="2"/>
        <v>126</v>
      </c>
    </row>
    <row r="14" spans="2:16" s="355" customFormat="1" x14ac:dyDescent="0.25">
      <c r="B14" s="351">
        <v>11817</v>
      </c>
      <c r="C14" s="352" t="s">
        <v>35</v>
      </c>
      <c r="D14" s="353">
        <v>100</v>
      </c>
      <c r="E14" s="353">
        <v>100</v>
      </c>
      <c r="F14" s="353">
        <v>100</v>
      </c>
      <c r="G14" s="353">
        <v>100</v>
      </c>
      <c r="H14" s="353">
        <v>100</v>
      </c>
      <c r="I14" s="353">
        <v>100</v>
      </c>
      <c r="J14" s="353">
        <v>100</v>
      </c>
      <c r="K14" s="353">
        <v>100</v>
      </c>
      <c r="L14" s="353">
        <v>100</v>
      </c>
      <c r="M14" s="353">
        <v>100</v>
      </c>
      <c r="N14" s="353">
        <v>100</v>
      </c>
      <c r="O14" s="353">
        <v>100</v>
      </c>
      <c r="P14" s="354">
        <f t="shared" si="2"/>
        <v>1200</v>
      </c>
    </row>
    <row r="15" spans="2:16" s="355" customFormat="1" x14ac:dyDescent="0.25">
      <c r="B15" s="351">
        <v>11818</v>
      </c>
      <c r="C15" s="352" t="s">
        <v>34</v>
      </c>
      <c r="D15" s="353">
        <v>120.05</v>
      </c>
      <c r="E15" s="353">
        <v>137.19999999999999</v>
      </c>
      <c r="F15" s="353">
        <v>171.5</v>
      </c>
      <c r="G15" s="353">
        <v>120.05</v>
      </c>
      <c r="H15" s="353">
        <v>137.5</v>
      </c>
      <c r="I15" s="353">
        <v>171.5</v>
      </c>
      <c r="J15" s="353">
        <v>137.19999999999999</v>
      </c>
      <c r="K15" s="353">
        <v>120.05</v>
      </c>
      <c r="L15" s="353">
        <v>137.19999999999999</v>
      </c>
      <c r="M15" s="353">
        <v>137.19999999999999</v>
      </c>
      <c r="N15" s="353">
        <v>137.5</v>
      </c>
      <c r="O15" s="353">
        <v>137.19999999999999</v>
      </c>
      <c r="P15" s="354">
        <f t="shared" si="2"/>
        <v>1664.15</v>
      </c>
    </row>
    <row r="16" spans="2:16" s="355" customFormat="1" x14ac:dyDescent="0.25">
      <c r="B16" s="351">
        <v>11899</v>
      </c>
      <c r="C16" s="352" t="s">
        <v>33</v>
      </c>
      <c r="D16" s="353">
        <v>6.86</v>
      </c>
      <c r="E16" s="353">
        <v>6.86</v>
      </c>
      <c r="F16" s="353">
        <v>6.86</v>
      </c>
      <c r="G16" s="353">
        <v>6.86</v>
      </c>
      <c r="H16" s="353">
        <v>6.86</v>
      </c>
      <c r="I16" s="353">
        <v>6.86</v>
      </c>
      <c r="J16" s="353">
        <v>6.86</v>
      </c>
      <c r="K16" s="353">
        <v>6.86</v>
      </c>
      <c r="L16" s="353">
        <v>6.86</v>
      </c>
      <c r="M16" s="353">
        <v>6.86</v>
      </c>
      <c r="N16" s="353">
        <v>6.86</v>
      </c>
      <c r="O16" s="353">
        <v>6.86</v>
      </c>
      <c r="P16" s="354">
        <f t="shared" si="2"/>
        <v>82.320000000000007</v>
      </c>
    </row>
    <row r="17" spans="2:16" x14ac:dyDescent="0.25">
      <c r="B17" s="302">
        <v>12</v>
      </c>
      <c r="C17" s="303" t="s">
        <v>32</v>
      </c>
      <c r="D17" s="305">
        <f t="shared" ref="D17:P17" si="3">SUM(D18+D34)</f>
        <v>93670.13</v>
      </c>
      <c r="E17" s="305">
        <f t="shared" si="3"/>
        <v>92755.44</v>
      </c>
      <c r="F17" s="305">
        <f t="shared" si="3"/>
        <v>92757.15</v>
      </c>
      <c r="G17" s="305">
        <f t="shared" si="3"/>
        <v>89050.18</v>
      </c>
      <c r="H17" s="305">
        <f t="shared" si="3"/>
        <v>92755.450000000012</v>
      </c>
      <c r="I17" s="305">
        <f t="shared" si="3"/>
        <v>92757.15</v>
      </c>
      <c r="J17" s="305">
        <f t="shared" si="3"/>
        <v>92755.44</v>
      </c>
      <c r="K17" s="305">
        <f t="shared" si="3"/>
        <v>89050.18</v>
      </c>
      <c r="L17" s="305">
        <f t="shared" si="3"/>
        <v>92755.44</v>
      </c>
      <c r="M17" s="305">
        <f t="shared" si="3"/>
        <v>92755.44</v>
      </c>
      <c r="N17" s="305">
        <f t="shared" si="3"/>
        <v>93621</v>
      </c>
      <c r="O17" s="305">
        <f t="shared" si="3"/>
        <v>88622.89</v>
      </c>
      <c r="P17" s="305">
        <f t="shared" si="3"/>
        <v>1103305.8899999999</v>
      </c>
    </row>
    <row r="18" spans="2:16" x14ac:dyDescent="0.25">
      <c r="B18" s="302">
        <v>121</v>
      </c>
      <c r="C18" s="303" t="s">
        <v>31</v>
      </c>
      <c r="D18" s="305">
        <f t="shared" ref="D18:P18" si="4">SUM(D19:D33)</f>
        <v>91670.13</v>
      </c>
      <c r="E18" s="305">
        <f t="shared" si="4"/>
        <v>90755.44</v>
      </c>
      <c r="F18" s="305">
        <f t="shared" si="4"/>
        <v>90757.15</v>
      </c>
      <c r="G18" s="305">
        <f t="shared" si="4"/>
        <v>87250.18</v>
      </c>
      <c r="H18" s="305">
        <f t="shared" si="4"/>
        <v>90755.450000000012</v>
      </c>
      <c r="I18" s="305">
        <f t="shared" si="4"/>
        <v>90757.15</v>
      </c>
      <c r="J18" s="305">
        <f t="shared" si="4"/>
        <v>90755.44</v>
      </c>
      <c r="K18" s="305">
        <f t="shared" si="4"/>
        <v>87250.18</v>
      </c>
      <c r="L18" s="305">
        <f t="shared" si="4"/>
        <v>90755.44</v>
      </c>
      <c r="M18" s="305">
        <f t="shared" si="4"/>
        <v>90755.44</v>
      </c>
      <c r="N18" s="305">
        <f t="shared" si="4"/>
        <v>91621</v>
      </c>
      <c r="O18" s="305">
        <f t="shared" si="4"/>
        <v>86822.89</v>
      </c>
      <c r="P18" s="305">
        <f t="shared" si="4"/>
        <v>1079905.8899999999</v>
      </c>
    </row>
    <row r="19" spans="2:16" s="355" customFormat="1" x14ac:dyDescent="0.25">
      <c r="B19" s="351">
        <v>12105</v>
      </c>
      <c r="C19" s="352" t="s">
        <v>30</v>
      </c>
      <c r="D19" s="353">
        <v>2367.1999999999998</v>
      </c>
      <c r="E19" s="353">
        <v>1501.65</v>
      </c>
      <c r="F19" s="353">
        <v>1501.65</v>
      </c>
      <c r="G19" s="353">
        <v>1501.65</v>
      </c>
      <c r="H19" s="353">
        <v>1501.65</v>
      </c>
      <c r="I19" s="353">
        <v>1501.65</v>
      </c>
      <c r="J19" s="353">
        <v>1501.65</v>
      </c>
      <c r="K19" s="353">
        <v>1501.65</v>
      </c>
      <c r="L19" s="353">
        <v>1501.65</v>
      </c>
      <c r="M19" s="353">
        <v>1501.65</v>
      </c>
      <c r="N19" s="353">
        <v>2367.1999999999998</v>
      </c>
      <c r="O19" s="353">
        <v>1048.3499999999999</v>
      </c>
      <c r="P19" s="354">
        <f t="shared" ref="P19:P33" si="5">SUM(D19:O19)</f>
        <v>19297.599999999995</v>
      </c>
    </row>
    <row r="20" spans="2:16" s="355" customFormat="1" ht="30" x14ac:dyDescent="0.25">
      <c r="B20" s="351">
        <v>12106</v>
      </c>
      <c r="C20" s="352" t="s">
        <v>29</v>
      </c>
      <c r="D20" s="353">
        <v>45</v>
      </c>
      <c r="E20" s="353">
        <v>45</v>
      </c>
      <c r="F20" s="353">
        <v>45</v>
      </c>
      <c r="G20" s="353">
        <v>45</v>
      </c>
      <c r="H20" s="353">
        <v>45</v>
      </c>
      <c r="I20" s="353">
        <v>45</v>
      </c>
      <c r="J20" s="353">
        <v>45</v>
      </c>
      <c r="K20" s="353">
        <v>45</v>
      </c>
      <c r="L20" s="353">
        <v>45</v>
      </c>
      <c r="M20" s="353">
        <v>45</v>
      </c>
      <c r="N20" s="353">
        <v>45</v>
      </c>
      <c r="O20" s="353">
        <v>45</v>
      </c>
      <c r="P20" s="354">
        <f t="shared" si="5"/>
        <v>540</v>
      </c>
    </row>
    <row r="21" spans="2:16" s="355" customFormat="1" x14ac:dyDescent="0.25">
      <c r="B21" s="351">
        <v>12107</v>
      </c>
      <c r="C21" s="352" t="s">
        <v>28</v>
      </c>
      <c r="D21" s="353">
        <v>700</v>
      </c>
      <c r="E21" s="353">
        <v>650</v>
      </c>
      <c r="F21" s="353">
        <v>650</v>
      </c>
      <c r="G21" s="353">
        <v>700</v>
      </c>
      <c r="H21" s="353">
        <v>650</v>
      </c>
      <c r="I21" s="353">
        <v>650</v>
      </c>
      <c r="J21" s="353">
        <v>650</v>
      </c>
      <c r="K21" s="353">
        <v>700</v>
      </c>
      <c r="L21" s="353">
        <v>650</v>
      </c>
      <c r="M21" s="353">
        <v>650</v>
      </c>
      <c r="N21" s="353">
        <v>650</v>
      </c>
      <c r="O21" s="353">
        <v>700</v>
      </c>
      <c r="P21" s="354">
        <f t="shared" si="5"/>
        <v>8000</v>
      </c>
    </row>
    <row r="22" spans="2:16" s="355" customFormat="1" x14ac:dyDescent="0.25">
      <c r="B22" s="351">
        <v>12108</v>
      </c>
      <c r="C22" s="352" t="s">
        <v>27</v>
      </c>
      <c r="D22" s="353">
        <v>5500</v>
      </c>
      <c r="E22" s="353">
        <v>5500</v>
      </c>
      <c r="F22" s="353">
        <v>5500</v>
      </c>
      <c r="G22" s="353">
        <v>5000</v>
      </c>
      <c r="H22" s="353">
        <v>5500</v>
      </c>
      <c r="I22" s="353">
        <v>5500</v>
      </c>
      <c r="J22" s="353">
        <v>5500</v>
      </c>
      <c r="K22" s="353">
        <v>5000</v>
      </c>
      <c r="L22" s="353">
        <v>5500</v>
      </c>
      <c r="M22" s="353">
        <v>5500</v>
      </c>
      <c r="N22" s="353">
        <v>5500</v>
      </c>
      <c r="O22" s="353">
        <v>5000</v>
      </c>
      <c r="P22" s="354">
        <f>SUM(D22:O22)</f>
        <v>64500</v>
      </c>
    </row>
    <row r="23" spans="2:16" s="355" customFormat="1" x14ac:dyDescent="0.25">
      <c r="B23" s="351">
        <v>1210901</v>
      </c>
      <c r="C23" s="352" t="s">
        <v>26</v>
      </c>
      <c r="D23" s="353">
        <v>30275</v>
      </c>
      <c r="E23" s="353">
        <v>30275</v>
      </c>
      <c r="F23" s="353">
        <v>30275</v>
      </c>
      <c r="G23" s="353">
        <v>29000</v>
      </c>
      <c r="H23" s="353">
        <v>30275</v>
      </c>
      <c r="I23" s="353">
        <v>30275</v>
      </c>
      <c r="J23" s="353">
        <v>30275</v>
      </c>
      <c r="K23" s="353">
        <v>29000</v>
      </c>
      <c r="L23" s="353">
        <v>30275</v>
      </c>
      <c r="M23" s="353">
        <v>30275</v>
      </c>
      <c r="N23" s="353">
        <v>30275</v>
      </c>
      <c r="O23" s="353">
        <v>29000</v>
      </c>
      <c r="P23" s="354">
        <f t="shared" si="5"/>
        <v>359475</v>
      </c>
    </row>
    <row r="24" spans="2:16" s="355" customFormat="1" x14ac:dyDescent="0.25">
      <c r="B24" s="351">
        <v>1210902</v>
      </c>
      <c r="C24" s="352" t="s">
        <v>441</v>
      </c>
      <c r="D24" s="353">
        <v>1300</v>
      </c>
      <c r="E24" s="353">
        <v>1300</v>
      </c>
      <c r="F24" s="353">
        <v>1300</v>
      </c>
      <c r="G24" s="353">
        <v>1275</v>
      </c>
      <c r="H24" s="353">
        <v>1300</v>
      </c>
      <c r="I24" s="353">
        <v>1300</v>
      </c>
      <c r="J24" s="353">
        <v>1300</v>
      </c>
      <c r="K24" s="353">
        <v>1275</v>
      </c>
      <c r="L24" s="353">
        <v>1300</v>
      </c>
      <c r="M24" s="353">
        <v>1300</v>
      </c>
      <c r="N24" s="353">
        <v>1300</v>
      </c>
      <c r="O24" s="353">
        <v>1275</v>
      </c>
      <c r="P24" s="354">
        <f t="shared" si="5"/>
        <v>15525</v>
      </c>
    </row>
    <row r="25" spans="2:16" s="355" customFormat="1" x14ac:dyDescent="0.25">
      <c r="B25" s="351">
        <v>1210903</v>
      </c>
      <c r="C25" s="352" t="s">
        <v>442</v>
      </c>
      <c r="D25" s="353">
        <v>125</v>
      </c>
      <c r="E25" s="353">
        <v>125</v>
      </c>
      <c r="F25" s="353">
        <v>125</v>
      </c>
      <c r="G25" s="353">
        <v>115</v>
      </c>
      <c r="H25" s="353">
        <v>125</v>
      </c>
      <c r="I25" s="353">
        <v>125</v>
      </c>
      <c r="J25" s="353">
        <v>125</v>
      </c>
      <c r="K25" s="353">
        <v>115</v>
      </c>
      <c r="L25" s="353">
        <v>125</v>
      </c>
      <c r="M25" s="353">
        <v>125</v>
      </c>
      <c r="N25" s="353">
        <v>125</v>
      </c>
      <c r="O25" s="353">
        <v>115</v>
      </c>
      <c r="P25" s="354">
        <f t="shared" si="5"/>
        <v>1470</v>
      </c>
    </row>
    <row r="26" spans="2:16" s="355" customFormat="1" x14ac:dyDescent="0.25">
      <c r="B26" s="351">
        <v>12110</v>
      </c>
      <c r="C26" s="352" t="s">
        <v>25</v>
      </c>
      <c r="D26" s="353">
        <v>22.86</v>
      </c>
      <c r="E26" s="353">
        <v>22.86</v>
      </c>
      <c r="F26" s="353">
        <v>22.86</v>
      </c>
      <c r="G26" s="353">
        <v>22.86</v>
      </c>
      <c r="H26" s="353">
        <v>22.86</v>
      </c>
      <c r="I26" s="353">
        <v>22.86</v>
      </c>
      <c r="J26" s="353">
        <v>22.86</v>
      </c>
      <c r="K26" s="353">
        <v>22.86</v>
      </c>
      <c r="L26" s="353">
        <v>22.86</v>
      </c>
      <c r="M26" s="353">
        <v>22.86</v>
      </c>
      <c r="N26" s="353">
        <v>22.86</v>
      </c>
      <c r="O26" s="353">
        <v>22.86</v>
      </c>
      <c r="P26" s="354">
        <f t="shared" si="5"/>
        <v>274.32000000000005</v>
      </c>
    </row>
    <row r="27" spans="2:16" s="355" customFormat="1" x14ac:dyDescent="0.25">
      <c r="B27" s="351">
        <v>12111</v>
      </c>
      <c r="C27" s="352" t="s">
        <v>24</v>
      </c>
      <c r="D27" s="353">
        <v>600</v>
      </c>
      <c r="E27" s="353">
        <v>600</v>
      </c>
      <c r="F27" s="353">
        <v>600</v>
      </c>
      <c r="G27" s="353">
        <v>500</v>
      </c>
      <c r="H27" s="353">
        <v>600</v>
      </c>
      <c r="I27" s="353">
        <v>600</v>
      </c>
      <c r="J27" s="353">
        <v>600</v>
      </c>
      <c r="K27" s="353">
        <v>500</v>
      </c>
      <c r="L27" s="353">
        <v>600</v>
      </c>
      <c r="M27" s="353">
        <v>600</v>
      </c>
      <c r="N27" s="353">
        <v>600</v>
      </c>
      <c r="O27" s="353">
        <v>500</v>
      </c>
      <c r="P27" s="354">
        <f t="shared" si="5"/>
        <v>6900</v>
      </c>
    </row>
    <row r="28" spans="2:16" s="355" customFormat="1" x14ac:dyDescent="0.25">
      <c r="B28" s="351">
        <v>12112</v>
      </c>
      <c r="C28" s="352" t="s">
        <v>23</v>
      </c>
      <c r="D28" s="353">
        <v>9000</v>
      </c>
      <c r="E28" s="353">
        <v>9000</v>
      </c>
      <c r="F28" s="353">
        <v>9000</v>
      </c>
      <c r="G28" s="353">
        <v>8000</v>
      </c>
      <c r="H28" s="353">
        <v>9000</v>
      </c>
      <c r="I28" s="353">
        <v>9000</v>
      </c>
      <c r="J28" s="353">
        <v>9000</v>
      </c>
      <c r="K28" s="353">
        <v>8000</v>
      </c>
      <c r="L28" s="353">
        <v>9000</v>
      </c>
      <c r="M28" s="353">
        <v>9000</v>
      </c>
      <c r="N28" s="353">
        <v>9000</v>
      </c>
      <c r="O28" s="353">
        <v>8000</v>
      </c>
      <c r="P28" s="354">
        <f t="shared" si="5"/>
        <v>105000</v>
      </c>
    </row>
    <row r="29" spans="2:16" s="355" customFormat="1" x14ac:dyDescent="0.25">
      <c r="B29" s="351">
        <v>12114</v>
      </c>
      <c r="C29" s="352" t="s">
        <v>22</v>
      </c>
      <c r="D29" s="356">
        <v>4548.07</v>
      </c>
      <c r="E29" s="356">
        <v>4548.93</v>
      </c>
      <c r="F29" s="356">
        <v>4550.6400000000003</v>
      </c>
      <c r="G29" s="356">
        <v>4333.67</v>
      </c>
      <c r="H29" s="356">
        <v>4548.9399999999996</v>
      </c>
      <c r="I29" s="356">
        <v>4550.6400000000003</v>
      </c>
      <c r="J29" s="356">
        <v>4548.93</v>
      </c>
      <c r="K29" s="356">
        <v>4333.67</v>
      </c>
      <c r="L29" s="356">
        <v>4548.93</v>
      </c>
      <c r="M29" s="356">
        <v>4548.93</v>
      </c>
      <c r="N29" s="356">
        <v>4548.9399999999996</v>
      </c>
      <c r="O29" s="356">
        <v>4329.68</v>
      </c>
      <c r="P29" s="354">
        <f t="shared" si="5"/>
        <v>53939.97</v>
      </c>
    </row>
    <row r="30" spans="2:16" s="355" customFormat="1" x14ac:dyDescent="0.25">
      <c r="B30" s="351">
        <v>12115</v>
      </c>
      <c r="C30" s="352" t="s">
        <v>21</v>
      </c>
      <c r="D30" s="353">
        <v>480</v>
      </c>
      <c r="E30" s="353">
        <v>480</v>
      </c>
      <c r="F30" s="353">
        <v>480</v>
      </c>
      <c r="G30" s="353">
        <v>480</v>
      </c>
      <c r="H30" s="353">
        <v>480</v>
      </c>
      <c r="I30" s="353">
        <v>480</v>
      </c>
      <c r="J30" s="353">
        <v>480</v>
      </c>
      <c r="K30" s="353">
        <v>480</v>
      </c>
      <c r="L30" s="353">
        <v>480</v>
      </c>
      <c r="M30" s="353">
        <v>480</v>
      </c>
      <c r="N30" s="353">
        <v>480</v>
      </c>
      <c r="O30" s="353">
        <v>480</v>
      </c>
      <c r="P30" s="354">
        <f t="shared" si="5"/>
        <v>5760</v>
      </c>
    </row>
    <row r="31" spans="2:16" s="355" customFormat="1" x14ac:dyDescent="0.25">
      <c r="B31" s="351">
        <v>12117</v>
      </c>
      <c r="C31" s="352" t="s">
        <v>20</v>
      </c>
      <c r="D31" s="353">
        <v>3000</v>
      </c>
      <c r="E31" s="353">
        <v>3000</v>
      </c>
      <c r="F31" s="353">
        <v>3000</v>
      </c>
      <c r="G31" s="353">
        <v>2600</v>
      </c>
      <c r="H31" s="353">
        <v>3000</v>
      </c>
      <c r="I31" s="353">
        <v>3000</v>
      </c>
      <c r="J31" s="353">
        <v>3000</v>
      </c>
      <c r="K31" s="353">
        <v>2600</v>
      </c>
      <c r="L31" s="353">
        <v>3000</v>
      </c>
      <c r="M31" s="353">
        <v>3000</v>
      </c>
      <c r="N31" s="353">
        <v>3000</v>
      </c>
      <c r="O31" s="353">
        <v>2600</v>
      </c>
      <c r="P31" s="354">
        <f t="shared" si="5"/>
        <v>34800</v>
      </c>
    </row>
    <row r="32" spans="2:16" s="355" customFormat="1" x14ac:dyDescent="0.25">
      <c r="B32" s="351">
        <v>12118</v>
      </c>
      <c r="C32" s="352" t="s">
        <v>19</v>
      </c>
      <c r="D32" s="353">
        <v>33647</v>
      </c>
      <c r="E32" s="353">
        <v>33647</v>
      </c>
      <c r="F32" s="353">
        <v>33647</v>
      </c>
      <c r="G32" s="353">
        <v>33647</v>
      </c>
      <c r="H32" s="353">
        <v>33647</v>
      </c>
      <c r="I32" s="353">
        <v>33647</v>
      </c>
      <c r="J32" s="353">
        <v>33647</v>
      </c>
      <c r="K32" s="353">
        <v>33647</v>
      </c>
      <c r="L32" s="353">
        <v>33647</v>
      </c>
      <c r="M32" s="353">
        <v>33647</v>
      </c>
      <c r="N32" s="353">
        <v>33647</v>
      </c>
      <c r="O32" s="353">
        <v>33647</v>
      </c>
      <c r="P32" s="354">
        <f t="shared" si="5"/>
        <v>403764</v>
      </c>
    </row>
    <row r="33" spans="2:16" s="355" customFormat="1" x14ac:dyDescent="0.25">
      <c r="B33" s="351">
        <v>12119</v>
      </c>
      <c r="C33" s="352" t="s">
        <v>18</v>
      </c>
      <c r="D33" s="353">
        <v>60</v>
      </c>
      <c r="E33" s="353">
        <v>60</v>
      </c>
      <c r="F33" s="353">
        <v>60</v>
      </c>
      <c r="G33" s="353">
        <v>30</v>
      </c>
      <c r="H33" s="353">
        <v>60</v>
      </c>
      <c r="I33" s="353">
        <v>60</v>
      </c>
      <c r="J33" s="353">
        <v>60</v>
      </c>
      <c r="K33" s="353">
        <v>30</v>
      </c>
      <c r="L33" s="353">
        <v>60</v>
      </c>
      <c r="M33" s="353">
        <v>60</v>
      </c>
      <c r="N33" s="353">
        <v>60</v>
      </c>
      <c r="O33" s="353">
        <v>60</v>
      </c>
      <c r="P33" s="354">
        <f t="shared" si="5"/>
        <v>660</v>
      </c>
    </row>
    <row r="34" spans="2:16" x14ac:dyDescent="0.25">
      <c r="B34" s="302">
        <v>122</v>
      </c>
      <c r="C34" s="303" t="s">
        <v>17</v>
      </c>
      <c r="D34" s="305">
        <f>SUM(D35:D35)</f>
        <v>2000</v>
      </c>
      <c r="E34" s="305">
        <f t="shared" ref="E34:O34" si="6">SUM(E35:E35)</f>
        <v>2000</v>
      </c>
      <c r="F34" s="305">
        <f t="shared" si="6"/>
        <v>2000</v>
      </c>
      <c r="G34" s="305">
        <f t="shared" si="6"/>
        <v>1800</v>
      </c>
      <c r="H34" s="305">
        <f>SUM(H35:H35)</f>
        <v>2000</v>
      </c>
      <c r="I34" s="305">
        <f t="shared" si="6"/>
        <v>2000</v>
      </c>
      <c r="J34" s="305">
        <f t="shared" si="6"/>
        <v>2000</v>
      </c>
      <c r="K34" s="305">
        <f t="shared" si="6"/>
        <v>1800</v>
      </c>
      <c r="L34" s="305">
        <f t="shared" si="6"/>
        <v>2000</v>
      </c>
      <c r="M34" s="305">
        <f t="shared" si="6"/>
        <v>2000</v>
      </c>
      <c r="N34" s="305">
        <f t="shared" si="6"/>
        <v>2000</v>
      </c>
      <c r="O34" s="305">
        <f t="shared" si="6"/>
        <v>1800</v>
      </c>
      <c r="P34" s="305">
        <f>SUM(P35:P35)</f>
        <v>23400</v>
      </c>
    </row>
    <row r="35" spans="2:16" s="355" customFormat="1" ht="30" x14ac:dyDescent="0.25">
      <c r="B35" s="351">
        <v>12210</v>
      </c>
      <c r="C35" s="352" t="s">
        <v>16</v>
      </c>
      <c r="D35" s="353">
        <v>2000</v>
      </c>
      <c r="E35" s="353">
        <v>2000</v>
      </c>
      <c r="F35" s="353">
        <v>2000</v>
      </c>
      <c r="G35" s="353">
        <v>1800</v>
      </c>
      <c r="H35" s="353">
        <v>2000</v>
      </c>
      <c r="I35" s="353">
        <v>2000</v>
      </c>
      <c r="J35" s="353">
        <v>2000</v>
      </c>
      <c r="K35" s="353">
        <v>1800</v>
      </c>
      <c r="L35" s="353">
        <v>2000</v>
      </c>
      <c r="M35" s="353">
        <v>2000</v>
      </c>
      <c r="N35" s="353">
        <v>2000</v>
      </c>
      <c r="O35" s="353">
        <v>1800</v>
      </c>
      <c r="P35" s="354">
        <f>SUM(D35:O35)</f>
        <v>23400</v>
      </c>
    </row>
    <row r="36" spans="2:16" ht="31.5" x14ac:dyDescent="0.25">
      <c r="B36" s="302">
        <v>14</v>
      </c>
      <c r="C36" s="303" t="s">
        <v>64</v>
      </c>
      <c r="D36" s="305">
        <f>SUM(D37:D37)</f>
        <v>80</v>
      </c>
      <c r="E36" s="305">
        <f t="shared" ref="E36:O36" si="7">SUM(E37:E37)</f>
        <v>80</v>
      </c>
      <c r="F36" s="305">
        <f t="shared" si="7"/>
        <v>80</v>
      </c>
      <c r="G36" s="305">
        <f t="shared" si="7"/>
        <v>70</v>
      </c>
      <c r="H36" s="305">
        <f t="shared" si="7"/>
        <v>80</v>
      </c>
      <c r="I36" s="305">
        <f t="shared" si="7"/>
        <v>80</v>
      </c>
      <c r="J36" s="305">
        <f t="shared" si="7"/>
        <v>80</v>
      </c>
      <c r="K36" s="305">
        <f t="shared" si="7"/>
        <v>70</v>
      </c>
      <c r="L36" s="305">
        <f t="shared" si="7"/>
        <v>80</v>
      </c>
      <c r="M36" s="305">
        <f t="shared" si="7"/>
        <v>80</v>
      </c>
      <c r="N36" s="305">
        <f t="shared" si="7"/>
        <v>80</v>
      </c>
      <c r="O36" s="305">
        <f t="shared" si="7"/>
        <v>70</v>
      </c>
      <c r="P36" s="305">
        <f>+P37</f>
        <v>930</v>
      </c>
    </row>
    <row r="37" spans="2:16" ht="31.5" x14ac:dyDescent="0.25">
      <c r="B37" s="302">
        <v>142</v>
      </c>
      <c r="C37" s="303" t="s">
        <v>62</v>
      </c>
      <c r="D37" s="305">
        <f>SUM(D38:D38)</f>
        <v>80</v>
      </c>
      <c r="E37" s="305">
        <f t="shared" ref="E37:O37" si="8">SUM(E38:E38)</f>
        <v>80</v>
      </c>
      <c r="F37" s="305">
        <f t="shared" si="8"/>
        <v>80</v>
      </c>
      <c r="G37" s="305">
        <f t="shared" si="8"/>
        <v>70</v>
      </c>
      <c r="H37" s="305">
        <f t="shared" si="8"/>
        <v>80</v>
      </c>
      <c r="I37" s="305">
        <f t="shared" si="8"/>
        <v>80</v>
      </c>
      <c r="J37" s="305">
        <f t="shared" si="8"/>
        <v>80</v>
      </c>
      <c r="K37" s="305">
        <f t="shared" si="8"/>
        <v>70</v>
      </c>
      <c r="L37" s="305">
        <f t="shared" si="8"/>
        <v>80</v>
      </c>
      <c r="M37" s="305">
        <f t="shared" si="8"/>
        <v>80</v>
      </c>
      <c r="N37" s="305">
        <f t="shared" si="8"/>
        <v>80</v>
      </c>
      <c r="O37" s="305">
        <f t="shared" si="8"/>
        <v>70</v>
      </c>
      <c r="P37" s="305">
        <f>+P38</f>
        <v>930</v>
      </c>
    </row>
    <row r="38" spans="2:16" s="355" customFormat="1" x14ac:dyDescent="0.25">
      <c r="B38" s="351">
        <v>14201</v>
      </c>
      <c r="C38" s="352" t="s">
        <v>63</v>
      </c>
      <c r="D38" s="353">
        <v>80</v>
      </c>
      <c r="E38" s="353">
        <v>80</v>
      </c>
      <c r="F38" s="353">
        <v>80</v>
      </c>
      <c r="G38" s="353">
        <v>70</v>
      </c>
      <c r="H38" s="353">
        <v>80</v>
      </c>
      <c r="I38" s="353">
        <v>80</v>
      </c>
      <c r="J38" s="353">
        <v>80</v>
      </c>
      <c r="K38" s="353">
        <v>70</v>
      </c>
      <c r="L38" s="353">
        <v>80</v>
      </c>
      <c r="M38" s="353">
        <v>80</v>
      </c>
      <c r="N38" s="353">
        <v>80</v>
      </c>
      <c r="O38" s="353">
        <v>70</v>
      </c>
      <c r="P38" s="354">
        <f>SUM(D38:O38)</f>
        <v>930</v>
      </c>
    </row>
    <row r="39" spans="2:16" x14ac:dyDescent="0.25">
      <c r="B39" s="302">
        <v>15</v>
      </c>
      <c r="C39" s="303" t="s">
        <v>15</v>
      </c>
      <c r="D39" s="305">
        <f>SUM(D40+D47+D49)</f>
        <v>6379.29</v>
      </c>
      <c r="E39" s="305">
        <f t="shared" ref="E39:O39" si="9">SUM(E40+E47+E49)</f>
        <v>6379.29</v>
      </c>
      <c r="F39" s="305">
        <f t="shared" si="9"/>
        <v>6409.29</v>
      </c>
      <c r="G39" s="305">
        <f t="shared" si="9"/>
        <v>6058.75</v>
      </c>
      <c r="H39" s="305">
        <f t="shared" si="9"/>
        <v>6399.29</v>
      </c>
      <c r="I39" s="305">
        <f t="shared" si="9"/>
        <v>6399.29</v>
      </c>
      <c r="J39" s="305">
        <f t="shared" si="9"/>
        <v>6399.29</v>
      </c>
      <c r="K39" s="305">
        <f t="shared" si="9"/>
        <v>6053.75</v>
      </c>
      <c r="L39" s="305">
        <f t="shared" si="9"/>
        <v>6399.29</v>
      </c>
      <c r="M39" s="305">
        <f t="shared" si="9"/>
        <v>6399.29</v>
      </c>
      <c r="N39" s="305">
        <f t="shared" si="9"/>
        <v>6399.29</v>
      </c>
      <c r="O39" s="305">
        <f t="shared" si="9"/>
        <v>6053.76</v>
      </c>
      <c r="P39" s="305">
        <f>SUM(P40+P47+P49)</f>
        <v>75729.87</v>
      </c>
    </row>
    <row r="40" spans="2:16" x14ac:dyDescent="0.25">
      <c r="B40" s="302">
        <v>153</v>
      </c>
      <c r="C40" s="303" t="s">
        <v>14</v>
      </c>
      <c r="D40" s="305">
        <f>SUM(D41:D46)</f>
        <v>704.29</v>
      </c>
      <c r="E40" s="305">
        <f>SUM(E41:E46)</f>
        <v>704.29</v>
      </c>
      <c r="F40" s="305">
        <f>SUM(F41:F46)</f>
        <v>734.29</v>
      </c>
      <c r="G40" s="305">
        <f>SUM(G41:G46)</f>
        <v>558.75</v>
      </c>
      <c r="H40" s="305">
        <f t="shared" ref="H40:O40" si="10">SUM(H41:H46)</f>
        <v>724.29</v>
      </c>
      <c r="I40" s="305">
        <f t="shared" si="10"/>
        <v>724.29</v>
      </c>
      <c r="J40" s="305">
        <f t="shared" si="10"/>
        <v>724.29</v>
      </c>
      <c r="K40" s="305">
        <f t="shared" si="10"/>
        <v>553.75</v>
      </c>
      <c r="L40" s="305">
        <f t="shared" si="10"/>
        <v>724.29</v>
      </c>
      <c r="M40" s="305">
        <f t="shared" si="10"/>
        <v>724.29</v>
      </c>
      <c r="N40" s="305">
        <f t="shared" si="10"/>
        <v>724.29</v>
      </c>
      <c r="O40" s="305">
        <f t="shared" si="10"/>
        <v>553.76</v>
      </c>
      <c r="P40" s="305">
        <f>SUM(P41:P46)</f>
        <v>8154.87</v>
      </c>
    </row>
    <row r="41" spans="2:16" s="355" customFormat="1" x14ac:dyDescent="0.25">
      <c r="B41" s="351">
        <v>15301</v>
      </c>
      <c r="C41" s="352" t="s">
        <v>13</v>
      </c>
      <c r="D41" s="353">
        <v>250</v>
      </c>
      <c r="E41" s="353">
        <v>250</v>
      </c>
      <c r="F41" s="353">
        <v>250</v>
      </c>
      <c r="G41" s="353">
        <v>200</v>
      </c>
      <c r="H41" s="353">
        <v>250</v>
      </c>
      <c r="I41" s="353">
        <v>250</v>
      </c>
      <c r="J41" s="353">
        <v>250</v>
      </c>
      <c r="K41" s="353">
        <v>200</v>
      </c>
      <c r="L41" s="353">
        <v>250</v>
      </c>
      <c r="M41" s="353">
        <v>250</v>
      </c>
      <c r="N41" s="353">
        <v>250</v>
      </c>
      <c r="O41" s="353">
        <v>200</v>
      </c>
      <c r="P41" s="354">
        <f t="shared" ref="P41:P46" si="11">SUM(D41:O41)</f>
        <v>2850</v>
      </c>
    </row>
    <row r="42" spans="2:16" s="355" customFormat="1" x14ac:dyDescent="0.25">
      <c r="B42" s="351">
        <v>15302</v>
      </c>
      <c r="C42" s="352" t="s">
        <v>12</v>
      </c>
      <c r="D42" s="353">
        <v>275</v>
      </c>
      <c r="E42" s="353">
        <v>275</v>
      </c>
      <c r="F42" s="353">
        <v>275</v>
      </c>
      <c r="G42" s="353">
        <v>250</v>
      </c>
      <c r="H42" s="353">
        <v>275</v>
      </c>
      <c r="I42" s="353">
        <v>275</v>
      </c>
      <c r="J42" s="353">
        <v>275</v>
      </c>
      <c r="K42" s="353">
        <v>250</v>
      </c>
      <c r="L42" s="353">
        <v>275</v>
      </c>
      <c r="M42" s="353">
        <v>275</v>
      </c>
      <c r="N42" s="353">
        <v>275</v>
      </c>
      <c r="O42" s="353">
        <v>250</v>
      </c>
      <c r="P42" s="354">
        <f t="shared" si="11"/>
        <v>3225</v>
      </c>
    </row>
    <row r="43" spans="2:16" s="355" customFormat="1" ht="30" x14ac:dyDescent="0.25">
      <c r="B43" s="351">
        <v>15310</v>
      </c>
      <c r="C43" s="352" t="s">
        <v>11</v>
      </c>
      <c r="D43" s="353">
        <v>0</v>
      </c>
      <c r="E43" s="353">
        <v>0</v>
      </c>
      <c r="F43" s="353">
        <v>30</v>
      </c>
      <c r="G43" s="353">
        <v>20</v>
      </c>
      <c r="H43" s="353">
        <v>20</v>
      </c>
      <c r="I43" s="353">
        <v>20</v>
      </c>
      <c r="J43" s="353">
        <v>20</v>
      </c>
      <c r="K43" s="353">
        <v>15</v>
      </c>
      <c r="L43" s="353">
        <v>20</v>
      </c>
      <c r="M43" s="353">
        <v>20</v>
      </c>
      <c r="N43" s="353">
        <v>20</v>
      </c>
      <c r="O43" s="353">
        <v>15</v>
      </c>
      <c r="P43" s="354">
        <f t="shared" si="11"/>
        <v>200</v>
      </c>
    </row>
    <row r="44" spans="2:16" s="355" customFormat="1" x14ac:dyDescent="0.25">
      <c r="B44" s="351">
        <v>15312</v>
      </c>
      <c r="C44" s="352" t="s">
        <v>10</v>
      </c>
      <c r="D44" s="353">
        <v>25</v>
      </c>
      <c r="E44" s="353">
        <v>25</v>
      </c>
      <c r="F44" s="353">
        <v>25</v>
      </c>
      <c r="G44" s="353">
        <v>25</v>
      </c>
      <c r="H44" s="353">
        <v>25</v>
      </c>
      <c r="I44" s="353">
        <v>25</v>
      </c>
      <c r="J44" s="353">
        <v>25</v>
      </c>
      <c r="K44" s="353">
        <v>25</v>
      </c>
      <c r="L44" s="353">
        <v>25</v>
      </c>
      <c r="M44" s="353">
        <v>25</v>
      </c>
      <c r="N44" s="353">
        <v>25</v>
      </c>
      <c r="O44" s="353">
        <v>25</v>
      </c>
      <c r="P44" s="354">
        <f t="shared" si="11"/>
        <v>300</v>
      </c>
    </row>
    <row r="45" spans="2:16" s="355" customFormat="1" x14ac:dyDescent="0.25">
      <c r="B45" s="351">
        <v>15313</v>
      </c>
      <c r="C45" s="352" t="s">
        <v>9</v>
      </c>
      <c r="D45" s="353">
        <v>20</v>
      </c>
      <c r="E45" s="353">
        <v>20</v>
      </c>
      <c r="F45" s="353">
        <v>20</v>
      </c>
      <c r="G45" s="353">
        <v>15</v>
      </c>
      <c r="H45" s="353">
        <v>20</v>
      </c>
      <c r="I45" s="353">
        <v>20</v>
      </c>
      <c r="J45" s="353">
        <v>20</v>
      </c>
      <c r="K45" s="353">
        <v>15</v>
      </c>
      <c r="L45" s="353">
        <v>20</v>
      </c>
      <c r="M45" s="353">
        <v>20</v>
      </c>
      <c r="N45" s="353">
        <v>20</v>
      </c>
      <c r="O45" s="353">
        <v>15</v>
      </c>
      <c r="P45" s="354">
        <f t="shared" si="11"/>
        <v>225</v>
      </c>
    </row>
    <row r="46" spans="2:16" s="355" customFormat="1" x14ac:dyDescent="0.25">
      <c r="B46" s="351">
        <v>15314</v>
      </c>
      <c r="C46" s="352" t="s">
        <v>8</v>
      </c>
      <c r="D46" s="353">
        <v>134.29</v>
      </c>
      <c r="E46" s="353">
        <v>134.29</v>
      </c>
      <c r="F46" s="353">
        <v>134.29</v>
      </c>
      <c r="G46" s="353">
        <v>48.75</v>
      </c>
      <c r="H46" s="353">
        <v>134.29</v>
      </c>
      <c r="I46" s="353">
        <v>134.29</v>
      </c>
      <c r="J46" s="353">
        <v>134.29</v>
      </c>
      <c r="K46" s="353">
        <v>48.75</v>
      </c>
      <c r="L46" s="353">
        <v>134.29</v>
      </c>
      <c r="M46" s="353">
        <v>134.29</v>
      </c>
      <c r="N46" s="353">
        <v>134.29</v>
      </c>
      <c r="O46" s="353">
        <v>48.76</v>
      </c>
      <c r="P46" s="354">
        <f t="shared" si="11"/>
        <v>1354.87</v>
      </c>
    </row>
    <row r="47" spans="2:16" x14ac:dyDescent="0.25">
      <c r="B47" s="302">
        <v>154</v>
      </c>
      <c r="C47" s="303" t="s">
        <v>7</v>
      </c>
      <c r="D47" s="305">
        <f>SUM(D48:D48)</f>
        <v>3700</v>
      </c>
      <c r="E47" s="305">
        <f t="shared" ref="E47:O47" si="12">SUM(E48:E48)</f>
        <v>3700</v>
      </c>
      <c r="F47" s="305">
        <f t="shared" si="12"/>
        <v>3700</v>
      </c>
      <c r="G47" s="305">
        <f t="shared" si="12"/>
        <v>3600</v>
      </c>
      <c r="H47" s="305">
        <f t="shared" si="12"/>
        <v>3700</v>
      </c>
      <c r="I47" s="305">
        <f t="shared" si="12"/>
        <v>3700</v>
      </c>
      <c r="J47" s="305">
        <f t="shared" si="12"/>
        <v>3700</v>
      </c>
      <c r="K47" s="305">
        <f t="shared" si="12"/>
        <v>3600</v>
      </c>
      <c r="L47" s="305">
        <f t="shared" si="12"/>
        <v>3700</v>
      </c>
      <c r="M47" s="305">
        <f t="shared" si="12"/>
        <v>3700</v>
      </c>
      <c r="N47" s="305">
        <f t="shared" si="12"/>
        <v>3700</v>
      </c>
      <c r="O47" s="305">
        <f t="shared" si="12"/>
        <v>3600</v>
      </c>
      <c r="P47" s="305">
        <f>SUM(P48:P48)</f>
        <v>44100</v>
      </c>
    </row>
    <row r="48" spans="2:16" s="355" customFormat="1" ht="30" x14ac:dyDescent="0.25">
      <c r="B48" s="351">
        <v>15402</v>
      </c>
      <c r="C48" s="352" t="s">
        <v>6</v>
      </c>
      <c r="D48" s="353">
        <v>3700</v>
      </c>
      <c r="E48" s="353">
        <v>3700</v>
      </c>
      <c r="F48" s="353">
        <v>3700</v>
      </c>
      <c r="G48" s="353">
        <v>3600</v>
      </c>
      <c r="H48" s="353">
        <v>3700</v>
      </c>
      <c r="I48" s="353">
        <v>3700</v>
      </c>
      <c r="J48" s="353">
        <v>3700</v>
      </c>
      <c r="K48" s="353">
        <v>3600</v>
      </c>
      <c r="L48" s="353">
        <v>3700</v>
      </c>
      <c r="M48" s="353">
        <v>3700</v>
      </c>
      <c r="N48" s="353">
        <v>3700</v>
      </c>
      <c r="O48" s="353">
        <v>3600</v>
      </c>
      <c r="P48" s="354">
        <f>SUM(D48:O48)</f>
        <v>44100</v>
      </c>
    </row>
    <row r="49" spans="2:16" ht="31.5" x14ac:dyDescent="0.25">
      <c r="B49" s="302">
        <v>157</v>
      </c>
      <c r="C49" s="303" t="s">
        <v>5</v>
      </c>
      <c r="D49" s="305">
        <f>SUM(D50:D50)</f>
        <v>1975</v>
      </c>
      <c r="E49" s="305">
        <f t="shared" ref="E49:O49" si="13">SUM(E50:E50)</f>
        <v>1975</v>
      </c>
      <c r="F49" s="305">
        <f t="shared" si="13"/>
        <v>1975</v>
      </c>
      <c r="G49" s="305">
        <f t="shared" si="13"/>
        <v>1900</v>
      </c>
      <c r="H49" s="305">
        <f t="shared" si="13"/>
        <v>1975</v>
      </c>
      <c r="I49" s="305">
        <f t="shared" si="13"/>
        <v>1975</v>
      </c>
      <c r="J49" s="305">
        <f t="shared" si="13"/>
        <v>1975</v>
      </c>
      <c r="K49" s="305">
        <f>SUM(K50:K50)</f>
        <v>1900</v>
      </c>
      <c r="L49" s="305">
        <f t="shared" si="13"/>
        <v>1975</v>
      </c>
      <c r="M49" s="305">
        <f t="shared" si="13"/>
        <v>1975</v>
      </c>
      <c r="N49" s="305">
        <f t="shared" si="13"/>
        <v>1975</v>
      </c>
      <c r="O49" s="305">
        <f t="shared" si="13"/>
        <v>1900</v>
      </c>
      <c r="P49" s="305">
        <f>SUM(P50:P50)</f>
        <v>23475</v>
      </c>
    </row>
    <row r="50" spans="2:16" s="355" customFormat="1" x14ac:dyDescent="0.25">
      <c r="B50" s="351">
        <v>15799</v>
      </c>
      <c r="C50" s="352" t="s">
        <v>4</v>
      </c>
      <c r="D50" s="353">
        <v>1975</v>
      </c>
      <c r="E50" s="353">
        <v>1975</v>
      </c>
      <c r="F50" s="353">
        <v>1975</v>
      </c>
      <c r="G50" s="353">
        <v>1900</v>
      </c>
      <c r="H50" s="353">
        <v>1975</v>
      </c>
      <c r="I50" s="353">
        <v>1975</v>
      </c>
      <c r="J50" s="353">
        <v>1975</v>
      </c>
      <c r="K50" s="353">
        <v>1900</v>
      </c>
      <c r="L50" s="353">
        <v>1975</v>
      </c>
      <c r="M50" s="353">
        <v>1975</v>
      </c>
      <c r="N50" s="353">
        <v>1975</v>
      </c>
      <c r="O50" s="353">
        <v>1900</v>
      </c>
      <c r="P50" s="354">
        <f>SUM(D50:O50)</f>
        <v>23475</v>
      </c>
    </row>
    <row r="51" spans="2:16" x14ac:dyDescent="0.25">
      <c r="B51" s="306">
        <v>32</v>
      </c>
      <c r="C51" s="307" t="s">
        <v>3</v>
      </c>
      <c r="D51" s="305">
        <f>SUM(D52:D52)</f>
        <v>20000</v>
      </c>
      <c r="E51" s="305">
        <f t="shared" ref="E51:O51" si="14">SUM(E52:E52)</f>
        <v>20000</v>
      </c>
      <c r="F51" s="305">
        <f t="shared" si="14"/>
        <v>20000</v>
      </c>
      <c r="G51" s="305">
        <f t="shared" si="14"/>
        <v>15000</v>
      </c>
      <c r="H51" s="305">
        <f t="shared" si="14"/>
        <v>20000</v>
      </c>
      <c r="I51" s="305">
        <f t="shared" si="14"/>
        <v>20000</v>
      </c>
      <c r="J51" s="305">
        <f t="shared" si="14"/>
        <v>20000</v>
      </c>
      <c r="K51" s="305">
        <f t="shared" si="14"/>
        <v>15000</v>
      </c>
      <c r="L51" s="305">
        <f t="shared" si="14"/>
        <v>20000</v>
      </c>
      <c r="M51" s="305">
        <f t="shared" si="14"/>
        <v>20000</v>
      </c>
      <c r="N51" s="305">
        <f t="shared" si="14"/>
        <v>20000</v>
      </c>
      <c r="O51" s="305">
        <f t="shared" si="14"/>
        <v>15000</v>
      </c>
      <c r="P51" s="305">
        <f>+P52</f>
        <v>225000</v>
      </c>
    </row>
    <row r="52" spans="2:16" ht="31.5" x14ac:dyDescent="0.25">
      <c r="B52" s="306">
        <v>322</v>
      </c>
      <c r="C52" s="307" t="s">
        <v>2</v>
      </c>
      <c r="D52" s="305">
        <f>SUM(D53:D53)</f>
        <v>20000</v>
      </c>
      <c r="E52" s="305">
        <f t="shared" ref="E52:O52" si="15">SUM(E53:E53)</f>
        <v>20000</v>
      </c>
      <c r="F52" s="305">
        <f t="shared" si="15"/>
        <v>20000</v>
      </c>
      <c r="G52" s="305">
        <f t="shared" si="15"/>
        <v>15000</v>
      </c>
      <c r="H52" s="305">
        <f t="shared" si="15"/>
        <v>20000</v>
      </c>
      <c r="I52" s="305">
        <f t="shared" si="15"/>
        <v>20000</v>
      </c>
      <c r="J52" s="305">
        <f t="shared" si="15"/>
        <v>20000</v>
      </c>
      <c r="K52" s="305">
        <f t="shared" si="15"/>
        <v>15000</v>
      </c>
      <c r="L52" s="305">
        <f t="shared" si="15"/>
        <v>20000</v>
      </c>
      <c r="M52" s="305">
        <f t="shared" si="15"/>
        <v>20000</v>
      </c>
      <c r="N52" s="305">
        <f t="shared" si="15"/>
        <v>20000</v>
      </c>
      <c r="O52" s="305">
        <f t="shared" si="15"/>
        <v>15000</v>
      </c>
      <c r="P52" s="305">
        <f>+P53</f>
        <v>225000</v>
      </c>
    </row>
    <row r="53" spans="2:16" s="355" customFormat="1" ht="30" x14ac:dyDescent="0.25">
      <c r="B53" s="351">
        <v>32201</v>
      </c>
      <c r="C53" s="352" t="s">
        <v>1</v>
      </c>
      <c r="D53" s="353">
        <v>20000</v>
      </c>
      <c r="E53" s="353">
        <v>20000</v>
      </c>
      <c r="F53" s="353">
        <v>20000</v>
      </c>
      <c r="G53" s="353">
        <v>15000</v>
      </c>
      <c r="H53" s="353">
        <v>20000</v>
      </c>
      <c r="I53" s="353">
        <v>20000</v>
      </c>
      <c r="J53" s="353">
        <v>20000</v>
      </c>
      <c r="K53" s="353">
        <v>15000</v>
      </c>
      <c r="L53" s="353">
        <v>20000</v>
      </c>
      <c r="M53" s="353">
        <v>20000</v>
      </c>
      <c r="N53" s="353">
        <v>20000</v>
      </c>
      <c r="O53" s="353">
        <v>15000</v>
      </c>
      <c r="P53" s="354">
        <f>SUM(D53:O53)</f>
        <v>225000</v>
      </c>
    </row>
    <row r="54" spans="2:16" x14ac:dyDescent="0.25">
      <c r="B54" s="308"/>
      <c r="C54" s="309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1"/>
    </row>
    <row r="55" spans="2:16" x14ac:dyDescent="0.25">
      <c r="B55" s="364" t="s">
        <v>0</v>
      </c>
      <c r="C55" s="365"/>
      <c r="D55" s="312">
        <f t="shared" ref="D55:O55" si="16">SUM(D8+D17+D36+D39+D51)</f>
        <v>126166.83</v>
      </c>
      <c r="E55" s="312">
        <f t="shared" si="16"/>
        <v>125269.29</v>
      </c>
      <c r="F55" s="312">
        <f t="shared" si="16"/>
        <v>125335.29999999999</v>
      </c>
      <c r="G55" s="312">
        <f t="shared" si="16"/>
        <v>115516.34</v>
      </c>
      <c r="H55" s="312">
        <f t="shared" si="16"/>
        <v>125289.60000000001</v>
      </c>
      <c r="I55" s="312">
        <f t="shared" si="16"/>
        <v>125325.29999999999</v>
      </c>
      <c r="J55" s="312">
        <f t="shared" si="16"/>
        <v>125289.29</v>
      </c>
      <c r="K55" s="312">
        <f t="shared" si="16"/>
        <v>115511.34</v>
      </c>
      <c r="L55" s="312">
        <f t="shared" si="16"/>
        <v>125289.29</v>
      </c>
      <c r="M55" s="312">
        <f t="shared" si="16"/>
        <v>125289.29</v>
      </c>
      <c r="N55" s="312">
        <f t="shared" si="16"/>
        <v>126155.15</v>
      </c>
      <c r="O55" s="312">
        <f t="shared" si="16"/>
        <v>115001.20999999999</v>
      </c>
      <c r="P55" s="313">
        <f>SUM(P8+P17+P39+P36+P53)</f>
        <v>1475438.23</v>
      </c>
    </row>
    <row r="56" spans="2:16" x14ac:dyDescent="0.25">
      <c r="B56" s="314"/>
      <c r="C56" s="314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6"/>
    </row>
    <row r="57" spans="2:16" x14ac:dyDescent="0.25">
      <c r="B57" s="302"/>
      <c r="C57" s="317" t="s">
        <v>65</v>
      </c>
      <c r="D57" s="312">
        <f t="shared" ref="D57:O57" si="17">SUM(D8+D17+D36+D39+D51)</f>
        <v>126166.83</v>
      </c>
      <c r="E57" s="312">
        <f t="shared" si="17"/>
        <v>125269.29</v>
      </c>
      <c r="F57" s="312">
        <f t="shared" si="17"/>
        <v>125335.29999999999</v>
      </c>
      <c r="G57" s="312">
        <f t="shared" si="17"/>
        <v>115516.34</v>
      </c>
      <c r="H57" s="312">
        <f t="shared" si="17"/>
        <v>125289.60000000001</v>
      </c>
      <c r="I57" s="312">
        <f t="shared" si="17"/>
        <v>125325.29999999999</v>
      </c>
      <c r="J57" s="312">
        <f t="shared" si="17"/>
        <v>125289.29</v>
      </c>
      <c r="K57" s="312">
        <f t="shared" si="17"/>
        <v>115511.34</v>
      </c>
      <c r="L57" s="312">
        <f t="shared" si="17"/>
        <v>125289.29</v>
      </c>
      <c r="M57" s="312">
        <f t="shared" si="17"/>
        <v>125289.29</v>
      </c>
      <c r="N57" s="312">
        <f t="shared" si="17"/>
        <v>126155.15</v>
      </c>
      <c r="O57" s="312">
        <f t="shared" si="17"/>
        <v>115001.20999999999</v>
      </c>
      <c r="P57" s="313">
        <f>SUM(D57:O57)</f>
        <v>1475438.2299999997</v>
      </c>
    </row>
    <row r="58" spans="2:16" x14ac:dyDescent="0.25">
      <c r="B58" s="302"/>
      <c r="C58" s="317" t="s">
        <v>66</v>
      </c>
      <c r="D58" s="312">
        <f t="shared" ref="D58:O58" si="18">SUM(D9+D18+D34+D37+D40+D47+D49+D52)</f>
        <v>126166.83</v>
      </c>
      <c r="E58" s="312">
        <f t="shared" si="18"/>
        <v>125269.29</v>
      </c>
      <c r="F58" s="312">
        <f t="shared" si="18"/>
        <v>125335.29999999999</v>
      </c>
      <c r="G58" s="312">
        <f t="shared" si="18"/>
        <v>115516.34</v>
      </c>
      <c r="H58" s="312">
        <f t="shared" si="18"/>
        <v>125289.60000000001</v>
      </c>
      <c r="I58" s="312">
        <f t="shared" si="18"/>
        <v>125325.29999999999</v>
      </c>
      <c r="J58" s="312">
        <f t="shared" si="18"/>
        <v>125289.29</v>
      </c>
      <c r="K58" s="312">
        <f t="shared" si="18"/>
        <v>115511.34</v>
      </c>
      <c r="L58" s="312">
        <f t="shared" si="18"/>
        <v>125289.29</v>
      </c>
      <c r="M58" s="312">
        <f t="shared" si="18"/>
        <v>125289.29</v>
      </c>
      <c r="N58" s="312">
        <f t="shared" si="18"/>
        <v>126155.15</v>
      </c>
      <c r="O58" s="312">
        <f t="shared" si="18"/>
        <v>115001.20999999999</v>
      </c>
      <c r="P58" s="313">
        <f>SUM(D58:O58)</f>
        <v>1475438.2299999997</v>
      </c>
    </row>
    <row r="59" spans="2:16" ht="16.5" customHeight="1" x14ac:dyDescent="0.25">
      <c r="B59" s="302"/>
      <c r="C59" s="317" t="s">
        <v>67</v>
      </c>
      <c r="D59" s="312">
        <f t="shared" ref="D59:O59" si="19">SUM(D10+D11+D12+D13+D14+D15+D16+D19+D20+D21+D22+D23+D24+D25+D26+D27+D28+D29+D30+D31+D32+D33+D35+D38+D41+D42+D43+D44+D45+D46+D48+D50+D53)</f>
        <v>126166.83</v>
      </c>
      <c r="E59" s="312">
        <f t="shared" si="19"/>
        <v>125269.29</v>
      </c>
      <c r="F59" s="312">
        <f t="shared" si="19"/>
        <v>125335.3</v>
      </c>
      <c r="G59" s="312">
        <f t="shared" si="19"/>
        <v>115516.34</v>
      </c>
      <c r="H59" s="312">
        <f t="shared" si="19"/>
        <v>125289.59999999999</v>
      </c>
      <c r="I59" s="312">
        <f t="shared" si="19"/>
        <v>125325.3</v>
      </c>
      <c r="J59" s="312">
        <f t="shared" si="19"/>
        <v>125289.29</v>
      </c>
      <c r="K59" s="312">
        <f t="shared" si="19"/>
        <v>115511.34</v>
      </c>
      <c r="L59" s="312">
        <f t="shared" si="19"/>
        <v>125289.29</v>
      </c>
      <c r="M59" s="312">
        <f t="shared" si="19"/>
        <v>125289.29</v>
      </c>
      <c r="N59" s="312">
        <f t="shared" si="19"/>
        <v>126155.15</v>
      </c>
      <c r="O59" s="312">
        <f t="shared" si="19"/>
        <v>115001.21</v>
      </c>
      <c r="P59" s="313">
        <f>SUM(D59:O59)</f>
        <v>1475438.23</v>
      </c>
    </row>
  </sheetData>
  <mergeCells count="5">
    <mergeCell ref="B2:P2"/>
    <mergeCell ref="B3:P3"/>
    <mergeCell ref="B4:P4"/>
    <mergeCell ref="B5:P5"/>
    <mergeCell ref="B55:C55"/>
  </mergeCells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32"/>
  <sheetViews>
    <sheetView workbookViewId="0">
      <selection activeCell="E13" sqref="E13"/>
    </sheetView>
  </sheetViews>
  <sheetFormatPr baseColWidth="10" defaultRowHeight="15" x14ac:dyDescent="0.25"/>
  <cols>
    <col min="1" max="2" width="5" style="1" customWidth="1"/>
    <col min="3" max="3" width="74.5703125" style="1" customWidth="1"/>
    <col min="4" max="4" width="18.7109375" style="1" customWidth="1"/>
    <col min="5" max="16384" width="11.42578125" style="1"/>
  </cols>
  <sheetData>
    <row r="3" spans="2:4" ht="15.75" x14ac:dyDescent="0.25">
      <c r="B3" s="387" t="s">
        <v>236</v>
      </c>
      <c r="C3" s="388"/>
      <c r="D3" s="389"/>
    </row>
    <row r="4" spans="2:4" ht="15.75" x14ac:dyDescent="0.25">
      <c r="B4" s="10"/>
      <c r="C4" s="22" t="s">
        <v>229</v>
      </c>
      <c r="D4" s="12">
        <f>+'PRESU INGRESOS'!D55</f>
        <v>1999872.5999999999</v>
      </c>
    </row>
    <row r="5" spans="2:4" ht="15.75" x14ac:dyDescent="0.25">
      <c r="B5" s="10"/>
      <c r="C5" s="11" t="s">
        <v>230</v>
      </c>
      <c r="D5" s="206">
        <f>+'PRESU INGRESOS'!D63+'PRESU INGRESOS'!D65</f>
        <v>2318.17</v>
      </c>
    </row>
    <row r="6" spans="2:4" ht="15.75" x14ac:dyDescent="0.25">
      <c r="B6" s="10"/>
      <c r="C6" s="11" t="s">
        <v>237</v>
      </c>
      <c r="D6" s="12">
        <v>154578.37</v>
      </c>
    </row>
    <row r="7" spans="2:4" ht="15.75" x14ac:dyDescent="0.25">
      <c r="B7" s="10"/>
      <c r="C7" s="11" t="s">
        <v>213</v>
      </c>
      <c r="D7" s="12">
        <f>SUM(D4:D6)</f>
        <v>2156769.1399999997</v>
      </c>
    </row>
    <row r="8" spans="2:4" ht="15.75" x14ac:dyDescent="0.25">
      <c r="B8" s="13"/>
      <c r="C8" s="14"/>
      <c r="D8" s="13"/>
    </row>
    <row r="9" spans="2:4" ht="15.75" x14ac:dyDescent="0.25">
      <c r="B9" s="5" t="s">
        <v>214</v>
      </c>
      <c r="C9" s="5" t="s">
        <v>231</v>
      </c>
      <c r="D9" s="5" t="s">
        <v>232</v>
      </c>
    </row>
    <row r="10" spans="2:4" s="361" customFormat="1" ht="15.75" x14ac:dyDescent="0.25">
      <c r="B10" s="359">
        <v>2</v>
      </c>
      <c r="C10" s="360" t="s">
        <v>233</v>
      </c>
      <c r="D10" s="358">
        <f>'FODES 75% GASTO'!D45</f>
        <v>977695.12</v>
      </c>
    </row>
    <row r="11" spans="2:4" ht="63" x14ac:dyDescent="0.25">
      <c r="B11" s="181">
        <v>3</v>
      </c>
      <c r="C11" s="184" t="s">
        <v>412</v>
      </c>
      <c r="D11" s="182">
        <v>416388.65</v>
      </c>
    </row>
    <row r="12" spans="2:4" ht="15.75" x14ac:dyDescent="0.25">
      <c r="B12" s="181">
        <v>4</v>
      </c>
      <c r="C12" s="184" t="s">
        <v>413</v>
      </c>
      <c r="D12" s="358">
        <v>185000</v>
      </c>
    </row>
    <row r="13" spans="2:4" ht="31.5" x14ac:dyDescent="0.25">
      <c r="B13" s="185">
        <v>5</v>
      </c>
      <c r="C13" s="184" t="s">
        <v>414</v>
      </c>
      <c r="D13" s="358">
        <v>113025.51</v>
      </c>
    </row>
    <row r="14" spans="2:4" ht="31.5" x14ac:dyDescent="0.25">
      <c r="B14" s="181">
        <v>6</v>
      </c>
      <c r="C14" s="184" t="s">
        <v>450</v>
      </c>
      <c r="D14" s="358">
        <v>67201.5</v>
      </c>
    </row>
    <row r="15" spans="2:4" ht="47.25" x14ac:dyDescent="0.25">
      <c r="B15" s="181">
        <v>8</v>
      </c>
      <c r="C15" s="184" t="s">
        <v>415</v>
      </c>
      <c r="D15" s="358">
        <v>56200</v>
      </c>
    </row>
    <row r="16" spans="2:4" ht="31.5" x14ac:dyDescent="0.25">
      <c r="B16" s="185">
        <v>9</v>
      </c>
      <c r="C16" s="184" t="s">
        <v>416</v>
      </c>
      <c r="D16" s="358">
        <v>31890</v>
      </c>
    </row>
    <row r="17" spans="2:4" ht="31.5" x14ac:dyDescent="0.25">
      <c r="B17" s="181">
        <v>10</v>
      </c>
      <c r="C17" s="184" t="s">
        <v>451</v>
      </c>
      <c r="D17" s="358">
        <v>30057.51</v>
      </c>
    </row>
    <row r="18" spans="2:4" ht="31.5" x14ac:dyDescent="0.25">
      <c r="B18" s="181">
        <v>11</v>
      </c>
      <c r="C18" s="184" t="s">
        <v>417</v>
      </c>
      <c r="D18" s="358">
        <v>34999.99</v>
      </c>
    </row>
    <row r="19" spans="2:4" ht="15.75" x14ac:dyDescent="0.25">
      <c r="B19" s="181">
        <v>12</v>
      </c>
      <c r="C19" s="184" t="s">
        <v>454</v>
      </c>
      <c r="D19" s="358">
        <v>22648.5</v>
      </c>
    </row>
    <row r="20" spans="2:4" ht="47.25" x14ac:dyDescent="0.25">
      <c r="B20" s="185">
        <v>13</v>
      </c>
      <c r="C20" s="184" t="s">
        <v>449</v>
      </c>
      <c r="D20" s="358">
        <v>56000</v>
      </c>
    </row>
    <row r="21" spans="2:4" ht="31.5" x14ac:dyDescent="0.25">
      <c r="B21" s="181">
        <v>14</v>
      </c>
      <c r="C21" s="184" t="s">
        <v>418</v>
      </c>
      <c r="D21" s="183">
        <v>34555.4</v>
      </c>
    </row>
    <row r="22" spans="2:4" ht="31.5" x14ac:dyDescent="0.25">
      <c r="B22" s="181">
        <v>15</v>
      </c>
      <c r="C22" s="184" t="s">
        <v>419</v>
      </c>
      <c r="D22" s="183">
        <v>72000</v>
      </c>
    </row>
    <row r="23" spans="2:4" ht="31.5" x14ac:dyDescent="0.25">
      <c r="B23" s="181">
        <v>16</v>
      </c>
      <c r="C23" s="184" t="s">
        <v>420</v>
      </c>
      <c r="D23" s="183"/>
    </row>
    <row r="24" spans="2:4" ht="31.5" x14ac:dyDescent="0.25">
      <c r="B24" s="185">
        <v>17</v>
      </c>
      <c r="C24" s="184" t="s">
        <v>421</v>
      </c>
      <c r="D24" s="183"/>
    </row>
    <row r="25" spans="2:4" ht="31.5" x14ac:dyDescent="0.25">
      <c r="B25" s="181">
        <v>18</v>
      </c>
      <c r="C25" s="184" t="s">
        <v>422</v>
      </c>
      <c r="D25" s="183"/>
    </row>
    <row r="26" spans="2:4" ht="47.25" x14ac:dyDescent="0.25">
      <c r="B26" s="181"/>
      <c r="C26" s="184" t="s">
        <v>452</v>
      </c>
      <c r="D26" s="183">
        <v>39112.199999999997</v>
      </c>
    </row>
    <row r="27" spans="2:4" ht="31.5" x14ac:dyDescent="0.25">
      <c r="B27" s="181"/>
      <c r="C27" s="184" t="s">
        <v>453</v>
      </c>
      <c r="D27" s="183">
        <v>19994.759999999998</v>
      </c>
    </row>
    <row r="28" spans="2:4" ht="15.75" x14ac:dyDescent="0.25">
      <c r="B28" s="181">
        <v>20</v>
      </c>
      <c r="C28" s="184" t="s">
        <v>445</v>
      </c>
      <c r="D28" s="183"/>
    </row>
    <row r="29" spans="2:4" ht="47.25" x14ac:dyDescent="0.25">
      <c r="B29" s="185">
        <v>21</v>
      </c>
      <c r="C29" s="184" t="s">
        <v>446</v>
      </c>
      <c r="D29" s="183"/>
    </row>
    <row r="30" spans="2:4" ht="31.5" x14ac:dyDescent="0.25">
      <c r="B30" s="181">
        <v>22</v>
      </c>
      <c r="C30" s="184" t="s">
        <v>234</v>
      </c>
      <c r="D30" s="183"/>
    </row>
    <row r="31" spans="2:4" ht="31.5" x14ac:dyDescent="0.25">
      <c r="B31" s="181">
        <v>24</v>
      </c>
      <c r="C31" s="184" t="s">
        <v>235</v>
      </c>
      <c r="D31" s="183"/>
    </row>
    <row r="32" spans="2:4" ht="18.75" x14ac:dyDescent="0.3">
      <c r="B32" s="186"/>
      <c r="C32" s="187"/>
      <c r="D32" s="188">
        <f>SUM(D10:D31)</f>
        <v>2156769.1399999997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8"/>
  <sheetViews>
    <sheetView workbookViewId="0">
      <selection activeCell="C19" sqref="C19"/>
    </sheetView>
  </sheetViews>
  <sheetFormatPr baseColWidth="10" defaultRowHeight="15" x14ac:dyDescent="0.25"/>
  <cols>
    <col min="1" max="2" width="11.42578125" style="20"/>
    <col min="3" max="3" width="46" style="20" customWidth="1"/>
    <col min="4" max="4" width="16.140625" style="20" customWidth="1"/>
    <col min="5" max="16384" width="11.42578125" style="20"/>
  </cols>
  <sheetData>
    <row r="2" spans="2:4" ht="15.75" x14ac:dyDescent="0.25">
      <c r="B2" s="387" t="s">
        <v>423</v>
      </c>
      <c r="C2" s="388"/>
      <c r="D2" s="389"/>
    </row>
    <row r="3" spans="2:4" ht="15.75" x14ac:dyDescent="0.25">
      <c r="B3" s="10"/>
      <c r="C3" s="22" t="s">
        <v>425</v>
      </c>
      <c r="D3" s="12"/>
    </row>
    <row r="4" spans="2:4" ht="15.75" x14ac:dyDescent="0.25">
      <c r="B4" s="10"/>
      <c r="C4" s="11" t="s">
        <v>426</v>
      </c>
      <c r="D4" s="206">
        <f>+'PRESU INGRESOS'!D66</f>
        <v>2230.5700000000002</v>
      </c>
    </row>
    <row r="5" spans="2:4" ht="15.75" x14ac:dyDescent="0.25">
      <c r="B5" s="10"/>
      <c r="C5" s="11" t="s">
        <v>213</v>
      </c>
      <c r="D5" s="12">
        <f>SUM(D3:D4)</f>
        <v>2230.5700000000002</v>
      </c>
    </row>
    <row r="6" spans="2:4" ht="15.75" x14ac:dyDescent="0.25">
      <c r="B6" s="13"/>
      <c r="C6" s="14"/>
      <c r="D6" s="13"/>
    </row>
    <row r="7" spans="2:4" ht="15.75" x14ac:dyDescent="0.25">
      <c r="B7" s="5" t="s">
        <v>214</v>
      </c>
      <c r="C7" s="5" t="s">
        <v>435</v>
      </c>
      <c r="D7" s="5" t="s">
        <v>232</v>
      </c>
    </row>
    <row r="8" spans="2:4" ht="15.75" x14ac:dyDescent="0.25">
      <c r="B8" s="30">
        <v>2</v>
      </c>
      <c r="C8" s="29" t="s">
        <v>424</v>
      </c>
      <c r="D8" s="12">
        <f>+'GASTO FISDL'!D31</f>
        <v>2230.5699999999997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D9"/>
  <sheetViews>
    <sheetView workbookViewId="0">
      <selection activeCell="C19" sqref="C19"/>
    </sheetView>
  </sheetViews>
  <sheetFormatPr baseColWidth="10" defaultRowHeight="15.75" x14ac:dyDescent="0.25"/>
  <cols>
    <col min="1" max="2" width="11.42578125" style="57"/>
    <col min="3" max="3" width="36.5703125" style="57" customWidth="1"/>
    <col min="4" max="4" width="18.85546875" style="57" customWidth="1"/>
    <col min="5" max="16384" width="11.42578125" style="57"/>
  </cols>
  <sheetData>
    <row r="3" spans="2:4" x14ac:dyDescent="0.25">
      <c r="B3" s="393" t="s">
        <v>429</v>
      </c>
      <c r="C3" s="394"/>
      <c r="D3" s="395"/>
    </row>
    <row r="4" spans="2:4" ht="31.5" x14ac:dyDescent="0.25">
      <c r="B4" s="49"/>
      <c r="C4" s="56" t="s">
        <v>428</v>
      </c>
      <c r="D4" s="51"/>
    </row>
    <row r="5" spans="2:4" ht="31.5" x14ac:dyDescent="0.25">
      <c r="B5" s="49"/>
      <c r="C5" s="50" t="s">
        <v>430</v>
      </c>
      <c r="D5" s="347">
        <f>+'PRESU INGRESOS'!E62</f>
        <v>3741.9</v>
      </c>
    </row>
    <row r="6" spans="2:4" x14ac:dyDescent="0.25">
      <c r="B6" s="49"/>
      <c r="C6" s="50" t="s">
        <v>213</v>
      </c>
      <c r="D6" s="51">
        <f>SUM(D4:D5)</f>
        <v>3741.9</v>
      </c>
    </row>
    <row r="7" spans="2:4" x14ac:dyDescent="0.25">
      <c r="B7" s="52"/>
      <c r="C7" s="53"/>
      <c r="D7" s="52"/>
    </row>
    <row r="8" spans="2:4" x14ac:dyDescent="0.25">
      <c r="B8" s="54" t="s">
        <v>214</v>
      </c>
      <c r="C8" s="54" t="s">
        <v>434</v>
      </c>
      <c r="D8" s="54" t="s">
        <v>232</v>
      </c>
    </row>
    <row r="9" spans="2:4" x14ac:dyDescent="0.25">
      <c r="B9" s="58">
        <v>1</v>
      </c>
      <c r="C9" s="59" t="s">
        <v>433</v>
      </c>
      <c r="D9" s="60">
        <f>+'GASTO DONACION'!D27</f>
        <v>3741.9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68"/>
  <sheetViews>
    <sheetView workbookViewId="0">
      <pane ySplit="10" topLeftCell="A11" activePane="bottomLeft" state="frozen"/>
      <selection pane="bottomLeft" activeCell="L57" sqref="L57"/>
    </sheetView>
  </sheetViews>
  <sheetFormatPr baseColWidth="10" defaultRowHeight="15" x14ac:dyDescent="0.25"/>
  <cols>
    <col min="1" max="1" width="3.5703125" style="75" customWidth="1"/>
    <col min="2" max="2" width="9.7109375" style="75" customWidth="1"/>
    <col min="3" max="3" width="50.140625" style="75" customWidth="1"/>
    <col min="4" max="4" width="14.85546875" style="75" customWidth="1"/>
    <col min="5" max="5" width="15.85546875" style="75" customWidth="1"/>
    <col min="6" max="6" width="15.140625" style="75" customWidth="1"/>
    <col min="7" max="16384" width="11.42578125" style="75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240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3" t="s">
        <v>242</v>
      </c>
      <c r="C7" s="403"/>
      <c r="D7" s="403"/>
      <c r="E7" s="403"/>
      <c r="F7" s="403"/>
    </row>
    <row r="8" spans="2:6" ht="15.75" thickBot="1" x14ac:dyDescent="0.3">
      <c r="B8" s="34"/>
      <c r="C8" s="34"/>
      <c r="D8" s="34"/>
      <c r="E8" s="35"/>
      <c r="F8" s="34"/>
    </row>
    <row r="9" spans="2:6" x14ac:dyDescent="0.25">
      <c r="B9" s="396" t="s">
        <v>243</v>
      </c>
      <c r="C9" s="398" t="s">
        <v>244</v>
      </c>
      <c r="D9" s="76" t="s">
        <v>245</v>
      </c>
      <c r="E9" s="77" t="s">
        <v>246</v>
      </c>
      <c r="F9" s="400" t="s">
        <v>0</v>
      </c>
    </row>
    <row r="10" spans="2:6" ht="15.75" thickBot="1" x14ac:dyDescent="0.3">
      <c r="B10" s="397"/>
      <c r="C10" s="399"/>
      <c r="D10" s="78" t="s">
        <v>247</v>
      </c>
      <c r="E10" s="79" t="s">
        <v>248</v>
      </c>
      <c r="F10" s="400"/>
    </row>
    <row r="11" spans="2:6" x14ac:dyDescent="0.25">
      <c r="B11" s="80">
        <v>51</v>
      </c>
      <c r="C11" s="81" t="s">
        <v>140</v>
      </c>
      <c r="D11" s="82">
        <f>SUM(D12+D16+D18+D20)</f>
        <v>109151.25</v>
      </c>
      <c r="E11" s="83">
        <f>+E12+E16+E18</f>
        <v>66960</v>
      </c>
      <c r="F11" s="84">
        <f>SUM(F12+F16+F18+F20)</f>
        <v>176111.25</v>
      </c>
    </row>
    <row r="12" spans="2:6" x14ac:dyDescent="0.25">
      <c r="B12" s="85">
        <v>511</v>
      </c>
      <c r="C12" s="86" t="s">
        <v>249</v>
      </c>
      <c r="D12" s="84">
        <f>SUM(D13:D15)</f>
        <v>72500</v>
      </c>
      <c r="E12" s="87">
        <f>SUM(E13:E15)</f>
        <v>57600</v>
      </c>
      <c r="F12" s="84">
        <f>D12+E12</f>
        <v>130100</v>
      </c>
    </row>
    <row r="13" spans="2:6" x14ac:dyDescent="0.25">
      <c r="B13" s="88">
        <v>51101</v>
      </c>
      <c r="C13" s="89" t="s">
        <v>250</v>
      </c>
      <c r="D13" s="90">
        <f>+'GESTION Y COOPERACION'!D15</f>
        <v>14100</v>
      </c>
      <c r="E13" s="90">
        <f>+'GESTION Y COOPERACION'!E15</f>
        <v>0</v>
      </c>
      <c r="F13" s="90">
        <f>SUM(D13:E13)</f>
        <v>14100</v>
      </c>
    </row>
    <row r="14" spans="2:6" x14ac:dyDescent="0.25">
      <c r="B14" s="88">
        <v>51103</v>
      </c>
      <c r="C14" s="91" t="s">
        <v>251</v>
      </c>
      <c r="D14" s="90">
        <f>+'GESTION Y COOPERACION'!D16</f>
        <v>800</v>
      </c>
      <c r="E14" s="90">
        <f>+'GESTION Y COOPERACION'!E16</f>
        <v>0</v>
      </c>
      <c r="F14" s="90">
        <f>SUM(D14:E14)</f>
        <v>800</v>
      </c>
    </row>
    <row r="15" spans="2:6" x14ac:dyDescent="0.25">
      <c r="B15" s="88">
        <v>51105</v>
      </c>
      <c r="C15" s="92" t="s">
        <v>252</v>
      </c>
      <c r="D15" s="90">
        <f>+'CONCEJO MPAL'!D13</f>
        <v>57600</v>
      </c>
      <c r="E15" s="93">
        <f>+'CONCEJO MPAL'!E13</f>
        <v>57600</v>
      </c>
      <c r="F15" s="90">
        <f>SUM(D15:E15)</f>
        <v>115200</v>
      </c>
    </row>
    <row r="16" spans="2:6" x14ac:dyDescent="0.25">
      <c r="B16" s="85">
        <v>514</v>
      </c>
      <c r="C16" s="81" t="s">
        <v>254</v>
      </c>
      <c r="D16" s="84">
        <f>SUM(D17:D17)</f>
        <v>6094.5</v>
      </c>
      <c r="E16" s="87">
        <f>SUM(E17:E17)</f>
        <v>4896</v>
      </c>
      <c r="F16" s="84">
        <f>SUM(F17:F17)</f>
        <v>10990.5</v>
      </c>
    </row>
    <row r="17" spans="2:6" x14ac:dyDescent="0.25">
      <c r="B17" s="94">
        <v>51401</v>
      </c>
      <c r="C17" s="91" t="s">
        <v>255</v>
      </c>
      <c r="D17" s="90">
        <f>+'CONCEJO MPAL'!D15+'GESTION Y COOPERACION'!D18</f>
        <v>6094.5</v>
      </c>
      <c r="E17" s="93">
        <f>+'CONCEJO MPAL'!E15+'GESTION Y COOPERACION'!E18</f>
        <v>4896</v>
      </c>
      <c r="F17" s="90">
        <f>SUM(D17:E17)</f>
        <v>10990.5</v>
      </c>
    </row>
    <row r="18" spans="2:6" x14ac:dyDescent="0.25">
      <c r="B18" s="85">
        <v>515</v>
      </c>
      <c r="C18" s="95" t="s">
        <v>256</v>
      </c>
      <c r="D18" s="84">
        <f>SUM(D19:D19)</f>
        <v>5556.75</v>
      </c>
      <c r="E18" s="87">
        <f>SUM(E19:E19)</f>
        <v>4464</v>
      </c>
      <c r="F18" s="84">
        <f>SUM(F19:F19)</f>
        <v>10020.75</v>
      </c>
    </row>
    <row r="19" spans="2:6" x14ac:dyDescent="0.25">
      <c r="B19" s="94">
        <v>51501</v>
      </c>
      <c r="C19" s="91" t="s">
        <v>255</v>
      </c>
      <c r="D19" s="90">
        <f>+'CONCEJO MPAL'!D17+'GESTION Y COOPERACION'!D20</f>
        <v>5556.75</v>
      </c>
      <c r="E19" s="93">
        <f>+'CONCEJO MPAL'!E17+'GESTION Y COOPERACION'!E20</f>
        <v>4464</v>
      </c>
      <c r="F19" s="90">
        <f>SUM(D19:E19)</f>
        <v>10020.75</v>
      </c>
    </row>
    <row r="20" spans="2:6" x14ac:dyDescent="0.25">
      <c r="B20" s="85">
        <v>517</v>
      </c>
      <c r="C20" s="95" t="s">
        <v>257</v>
      </c>
      <c r="D20" s="84">
        <f>SUM(D21:D21)</f>
        <v>25000</v>
      </c>
      <c r="E20" s="87">
        <f>SUM(E21:E21)</f>
        <v>0</v>
      </c>
      <c r="F20" s="84">
        <f>SUM(F21:F21)</f>
        <v>25000</v>
      </c>
    </row>
    <row r="21" spans="2:6" x14ac:dyDescent="0.25">
      <c r="B21" s="94">
        <v>51701</v>
      </c>
      <c r="C21" s="91" t="s">
        <v>258</v>
      </c>
      <c r="D21" s="90">
        <f>+'CONCEJO MPAL'!D19</f>
        <v>25000</v>
      </c>
      <c r="E21" s="93">
        <f>+'CONCEJO MPAL'!E19</f>
        <v>0</v>
      </c>
      <c r="F21" s="90">
        <f>SUM(D21:E21)</f>
        <v>25000</v>
      </c>
    </row>
    <row r="22" spans="2:6" x14ac:dyDescent="0.25">
      <c r="B22" s="85">
        <v>54</v>
      </c>
      <c r="C22" s="95" t="s">
        <v>259</v>
      </c>
      <c r="D22" s="84">
        <f>+D23+D35+D42+D46</f>
        <v>51621.4</v>
      </c>
      <c r="E22" s="87">
        <f>+E23+E35+E42+E46</f>
        <v>32619.95</v>
      </c>
      <c r="F22" s="84">
        <f>SUM(F23+F35+F42+F46)</f>
        <v>84241.35</v>
      </c>
    </row>
    <row r="23" spans="2:6" x14ac:dyDescent="0.25">
      <c r="B23" s="85">
        <v>541</v>
      </c>
      <c r="C23" s="95" t="s">
        <v>260</v>
      </c>
      <c r="D23" s="84">
        <f>SUM(D24:D34)</f>
        <v>16321.4</v>
      </c>
      <c r="E23" s="87">
        <f>SUM(E24:E34)</f>
        <v>1600</v>
      </c>
      <c r="F23" s="84">
        <f>SUM(F24:F34)</f>
        <v>17921.400000000001</v>
      </c>
    </row>
    <row r="24" spans="2:6" x14ac:dyDescent="0.25">
      <c r="B24" s="94">
        <v>54101</v>
      </c>
      <c r="C24" s="91" t="s">
        <v>261</v>
      </c>
      <c r="D24" s="90">
        <f>+'CONCEJO MPAL'!D22+'GESTION Y COOPERACION'!D23</f>
        <v>2000</v>
      </c>
      <c r="E24" s="93">
        <f>+'CONCEJO MPAL'!E22+'GESTION Y COOPERACION'!E23</f>
        <v>1500</v>
      </c>
      <c r="F24" s="90">
        <f t="shared" ref="F24:F34" si="0">SUM(D24:E24)</f>
        <v>3500</v>
      </c>
    </row>
    <row r="25" spans="2:6" x14ac:dyDescent="0.25">
      <c r="B25" s="94">
        <v>54103</v>
      </c>
      <c r="C25" s="91" t="s">
        <v>262</v>
      </c>
      <c r="D25" s="90">
        <f>+'CONCEJO MPAL'!D23</f>
        <v>500</v>
      </c>
      <c r="E25" s="93">
        <f>+'CONCEJO MPAL'!E23</f>
        <v>0</v>
      </c>
      <c r="F25" s="90">
        <f t="shared" si="0"/>
        <v>500</v>
      </c>
    </row>
    <row r="26" spans="2:6" x14ac:dyDescent="0.25">
      <c r="B26" s="94">
        <v>54104</v>
      </c>
      <c r="C26" s="91" t="s">
        <v>263</v>
      </c>
      <c r="D26" s="90">
        <f>+'CONCEJO MPAL'!D24</f>
        <v>100</v>
      </c>
      <c r="E26" s="93">
        <f>+'CONCEJO MPAL'!E24</f>
        <v>0</v>
      </c>
      <c r="F26" s="90">
        <f t="shared" si="0"/>
        <v>100</v>
      </c>
    </row>
    <row r="27" spans="2:6" x14ac:dyDescent="0.25">
      <c r="B27" s="94">
        <v>54105</v>
      </c>
      <c r="C27" s="91" t="s">
        <v>264</v>
      </c>
      <c r="D27" s="90">
        <f>+'CONCEJO MPAL'!D25+'GESTION Y COOPERACION'!D24</f>
        <v>155</v>
      </c>
      <c r="E27" s="93">
        <f>+'CONCEJO MPAL'!E25+'GESTION Y COOPERACION'!E24</f>
        <v>0</v>
      </c>
      <c r="F27" s="90">
        <f t="shared" si="0"/>
        <v>155</v>
      </c>
    </row>
    <row r="28" spans="2:6" x14ac:dyDescent="0.25">
      <c r="B28" s="94">
        <v>54106</v>
      </c>
      <c r="C28" s="91" t="s">
        <v>265</v>
      </c>
      <c r="D28" s="90">
        <f>+'CONCEJO MPAL'!D26</f>
        <v>300</v>
      </c>
      <c r="E28" s="93">
        <f>+'CONCEJO MPAL'!E26</f>
        <v>0</v>
      </c>
      <c r="F28" s="90">
        <f t="shared" si="0"/>
        <v>300</v>
      </c>
    </row>
    <row r="29" spans="2:6" x14ac:dyDescent="0.25">
      <c r="B29" s="94">
        <v>54111</v>
      </c>
      <c r="C29" s="91" t="s">
        <v>266</v>
      </c>
      <c r="D29" s="90">
        <f>+'CONCEJO MPAL'!D27</f>
        <v>5000</v>
      </c>
      <c r="E29" s="93">
        <f>+'CONCEJO MPAL'!E27</f>
        <v>0</v>
      </c>
      <c r="F29" s="90">
        <f t="shared" si="0"/>
        <v>5000</v>
      </c>
    </row>
    <row r="30" spans="2:6" x14ac:dyDescent="0.25">
      <c r="B30" s="94">
        <v>54112</v>
      </c>
      <c r="C30" s="91" t="s">
        <v>267</v>
      </c>
      <c r="D30" s="90">
        <f>+'CONCEJO MPAL'!D28</f>
        <v>5346.4</v>
      </c>
      <c r="E30" s="93">
        <f>+'CONCEJO MPAL'!E28</f>
        <v>0</v>
      </c>
      <c r="F30" s="90">
        <f t="shared" si="0"/>
        <v>5346.4</v>
      </c>
    </row>
    <row r="31" spans="2:6" x14ac:dyDescent="0.25">
      <c r="B31" s="94">
        <v>54114</v>
      </c>
      <c r="C31" s="91" t="s">
        <v>268</v>
      </c>
      <c r="D31" s="90">
        <f>+'CONCEJO MPAL'!D29+'GESTION Y COOPERACION'!D25</f>
        <v>500</v>
      </c>
      <c r="E31" s="93">
        <f>+'CONCEJO MPAL'!E29+'GESTION Y COOPERACION'!E25</f>
        <v>0</v>
      </c>
      <c r="F31" s="90">
        <f t="shared" si="0"/>
        <v>500</v>
      </c>
    </row>
    <row r="32" spans="2:6" x14ac:dyDescent="0.25">
      <c r="B32" s="94">
        <v>54115</v>
      </c>
      <c r="C32" s="91" t="s">
        <v>269</v>
      </c>
      <c r="D32" s="90">
        <f>+'CONCEJO MPAL'!D30+'GESTION Y COOPERACION'!D26</f>
        <v>120</v>
      </c>
      <c r="E32" s="93">
        <f>+'CONCEJO MPAL'!E30+'GESTION Y COOPERACION'!E26</f>
        <v>0</v>
      </c>
      <c r="F32" s="90">
        <f t="shared" si="0"/>
        <v>120</v>
      </c>
    </row>
    <row r="33" spans="2:6" x14ac:dyDescent="0.25">
      <c r="B33" s="94">
        <v>54119</v>
      </c>
      <c r="C33" s="91" t="s">
        <v>270</v>
      </c>
      <c r="D33" s="90">
        <f>+'CONCEJO MPAL'!D31</f>
        <v>300</v>
      </c>
      <c r="E33" s="93">
        <f>+'CONCEJO MPAL'!E31</f>
        <v>0</v>
      </c>
      <c r="F33" s="90">
        <f t="shared" si="0"/>
        <v>300</v>
      </c>
    </row>
    <row r="34" spans="2:6" x14ac:dyDescent="0.25">
      <c r="B34" s="94">
        <v>54199</v>
      </c>
      <c r="C34" s="91" t="s">
        <v>271</v>
      </c>
      <c r="D34" s="90">
        <f>+'CONCEJO MPAL'!D32</f>
        <v>2000</v>
      </c>
      <c r="E34" s="93">
        <f>+'CONCEJO MPAL'!E32</f>
        <v>100</v>
      </c>
      <c r="F34" s="90">
        <f t="shared" si="0"/>
        <v>2100</v>
      </c>
    </row>
    <row r="35" spans="2:6" x14ac:dyDescent="0.25">
      <c r="B35" s="85">
        <v>543</v>
      </c>
      <c r="C35" s="95" t="s">
        <v>272</v>
      </c>
      <c r="D35" s="84">
        <f>SUM(D36:D41)</f>
        <v>15500</v>
      </c>
      <c r="E35" s="87">
        <f>SUM(E36:E41)</f>
        <v>18000</v>
      </c>
      <c r="F35" s="84">
        <f>SUM(F36:F41)</f>
        <v>33500</v>
      </c>
    </row>
    <row r="36" spans="2:6" x14ac:dyDescent="0.25">
      <c r="B36" s="94">
        <v>54301</v>
      </c>
      <c r="C36" s="91" t="s">
        <v>273</v>
      </c>
      <c r="D36" s="90">
        <f>+'CONCEJO MPAL'!D34</f>
        <v>1500</v>
      </c>
      <c r="E36" s="93">
        <f>+'CONCEJO MPAL'!E34</f>
        <v>7000</v>
      </c>
      <c r="F36" s="90">
        <f t="shared" ref="F36:F41" si="1">SUM(D36:E36)</f>
        <v>8500</v>
      </c>
    </row>
    <row r="37" spans="2:6" x14ac:dyDescent="0.25">
      <c r="B37" s="94">
        <v>54303</v>
      </c>
      <c r="C37" s="91" t="s">
        <v>274</v>
      </c>
      <c r="D37" s="90">
        <f>+'CONCEJO MPAL'!D35</f>
        <v>0</v>
      </c>
      <c r="E37" s="93">
        <f>+'CONCEJO MPAL'!E35</f>
        <v>5000</v>
      </c>
      <c r="F37" s="90">
        <f t="shared" si="1"/>
        <v>5000</v>
      </c>
    </row>
    <row r="38" spans="2:6" x14ac:dyDescent="0.25">
      <c r="B38" s="94">
        <v>54304</v>
      </c>
      <c r="C38" s="91" t="s">
        <v>275</v>
      </c>
      <c r="D38" s="90">
        <f>+'CONCEJO MPAL'!D36</f>
        <v>3000</v>
      </c>
      <c r="E38" s="93">
        <f>+'CONCEJO MPAL'!E36</f>
        <v>6000</v>
      </c>
      <c r="F38" s="90">
        <f t="shared" si="1"/>
        <v>9000</v>
      </c>
    </row>
    <row r="39" spans="2:6" x14ac:dyDescent="0.25">
      <c r="B39" s="96">
        <v>54313</v>
      </c>
      <c r="C39" s="97" t="s">
        <v>276</v>
      </c>
      <c r="D39" s="98">
        <f>+'CONCEJO MPAL'!D37</f>
        <v>500</v>
      </c>
      <c r="E39" s="99">
        <f>+'CONCEJO MPAL'!E37</f>
        <v>0</v>
      </c>
      <c r="F39" s="90">
        <f t="shared" si="1"/>
        <v>500</v>
      </c>
    </row>
    <row r="40" spans="2:6" x14ac:dyDescent="0.25">
      <c r="B40" s="96">
        <v>54314</v>
      </c>
      <c r="C40" s="97" t="s">
        <v>277</v>
      </c>
      <c r="D40" s="98">
        <f>+'CONCEJO MPAL'!D38</f>
        <v>10000</v>
      </c>
      <c r="E40" s="99">
        <f>+'CONCEJO MPAL'!E38</f>
        <v>0</v>
      </c>
      <c r="F40" s="90">
        <f>SUM(D40:E40)</f>
        <v>10000</v>
      </c>
    </row>
    <row r="41" spans="2:6" x14ac:dyDescent="0.25">
      <c r="B41" s="96">
        <v>54399</v>
      </c>
      <c r="C41" s="97" t="s">
        <v>278</v>
      </c>
      <c r="D41" s="98">
        <f>+'CONCEJO MPAL'!D39</f>
        <v>500</v>
      </c>
      <c r="E41" s="99">
        <f>+'CONCEJO MPAL'!E39</f>
        <v>0</v>
      </c>
      <c r="F41" s="90">
        <f t="shared" si="1"/>
        <v>500</v>
      </c>
    </row>
    <row r="42" spans="2:6" x14ac:dyDescent="0.25">
      <c r="B42" s="80">
        <v>544</v>
      </c>
      <c r="C42" s="81" t="s">
        <v>279</v>
      </c>
      <c r="D42" s="82">
        <f>SUM(D43:D45)</f>
        <v>8600</v>
      </c>
      <c r="E42" s="83">
        <f>SUM(E43:E45)</f>
        <v>13019.95</v>
      </c>
      <c r="F42" s="84">
        <f>SUM(F43:F45)</f>
        <v>21619.95</v>
      </c>
    </row>
    <row r="43" spans="2:6" x14ac:dyDescent="0.25">
      <c r="B43" s="94">
        <v>54401</v>
      </c>
      <c r="C43" s="91" t="s">
        <v>280</v>
      </c>
      <c r="D43" s="90">
        <f>+'CONCEJO MPAL'!D41+'GESTION Y COOPERACION'!D28</f>
        <v>600</v>
      </c>
      <c r="E43" s="93">
        <f>+'CONCEJO MPAL'!E41+'GESTION Y COOPERACION'!E28</f>
        <v>0</v>
      </c>
      <c r="F43" s="90">
        <f>SUM(D43:E43)</f>
        <v>600</v>
      </c>
    </row>
    <row r="44" spans="2:6" x14ac:dyDescent="0.25">
      <c r="B44" s="94">
        <v>54402</v>
      </c>
      <c r="C44" s="91" t="s">
        <v>281</v>
      </c>
      <c r="D44" s="90">
        <f>+'CONCEJO MPAL'!D42</f>
        <v>5000</v>
      </c>
      <c r="E44" s="93">
        <f>+'CONCEJO MPAL'!E42</f>
        <v>6819.95</v>
      </c>
      <c r="F44" s="90">
        <f>SUM(D44:E44)</f>
        <v>11819.95</v>
      </c>
    </row>
    <row r="45" spans="2:6" x14ac:dyDescent="0.25">
      <c r="B45" s="94">
        <v>54404</v>
      </c>
      <c r="C45" s="91" t="s">
        <v>282</v>
      </c>
      <c r="D45" s="90">
        <f>+'CONCEJO MPAL'!D43</f>
        <v>3000</v>
      </c>
      <c r="E45" s="93">
        <f>+'CONCEJO MPAL'!E43</f>
        <v>6200</v>
      </c>
      <c r="F45" s="90">
        <f>SUM(D45:E45)</f>
        <v>9200</v>
      </c>
    </row>
    <row r="46" spans="2:6" x14ac:dyDescent="0.25">
      <c r="B46" s="85">
        <v>545</v>
      </c>
      <c r="C46" s="95" t="s">
        <v>283</v>
      </c>
      <c r="D46" s="84">
        <f>SUM(D47:D48)</f>
        <v>11200</v>
      </c>
      <c r="E46" s="87">
        <f>SUM(E47:E48)</f>
        <v>0</v>
      </c>
      <c r="F46" s="84">
        <f>SUM(F47:F48)</f>
        <v>11200</v>
      </c>
    </row>
    <row r="47" spans="2:6" x14ac:dyDescent="0.25">
      <c r="B47" s="94">
        <v>54503</v>
      </c>
      <c r="C47" s="91" t="s">
        <v>284</v>
      </c>
      <c r="D47" s="90">
        <f>+'CONCEJO MPAL'!D45</f>
        <v>1200</v>
      </c>
      <c r="E47" s="93">
        <f>+'CONCEJO MPAL'!E45</f>
        <v>0</v>
      </c>
      <c r="F47" s="90">
        <f>SUM(D47:E47)</f>
        <v>1200</v>
      </c>
    </row>
    <row r="48" spans="2:6" x14ac:dyDescent="0.25">
      <c r="B48" s="94">
        <v>54599</v>
      </c>
      <c r="C48" s="91" t="s">
        <v>285</v>
      </c>
      <c r="D48" s="90">
        <f>+'CONCEJO MPAL'!D46</f>
        <v>10000</v>
      </c>
      <c r="E48" s="93">
        <f>+'CONCEJO MPAL'!E46</f>
        <v>0</v>
      </c>
      <c r="F48" s="90">
        <f>SUM(D48:E48)</f>
        <v>10000</v>
      </c>
    </row>
    <row r="49" spans="2:6" x14ac:dyDescent="0.25">
      <c r="B49" s="85">
        <v>55</v>
      </c>
      <c r="C49" s="95" t="s">
        <v>142</v>
      </c>
      <c r="D49" s="84">
        <f>+D50</f>
        <v>27450</v>
      </c>
      <c r="E49" s="87">
        <f>+E50</f>
        <v>0</v>
      </c>
      <c r="F49" s="84">
        <f>SUM(F50)</f>
        <v>27450</v>
      </c>
    </row>
    <row r="50" spans="2:6" x14ac:dyDescent="0.25">
      <c r="B50" s="85">
        <v>556</v>
      </c>
      <c r="C50" s="95" t="s">
        <v>286</v>
      </c>
      <c r="D50" s="84">
        <f>SUM(D51:D52)</f>
        <v>27450</v>
      </c>
      <c r="E50" s="87">
        <f>SUM(E51:E52)</f>
        <v>0</v>
      </c>
      <c r="F50" s="84">
        <f>SUM(F51:F52)</f>
        <v>27450</v>
      </c>
    </row>
    <row r="51" spans="2:6" x14ac:dyDescent="0.25">
      <c r="B51" s="94">
        <v>55601</v>
      </c>
      <c r="C51" s="91" t="s">
        <v>287</v>
      </c>
      <c r="D51" s="90">
        <f>+'CONCEJO MPAL'!D49</f>
        <v>12450</v>
      </c>
      <c r="E51" s="93">
        <f>+'CONCEJO MPAL'!E49</f>
        <v>0</v>
      </c>
      <c r="F51" s="90">
        <f>SUM(D51:E51)</f>
        <v>12450</v>
      </c>
    </row>
    <row r="52" spans="2:6" x14ac:dyDescent="0.25">
      <c r="B52" s="94">
        <v>55602</v>
      </c>
      <c r="C52" s="91" t="s">
        <v>288</v>
      </c>
      <c r="D52" s="90">
        <f>+'CONCEJO MPAL'!D50</f>
        <v>15000</v>
      </c>
      <c r="E52" s="93">
        <f>+'CONCEJO MPAL'!E50</f>
        <v>0</v>
      </c>
      <c r="F52" s="90">
        <f>SUM(D52:E52)</f>
        <v>15000</v>
      </c>
    </row>
    <row r="53" spans="2:6" x14ac:dyDescent="0.25">
      <c r="B53" s="85">
        <v>56</v>
      </c>
      <c r="C53" s="95" t="s">
        <v>113</v>
      </c>
      <c r="D53" s="84">
        <f>+D54+D58</f>
        <v>1500</v>
      </c>
      <c r="E53" s="87">
        <f>+E54+E58</f>
        <v>5700</v>
      </c>
      <c r="F53" s="84">
        <f>SUM(F54+F58)</f>
        <v>7200</v>
      </c>
    </row>
    <row r="54" spans="2:6" x14ac:dyDescent="0.25">
      <c r="B54" s="85">
        <v>562</v>
      </c>
      <c r="C54" s="95" t="s">
        <v>289</v>
      </c>
      <c r="D54" s="84">
        <f>SUM(D55:D57)</f>
        <v>0</v>
      </c>
      <c r="E54" s="87">
        <f>SUM(E55:E57)</f>
        <v>5700</v>
      </c>
      <c r="F54" s="84">
        <f>SUM(F55:F57)</f>
        <v>5700</v>
      </c>
    </row>
    <row r="55" spans="2:6" x14ac:dyDescent="0.25">
      <c r="B55" s="94">
        <v>5629501</v>
      </c>
      <c r="C55" s="91" t="s">
        <v>290</v>
      </c>
      <c r="D55" s="90">
        <f>+'CONCEJO MPAL'!D53</f>
        <v>0</v>
      </c>
      <c r="E55" s="93">
        <f>+'CONCEJO MPAL'!E53</f>
        <v>900</v>
      </c>
      <c r="F55" s="90">
        <f>SUM(D55:E55)</f>
        <v>900</v>
      </c>
    </row>
    <row r="56" spans="2:6" x14ac:dyDescent="0.25">
      <c r="B56" s="94">
        <v>5629512</v>
      </c>
      <c r="C56" s="91" t="s">
        <v>291</v>
      </c>
      <c r="D56" s="90">
        <f>+'CONCEJO MPAL'!D54</f>
        <v>0</v>
      </c>
      <c r="E56" s="93">
        <f>+'CONCEJO MPAL'!E54</f>
        <v>1200</v>
      </c>
      <c r="F56" s="90">
        <f>SUM(D56:E56)</f>
        <v>1200</v>
      </c>
    </row>
    <row r="57" spans="2:6" x14ac:dyDescent="0.25">
      <c r="B57" s="94">
        <v>5629586</v>
      </c>
      <c r="C57" s="91" t="s">
        <v>292</v>
      </c>
      <c r="D57" s="90">
        <f>+'CONCEJO MPAL'!D55</f>
        <v>0</v>
      </c>
      <c r="E57" s="93">
        <f>+'CONCEJO MPAL'!E55</f>
        <v>3600</v>
      </c>
      <c r="F57" s="90">
        <f>SUM(D57:E57)</f>
        <v>3600</v>
      </c>
    </row>
    <row r="58" spans="2:6" x14ac:dyDescent="0.25">
      <c r="B58" s="85">
        <v>563</v>
      </c>
      <c r="C58" s="95" t="s">
        <v>293</v>
      </c>
      <c r="D58" s="84">
        <f>SUM(D59:D59)</f>
        <v>1500</v>
      </c>
      <c r="E58" s="87">
        <f>SUM(E59:E59)</f>
        <v>0</v>
      </c>
      <c r="F58" s="84">
        <f>SUM(F59)</f>
        <v>1500</v>
      </c>
    </row>
    <row r="59" spans="2:6" x14ac:dyDescent="0.25">
      <c r="B59" s="94">
        <v>56304</v>
      </c>
      <c r="C59" s="91" t="s">
        <v>294</v>
      </c>
      <c r="D59" s="90">
        <f>+'CONCEJO MPAL'!D57</f>
        <v>1500</v>
      </c>
      <c r="E59" s="93">
        <f>+'CONCEJO MPAL'!E57</f>
        <v>0</v>
      </c>
      <c r="F59" s="90">
        <f>SUM(D59:E59)</f>
        <v>1500</v>
      </c>
    </row>
    <row r="60" spans="2:6" x14ac:dyDescent="0.25">
      <c r="B60" s="85">
        <v>61</v>
      </c>
      <c r="C60" s="95" t="s">
        <v>295</v>
      </c>
      <c r="D60" s="84">
        <f>+D61</f>
        <v>800</v>
      </c>
      <c r="E60" s="87">
        <f>+E61</f>
        <v>0</v>
      </c>
      <c r="F60" s="84">
        <f t="shared" ref="F60" si="2">SUM(F61)</f>
        <v>800</v>
      </c>
    </row>
    <row r="61" spans="2:6" x14ac:dyDescent="0.25">
      <c r="B61" s="85">
        <v>611</v>
      </c>
      <c r="C61" s="95" t="s">
        <v>296</v>
      </c>
      <c r="D61" s="84">
        <f>SUM(D62:D62)</f>
        <v>800</v>
      </c>
      <c r="E61" s="87">
        <f>SUM(E62:E62)</f>
        <v>0</v>
      </c>
      <c r="F61" s="84">
        <f>SUM(F62:F62)</f>
        <v>800</v>
      </c>
    </row>
    <row r="62" spans="2:6" x14ac:dyDescent="0.25">
      <c r="B62" s="94">
        <v>61101</v>
      </c>
      <c r="C62" s="91" t="s">
        <v>297</v>
      </c>
      <c r="D62" s="90">
        <f>+'CONCEJO MPAL'!D60</f>
        <v>800</v>
      </c>
      <c r="E62" s="93">
        <f>+'CONCEJO MPAL'!E60</f>
        <v>0</v>
      </c>
      <c r="F62" s="90">
        <f>SUM(D62:E62)</f>
        <v>800</v>
      </c>
    </row>
    <row r="63" spans="2:6" x14ac:dyDescent="0.25">
      <c r="B63" s="94"/>
      <c r="C63" s="91"/>
      <c r="D63" s="90"/>
      <c r="E63" s="93"/>
      <c r="F63" s="90"/>
    </row>
    <row r="64" spans="2:6" x14ac:dyDescent="0.25">
      <c r="B64" s="94"/>
      <c r="C64" s="95" t="s">
        <v>75</v>
      </c>
      <c r="D64" s="84">
        <f>SUM(D11+D22+D49+D53+D60)</f>
        <v>190522.65</v>
      </c>
      <c r="E64" s="87">
        <f>SUM(E11+E22+E49+E53+E60)</f>
        <v>105279.95</v>
      </c>
      <c r="F64" s="84">
        <f>SUM(D64:E64)</f>
        <v>295802.59999999998</v>
      </c>
    </row>
    <row r="65" spans="2:6" x14ac:dyDescent="0.25">
      <c r="B65" s="94"/>
      <c r="C65" s="91"/>
      <c r="D65" s="90"/>
      <c r="E65" s="93"/>
      <c r="F65" s="90"/>
    </row>
    <row r="66" spans="2:6" x14ac:dyDescent="0.25">
      <c r="B66" s="85"/>
      <c r="C66" s="95" t="s">
        <v>65</v>
      </c>
      <c r="D66" s="84">
        <f>SUM(D11+D22+D49+D53+D60)</f>
        <v>190522.65</v>
      </c>
      <c r="E66" s="87">
        <f>SUM(E11+E22+E49+E53+E60)</f>
        <v>105279.95</v>
      </c>
      <c r="F66" s="84">
        <f>SUM(F11+F22+F49+F53+F60)</f>
        <v>295802.59999999998</v>
      </c>
    </row>
    <row r="67" spans="2:6" x14ac:dyDescent="0.25">
      <c r="B67" s="85"/>
      <c r="C67" s="95" t="s">
        <v>66</v>
      </c>
      <c r="D67" s="84">
        <f>SUM(D12+D16+D18+D20+D23+D35+D42+D46+D50+D54+D58+D61)</f>
        <v>190522.65</v>
      </c>
      <c r="E67" s="87">
        <f>SUM(E12+E16+E18+E20+E23+E35+E42+E46+E50+E54+E58+E61)</f>
        <v>105279.95</v>
      </c>
      <c r="F67" s="84">
        <f>SUM(F12+F16+F18+F20+F23+F35+F42+F46+F50+F54+F58+F61)</f>
        <v>295802.59999999998</v>
      </c>
    </row>
    <row r="68" spans="2:6" x14ac:dyDescent="0.25">
      <c r="B68" s="85"/>
      <c r="C68" s="95" t="s">
        <v>67</v>
      </c>
      <c r="D68" s="84">
        <f>SUM(D13+D14+D15+D17+D19+D21+D24+D25+D26+D27+D28+D29+D30+D31+D32+D33+D34+D36+D37+D38+D39+D40+D41+D43+D44+D45+D47+D48+D51+D52+D55++D56+D57+D59+D62)</f>
        <v>190522.65</v>
      </c>
      <c r="E68" s="87">
        <f>SUM(E15+E17+E19+E21+E24+E25+E27+E28+E29+E30+E31+E32+E33+E34+E36+E37+E38+E39+E40+E43+E44+E45+E48+E51+E52+E55++E56+E57+E59+E62)</f>
        <v>105279.95</v>
      </c>
      <c r="F68" s="84">
        <f>SUM(F13+F14+F15+F17+F19+F21+F24+F25+F26+F27+F28+F29+F30+F31+F32+F33+F34+F36+F37+F38+F39+F40+F41+F43+F44+F45+F47+F48+F51+F52+F55++F56+F57+F59+F62)</f>
        <v>295802.59999999998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66"/>
  <sheetViews>
    <sheetView workbookViewId="0">
      <pane ySplit="10" topLeftCell="A11" activePane="bottomLeft" state="frozen"/>
      <selection pane="bottomLeft" activeCell="J20" sqref="J20"/>
    </sheetView>
  </sheetViews>
  <sheetFormatPr baseColWidth="10" defaultRowHeight="15" x14ac:dyDescent="0.25"/>
  <cols>
    <col min="1" max="1" width="2.5703125" style="75" customWidth="1"/>
    <col min="2" max="2" width="8" style="75" customWidth="1"/>
    <col min="3" max="3" width="50.140625" style="75" customWidth="1"/>
    <col min="4" max="4" width="14.140625" style="75" customWidth="1"/>
    <col min="5" max="5" width="17.5703125" style="75" customWidth="1"/>
    <col min="6" max="6" width="19" style="75" customWidth="1"/>
    <col min="7" max="16384" width="11.42578125" style="75"/>
  </cols>
  <sheetData>
    <row r="2" spans="2:6" ht="15" customHeight="1" x14ac:dyDescent="0.25">
      <c r="B2" s="401" t="s">
        <v>298</v>
      </c>
      <c r="C2" s="401"/>
      <c r="D2" s="401"/>
      <c r="E2" s="401"/>
      <c r="F2" s="401"/>
    </row>
    <row r="3" spans="2:6" ht="15" customHeight="1" x14ac:dyDescent="0.25">
      <c r="B3" s="401" t="s">
        <v>238</v>
      </c>
      <c r="C3" s="401"/>
      <c r="D3" s="401"/>
      <c r="E3" s="401"/>
      <c r="F3" s="401"/>
    </row>
    <row r="4" spans="2:6" ht="15" customHeight="1" x14ac:dyDescent="0.25">
      <c r="B4" s="402" t="s">
        <v>239</v>
      </c>
      <c r="C4" s="402"/>
      <c r="D4" s="402"/>
      <c r="E4" s="402"/>
      <c r="F4" s="402"/>
    </row>
    <row r="5" spans="2:6" ht="15" customHeight="1" x14ac:dyDescent="0.25">
      <c r="B5" s="402" t="s">
        <v>240</v>
      </c>
      <c r="C5" s="402"/>
      <c r="D5" s="402"/>
      <c r="E5" s="402"/>
      <c r="F5" s="402"/>
    </row>
    <row r="6" spans="2:6" ht="15" customHeight="1" x14ac:dyDescent="0.25">
      <c r="B6" s="402" t="s">
        <v>241</v>
      </c>
      <c r="C6" s="402"/>
      <c r="D6" s="402"/>
      <c r="E6" s="402"/>
      <c r="F6" s="402"/>
    </row>
    <row r="7" spans="2:6" ht="15" customHeight="1" x14ac:dyDescent="0.25">
      <c r="B7" s="403" t="s">
        <v>242</v>
      </c>
      <c r="C7" s="403"/>
      <c r="D7" s="403"/>
      <c r="E7" s="403"/>
      <c r="F7" s="403"/>
    </row>
    <row r="8" spans="2:6" ht="15.75" thickBot="1" x14ac:dyDescent="0.3">
      <c r="B8" s="34"/>
      <c r="C8" s="34"/>
      <c r="D8" s="34"/>
      <c r="E8" s="35"/>
      <c r="F8" s="34"/>
    </row>
    <row r="9" spans="2:6" x14ac:dyDescent="0.25">
      <c r="B9" s="396" t="s">
        <v>243</v>
      </c>
      <c r="C9" s="398" t="s">
        <v>244</v>
      </c>
      <c r="D9" s="76" t="s">
        <v>245</v>
      </c>
      <c r="E9" s="77" t="s">
        <v>246</v>
      </c>
      <c r="F9" s="400" t="s">
        <v>0</v>
      </c>
    </row>
    <row r="10" spans="2:6" ht="15.75" thickBot="1" x14ac:dyDescent="0.3">
      <c r="B10" s="397"/>
      <c r="C10" s="399"/>
      <c r="D10" s="78" t="s">
        <v>247</v>
      </c>
      <c r="E10" s="79" t="s">
        <v>248</v>
      </c>
      <c r="F10" s="400"/>
    </row>
    <row r="11" spans="2:6" x14ac:dyDescent="0.25">
      <c r="B11" s="80">
        <v>51</v>
      </c>
      <c r="C11" s="81" t="s">
        <v>140</v>
      </c>
      <c r="D11" s="82">
        <f>SUM(D12+D14+D16+D18)</f>
        <v>91960</v>
      </c>
      <c r="E11" s="83">
        <f>SUM(E12+E14+E16+E18)</f>
        <v>66960</v>
      </c>
      <c r="F11" s="84">
        <f>SUM(F12+F14+F16+F18)</f>
        <v>158920</v>
      </c>
    </row>
    <row r="12" spans="2:6" x14ac:dyDescent="0.25">
      <c r="B12" s="85">
        <v>511</v>
      </c>
      <c r="C12" s="86" t="s">
        <v>249</v>
      </c>
      <c r="D12" s="84">
        <f>SUM(D13:D13)</f>
        <v>57600</v>
      </c>
      <c r="E12" s="87">
        <f>SUM(E13:E13)</f>
        <v>57600</v>
      </c>
      <c r="F12" s="84">
        <f>D12+E12</f>
        <v>115200</v>
      </c>
    </row>
    <row r="13" spans="2:6" x14ac:dyDescent="0.25">
      <c r="B13" s="88">
        <v>51105</v>
      </c>
      <c r="C13" s="92" t="s">
        <v>252</v>
      </c>
      <c r="D13" s="90">
        <v>57600</v>
      </c>
      <c r="E13" s="93">
        <v>57600</v>
      </c>
      <c r="F13" s="90">
        <f>SUM(D13:E13)</f>
        <v>115200</v>
      </c>
    </row>
    <row r="14" spans="2:6" x14ac:dyDescent="0.25">
      <c r="B14" s="85">
        <v>514</v>
      </c>
      <c r="C14" s="81" t="s">
        <v>254</v>
      </c>
      <c r="D14" s="84">
        <f>SUM(D15:D15)</f>
        <v>4896</v>
      </c>
      <c r="E14" s="87">
        <f>SUM(E15:E15)</f>
        <v>4896</v>
      </c>
      <c r="F14" s="84">
        <f>SUM(F15:F15)</f>
        <v>9792</v>
      </c>
    </row>
    <row r="15" spans="2:6" x14ac:dyDescent="0.25">
      <c r="B15" s="94">
        <v>51401</v>
      </c>
      <c r="C15" s="91" t="s">
        <v>255</v>
      </c>
      <c r="D15" s="90">
        <v>4896</v>
      </c>
      <c r="E15" s="93">
        <v>4896</v>
      </c>
      <c r="F15" s="90">
        <f>SUM(D15:E15)</f>
        <v>9792</v>
      </c>
    </row>
    <row r="16" spans="2:6" x14ac:dyDescent="0.25">
      <c r="B16" s="85">
        <v>515</v>
      </c>
      <c r="C16" s="95" t="s">
        <v>256</v>
      </c>
      <c r="D16" s="84">
        <f>SUM(D17:D17)</f>
        <v>4464</v>
      </c>
      <c r="E16" s="87">
        <f>SUM(E17:E17)</f>
        <v>4464</v>
      </c>
      <c r="F16" s="84">
        <f>SUM(F17:F17)</f>
        <v>8928</v>
      </c>
    </row>
    <row r="17" spans="2:6" x14ac:dyDescent="0.25">
      <c r="B17" s="94">
        <v>51501</v>
      </c>
      <c r="C17" s="91" t="s">
        <v>255</v>
      </c>
      <c r="D17" s="90">
        <v>4464</v>
      </c>
      <c r="E17" s="93">
        <v>4464</v>
      </c>
      <c r="F17" s="90">
        <f>SUM(D17:E17)</f>
        <v>8928</v>
      </c>
    </row>
    <row r="18" spans="2:6" x14ac:dyDescent="0.25">
      <c r="B18" s="85">
        <v>517</v>
      </c>
      <c r="C18" s="95" t="s">
        <v>257</v>
      </c>
      <c r="D18" s="84">
        <f>SUM(D19:D19)</f>
        <v>25000</v>
      </c>
      <c r="E18" s="87">
        <f>SUM(E19:E19)</f>
        <v>0</v>
      </c>
      <c r="F18" s="84">
        <f>SUM(F19:F19)</f>
        <v>25000</v>
      </c>
    </row>
    <row r="19" spans="2:6" x14ac:dyDescent="0.25">
      <c r="B19" s="94">
        <v>51701</v>
      </c>
      <c r="C19" s="91" t="s">
        <v>258</v>
      </c>
      <c r="D19" s="90">
        <v>25000</v>
      </c>
      <c r="E19" s="93">
        <v>0</v>
      </c>
      <c r="F19" s="90">
        <f>SUM(D19:E19)</f>
        <v>25000</v>
      </c>
    </row>
    <row r="20" spans="2:6" x14ac:dyDescent="0.25">
      <c r="B20" s="85">
        <v>54</v>
      </c>
      <c r="C20" s="95" t="s">
        <v>259</v>
      </c>
      <c r="D20" s="84">
        <f>SUM(D21+D33+D40+D44)</f>
        <v>50646.400000000001</v>
      </c>
      <c r="E20" s="87">
        <f>SUM(E21+E33+E40+E44)</f>
        <v>32619.95</v>
      </c>
      <c r="F20" s="84">
        <f>SUM(F21+F33+F40+F44)</f>
        <v>83266.350000000006</v>
      </c>
    </row>
    <row r="21" spans="2:6" x14ac:dyDescent="0.25">
      <c r="B21" s="85">
        <v>541</v>
      </c>
      <c r="C21" s="95" t="s">
        <v>260</v>
      </c>
      <c r="D21" s="84">
        <f>SUM(D22:D32)</f>
        <v>15446.4</v>
      </c>
      <c r="E21" s="87">
        <f>SUM(E22:E32)</f>
        <v>1600</v>
      </c>
      <c r="F21" s="84">
        <f>SUM(F22:F32)</f>
        <v>17046.400000000001</v>
      </c>
    </row>
    <row r="22" spans="2:6" x14ac:dyDescent="0.25">
      <c r="B22" s="94">
        <v>54101</v>
      </c>
      <c r="C22" s="91" t="s">
        <v>261</v>
      </c>
      <c r="D22" s="260">
        <v>1500</v>
      </c>
      <c r="E22" s="93">
        <v>1500</v>
      </c>
      <c r="F22" s="90">
        <f t="shared" ref="F22:F32" si="0">SUM(D22:E22)</f>
        <v>3000</v>
      </c>
    </row>
    <row r="23" spans="2:6" x14ac:dyDescent="0.25">
      <c r="B23" s="94">
        <v>54103</v>
      </c>
      <c r="C23" s="91" t="s">
        <v>262</v>
      </c>
      <c r="D23" s="260">
        <v>500</v>
      </c>
      <c r="E23" s="87">
        <v>0</v>
      </c>
      <c r="F23" s="90">
        <f t="shared" si="0"/>
        <v>500</v>
      </c>
    </row>
    <row r="24" spans="2:6" x14ac:dyDescent="0.25">
      <c r="B24" s="94">
        <v>54104</v>
      </c>
      <c r="C24" s="91" t="s">
        <v>263</v>
      </c>
      <c r="D24" s="260">
        <v>100</v>
      </c>
      <c r="E24" s="87">
        <v>0</v>
      </c>
      <c r="F24" s="90">
        <f t="shared" si="0"/>
        <v>100</v>
      </c>
    </row>
    <row r="25" spans="2:6" x14ac:dyDescent="0.25">
      <c r="B25" s="94">
        <v>54105</v>
      </c>
      <c r="C25" s="91" t="s">
        <v>264</v>
      </c>
      <c r="D25" s="260">
        <v>100</v>
      </c>
      <c r="E25" s="93">
        <v>0</v>
      </c>
      <c r="F25" s="90">
        <f t="shared" si="0"/>
        <v>100</v>
      </c>
    </row>
    <row r="26" spans="2:6" x14ac:dyDescent="0.25">
      <c r="B26" s="94">
        <v>54106</v>
      </c>
      <c r="C26" s="91" t="s">
        <v>265</v>
      </c>
      <c r="D26" s="260">
        <v>300</v>
      </c>
      <c r="E26" s="93">
        <v>0</v>
      </c>
      <c r="F26" s="90">
        <f t="shared" si="0"/>
        <v>300</v>
      </c>
    </row>
    <row r="27" spans="2:6" x14ac:dyDescent="0.25">
      <c r="B27" s="94">
        <v>54111</v>
      </c>
      <c r="C27" s="91" t="s">
        <v>266</v>
      </c>
      <c r="D27" s="260">
        <v>5000</v>
      </c>
      <c r="E27" s="93">
        <v>0</v>
      </c>
      <c r="F27" s="90">
        <f t="shared" si="0"/>
        <v>5000</v>
      </c>
    </row>
    <row r="28" spans="2:6" x14ac:dyDescent="0.25">
      <c r="B28" s="94">
        <v>54112</v>
      </c>
      <c r="C28" s="91" t="s">
        <v>267</v>
      </c>
      <c r="D28" s="260">
        <v>5346.4</v>
      </c>
      <c r="E28" s="93">
        <v>0</v>
      </c>
      <c r="F28" s="90">
        <f t="shared" si="0"/>
        <v>5346.4</v>
      </c>
    </row>
    <row r="29" spans="2:6" x14ac:dyDescent="0.25">
      <c r="B29" s="94">
        <v>54114</v>
      </c>
      <c r="C29" s="91" t="s">
        <v>268</v>
      </c>
      <c r="D29" s="260">
        <v>200</v>
      </c>
      <c r="E29" s="93">
        <v>0</v>
      </c>
      <c r="F29" s="90">
        <f t="shared" si="0"/>
        <v>200</v>
      </c>
    </row>
    <row r="30" spans="2:6" x14ac:dyDescent="0.25">
      <c r="B30" s="94">
        <v>54115</v>
      </c>
      <c r="C30" s="91" t="s">
        <v>269</v>
      </c>
      <c r="D30" s="260">
        <v>100</v>
      </c>
      <c r="E30" s="93">
        <v>0</v>
      </c>
      <c r="F30" s="90">
        <f t="shared" si="0"/>
        <v>100</v>
      </c>
    </row>
    <row r="31" spans="2:6" x14ac:dyDescent="0.25">
      <c r="B31" s="94">
        <v>54119</v>
      </c>
      <c r="C31" s="91" t="s">
        <v>270</v>
      </c>
      <c r="D31" s="260">
        <v>300</v>
      </c>
      <c r="E31" s="93">
        <v>0</v>
      </c>
      <c r="F31" s="90">
        <f t="shared" si="0"/>
        <v>300</v>
      </c>
    </row>
    <row r="32" spans="2:6" x14ac:dyDescent="0.25">
      <c r="B32" s="94">
        <v>54199</v>
      </c>
      <c r="C32" s="91" t="s">
        <v>271</v>
      </c>
      <c r="D32" s="260">
        <v>2000</v>
      </c>
      <c r="E32" s="93">
        <v>100</v>
      </c>
      <c r="F32" s="90">
        <f t="shared" si="0"/>
        <v>2100</v>
      </c>
    </row>
    <row r="33" spans="2:6" x14ac:dyDescent="0.25">
      <c r="B33" s="85">
        <v>543</v>
      </c>
      <c r="C33" s="95" t="s">
        <v>272</v>
      </c>
      <c r="D33" s="257">
        <f>SUM(D34:D39)</f>
        <v>15500</v>
      </c>
      <c r="E33" s="87">
        <f>SUM(E34:E39)</f>
        <v>18000</v>
      </c>
      <c r="F33" s="84">
        <f>SUM(F34:F39)</f>
        <v>33500</v>
      </c>
    </row>
    <row r="34" spans="2:6" x14ac:dyDescent="0.25">
      <c r="B34" s="94">
        <v>54301</v>
      </c>
      <c r="C34" s="91" t="s">
        <v>273</v>
      </c>
      <c r="D34" s="260">
        <v>1500</v>
      </c>
      <c r="E34" s="93">
        <v>7000</v>
      </c>
      <c r="F34" s="90">
        <f t="shared" ref="F34:F39" si="1">SUM(D34:E34)</f>
        <v>8500</v>
      </c>
    </row>
    <row r="35" spans="2:6" x14ac:dyDescent="0.25">
      <c r="B35" s="94">
        <v>54303</v>
      </c>
      <c r="C35" s="91" t="s">
        <v>274</v>
      </c>
      <c r="D35" s="260">
        <v>0</v>
      </c>
      <c r="E35" s="93">
        <v>5000</v>
      </c>
      <c r="F35" s="90">
        <f t="shared" si="1"/>
        <v>5000</v>
      </c>
    </row>
    <row r="36" spans="2:6" x14ac:dyDescent="0.25">
      <c r="B36" s="94">
        <v>54304</v>
      </c>
      <c r="C36" s="91" t="s">
        <v>275</v>
      </c>
      <c r="D36" s="260">
        <v>3000</v>
      </c>
      <c r="E36" s="93">
        <v>6000</v>
      </c>
      <c r="F36" s="90">
        <f t="shared" si="1"/>
        <v>9000</v>
      </c>
    </row>
    <row r="37" spans="2:6" x14ac:dyDescent="0.25">
      <c r="B37" s="96">
        <v>54313</v>
      </c>
      <c r="C37" s="97" t="s">
        <v>276</v>
      </c>
      <c r="D37" s="266">
        <v>500</v>
      </c>
      <c r="E37" s="99">
        <v>0</v>
      </c>
      <c r="F37" s="90">
        <f t="shared" si="1"/>
        <v>500</v>
      </c>
    </row>
    <row r="38" spans="2:6" x14ac:dyDescent="0.25">
      <c r="B38" s="96">
        <v>54314</v>
      </c>
      <c r="C38" s="97" t="s">
        <v>277</v>
      </c>
      <c r="D38" s="266">
        <v>10000</v>
      </c>
      <c r="E38" s="99">
        <v>0</v>
      </c>
      <c r="F38" s="90">
        <f>SUM(D38:E38)</f>
        <v>10000</v>
      </c>
    </row>
    <row r="39" spans="2:6" x14ac:dyDescent="0.25">
      <c r="B39" s="96">
        <v>54399</v>
      </c>
      <c r="C39" s="97" t="s">
        <v>278</v>
      </c>
      <c r="D39" s="266">
        <v>500</v>
      </c>
      <c r="E39" s="99">
        <v>0</v>
      </c>
      <c r="F39" s="90">
        <f t="shared" si="1"/>
        <v>500</v>
      </c>
    </row>
    <row r="40" spans="2:6" x14ac:dyDescent="0.25">
      <c r="B40" s="80">
        <v>544</v>
      </c>
      <c r="C40" s="81" t="s">
        <v>279</v>
      </c>
      <c r="D40" s="262">
        <f>SUM(D41:D43)</f>
        <v>8500</v>
      </c>
      <c r="E40" s="83">
        <f>SUM(E41:E43)</f>
        <v>13019.95</v>
      </c>
      <c r="F40" s="84">
        <f>SUM(F41:F43)</f>
        <v>21519.95</v>
      </c>
    </row>
    <row r="41" spans="2:6" x14ac:dyDescent="0.25">
      <c r="B41" s="94">
        <v>54401</v>
      </c>
      <c r="C41" s="91" t="s">
        <v>280</v>
      </c>
      <c r="D41" s="260">
        <v>500</v>
      </c>
      <c r="E41" s="93">
        <v>0</v>
      </c>
      <c r="F41" s="90">
        <f>SUM(D41:E41)</f>
        <v>500</v>
      </c>
    </row>
    <row r="42" spans="2:6" x14ac:dyDescent="0.25">
      <c r="B42" s="94">
        <v>54402</v>
      </c>
      <c r="C42" s="91" t="s">
        <v>281</v>
      </c>
      <c r="D42" s="260">
        <v>5000</v>
      </c>
      <c r="E42" s="247">
        <v>6819.95</v>
      </c>
      <c r="F42" s="90">
        <f>SUM(D42:E42)</f>
        <v>11819.95</v>
      </c>
    </row>
    <row r="43" spans="2:6" x14ac:dyDescent="0.25">
      <c r="B43" s="94">
        <v>54404</v>
      </c>
      <c r="C43" s="91" t="s">
        <v>282</v>
      </c>
      <c r="D43" s="260">
        <v>3000</v>
      </c>
      <c r="E43" s="93">
        <v>6200</v>
      </c>
      <c r="F43" s="90">
        <f>SUM(D43:E43)</f>
        <v>9200</v>
      </c>
    </row>
    <row r="44" spans="2:6" x14ac:dyDescent="0.25">
      <c r="B44" s="85">
        <v>545</v>
      </c>
      <c r="C44" s="95" t="s">
        <v>283</v>
      </c>
      <c r="D44" s="257">
        <f>SUM(D45:D46)</f>
        <v>11200</v>
      </c>
      <c r="E44" s="87">
        <f>SUM(E45:E46)</f>
        <v>0</v>
      </c>
      <c r="F44" s="84">
        <f>SUM(F45:F46)</f>
        <v>11200</v>
      </c>
    </row>
    <row r="45" spans="2:6" x14ac:dyDescent="0.25">
      <c r="B45" s="94">
        <v>54503</v>
      </c>
      <c r="C45" s="91" t="s">
        <v>284</v>
      </c>
      <c r="D45" s="260">
        <v>1200</v>
      </c>
      <c r="E45" s="93">
        <v>0</v>
      </c>
      <c r="F45" s="90">
        <f>SUM(D45:E45)</f>
        <v>1200</v>
      </c>
    </row>
    <row r="46" spans="2:6" x14ac:dyDescent="0.25">
      <c r="B46" s="94">
        <v>54599</v>
      </c>
      <c r="C46" s="91" t="s">
        <v>285</v>
      </c>
      <c r="D46" s="260">
        <v>10000</v>
      </c>
      <c r="E46" s="93">
        <v>0</v>
      </c>
      <c r="F46" s="90">
        <f>SUM(D46:E46)</f>
        <v>10000</v>
      </c>
    </row>
    <row r="47" spans="2:6" x14ac:dyDescent="0.25">
      <c r="B47" s="85">
        <v>55</v>
      </c>
      <c r="C47" s="95" t="s">
        <v>142</v>
      </c>
      <c r="D47" s="84">
        <f>SUM(D48)</f>
        <v>27450</v>
      </c>
      <c r="E47" s="87">
        <f>SUM(E48)</f>
        <v>0</v>
      </c>
      <c r="F47" s="84">
        <f>SUM(F48)</f>
        <v>27450</v>
      </c>
    </row>
    <row r="48" spans="2:6" x14ac:dyDescent="0.25">
      <c r="B48" s="85">
        <v>556</v>
      </c>
      <c r="C48" s="95" t="s">
        <v>286</v>
      </c>
      <c r="D48" s="84">
        <f>SUM(D49:D50)</f>
        <v>27450</v>
      </c>
      <c r="E48" s="87">
        <f>SUM(E49:E50)</f>
        <v>0</v>
      </c>
      <c r="F48" s="84">
        <f>SUM(F49:F50)</f>
        <v>27450</v>
      </c>
    </row>
    <row r="49" spans="2:6" x14ac:dyDescent="0.25">
      <c r="B49" s="94">
        <v>55601</v>
      </c>
      <c r="C49" s="91" t="s">
        <v>287</v>
      </c>
      <c r="D49" s="90">
        <v>12450</v>
      </c>
      <c r="E49" s="93">
        <v>0</v>
      </c>
      <c r="F49" s="90">
        <f>SUM(D49:E49)</f>
        <v>12450</v>
      </c>
    </row>
    <row r="50" spans="2:6" x14ac:dyDescent="0.25">
      <c r="B50" s="94">
        <v>55602</v>
      </c>
      <c r="C50" s="91" t="s">
        <v>288</v>
      </c>
      <c r="D50" s="90">
        <v>15000</v>
      </c>
      <c r="E50" s="93">
        <v>0</v>
      </c>
      <c r="F50" s="90">
        <f>SUM(D50:E50)</f>
        <v>15000</v>
      </c>
    </row>
    <row r="51" spans="2:6" x14ac:dyDescent="0.25">
      <c r="B51" s="85">
        <v>56</v>
      </c>
      <c r="C51" s="95" t="s">
        <v>113</v>
      </c>
      <c r="D51" s="84">
        <f>SUM(D52+D56)</f>
        <v>1500</v>
      </c>
      <c r="E51" s="87">
        <f>SUM(E52+E56)</f>
        <v>5700</v>
      </c>
      <c r="F51" s="84">
        <f>SUM(F52+F56)</f>
        <v>7200</v>
      </c>
    </row>
    <row r="52" spans="2:6" ht="15.75" customHeight="1" x14ac:dyDescent="0.25">
      <c r="B52" s="85">
        <v>562</v>
      </c>
      <c r="C52" s="95" t="s">
        <v>289</v>
      </c>
      <c r="D52" s="84">
        <f>SUM(D53:D55)</f>
        <v>0</v>
      </c>
      <c r="E52" s="87">
        <f>SUM(E53:E55)</f>
        <v>5700</v>
      </c>
      <c r="F52" s="84">
        <f>SUM(F53:F55)</f>
        <v>5700</v>
      </c>
    </row>
    <row r="53" spans="2:6" x14ac:dyDescent="0.25">
      <c r="B53" s="94">
        <v>5629501</v>
      </c>
      <c r="C53" s="91" t="s">
        <v>290</v>
      </c>
      <c r="D53" s="90">
        <v>0</v>
      </c>
      <c r="E53" s="93">
        <v>900</v>
      </c>
      <c r="F53" s="90">
        <f>SUM(D53:E53)</f>
        <v>900</v>
      </c>
    </row>
    <row r="54" spans="2:6" x14ac:dyDescent="0.25">
      <c r="B54" s="94">
        <v>5629512</v>
      </c>
      <c r="C54" s="91" t="s">
        <v>291</v>
      </c>
      <c r="D54" s="90">
        <v>0</v>
      </c>
      <c r="E54" s="93">
        <v>1200</v>
      </c>
      <c r="F54" s="90">
        <f>SUM(D54:E54)</f>
        <v>1200</v>
      </c>
    </row>
    <row r="55" spans="2:6" x14ac:dyDescent="0.25">
      <c r="B55" s="94">
        <v>5629586</v>
      </c>
      <c r="C55" s="91" t="s">
        <v>292</v>
      </c>
      <c r="D55" s="90">
        <v>0</v>
      </c>
      <c r="E55" s="247">
        <v>3600</v>
      </c>
      <c r="F55" s="90">
        <f>SUM(D55:E55)</f>
        <v>3600</v>
      </c>
    </row>
    <row r="56" spans="2:6" ht="13.5" customHeight="1" x14ac:dyDescent="0.25">
      <c r="B56" s="85">
        <v>563</v>
      </c>
      <c r="C56" s="95" t="s">
        <v>293</v>
      </c>
      <c r="D56" s="84">
        <f>SUM(D57)</f>
        <v>1500</v>
      </c>
      <c r="E56" s="87">
        <f>SUM(E57)</f>
        <v>0</v>
      </c>
      <c r="F56" s="84">
        <f>SUM(F57)</f>
        <v>1500</v>
      </c>
    </row>
    <row r="57" spans="2:6" x14ac:dyDescent="0.25">
      <c r="B57" s="94">
        <v>56304</v>
      </c>
      <c r="C57" s="91" t="s">
        <v>294</v>
      </c>
      <c r="D57" s="90">
        <v>1500</v>
      </c>
      <c r="E57" s="93">
        <v>0</v>
      </c>
      <c r="F57" s="90">
        <f>SUM(D57:E57)</f>
        <v>1500</v>
      </c>
    </row>
    <row r="58" spans="2:6" x14ac:dyDescent="0.25">
      <c r="B58" s="85">
        <v>61</v>
      </c>
      <c r="C58" s="95" t="s">
        <v>295</v>
      </c>
      <c r="D58" s="84">
        <f>SUM(D59)</f>
        <v>800</v>
      </c>
      <c r="E58" s="87">
        <f t="shared" ref="E58:F58" si="2">SUM(E59)</f>
        <v>0</v>
      </c>
      <c r="F58" s="84">
        <f t="shared" si="2"/>
        <v>800</v>
      </c>
    </row>
    <row r="59" spans="2:6" x14ac:dyDescent="0.25">
      <c r="B59" s="85">
        <v>611</v>
      </c>
      <c r="C59" s="95" t="s">
        <v>296</v>
      </c>
      <c r="D59" s="84">
        <f>SUM(D60:D60)</f>
        <v>800</v>
      </c>
      <c r="E59" s="87">
        <f>SUM(E60:E60)</f>
        <v>0</v>
      </c>
      <c r="F59" s="84">
        <f>SUM(F60:F60)</f>
        <v>800</v>
      </c>
    </row>
    <row r="60" spans="2:6" x14ac:dyDescent="0.25">
      <c r="B60" s="94">
        <v>61101</v>
      </c>
      <c r="C60" s="91" t="s">
        <v>297</v>
      </c>
      <c r="D60" s="90">
        <v>800</v>
      </c>
      <c r="E60" s="93">
        <v>0</v>
      </c>
      <c r="F60" s="90">
        <f>SUM(D60:E60)</f>
        <v>800</v>
      </c>
    </row>
    <row r="61" spans="2:6" x14ac:dyDescent="0.25">
      <c r="B61" s="94"/>
      <c r="C61" s="91"/>
      <c r="D61" s="90"/>
      <c r="E61" s="93"/>
      <c r="F61" s="90"/>
    </row>
    <row r="62" spans="2:6" x14ac:dyDescent="0.25">
      <c r="B62" s="94"/>
      <c r="C62" s="95" t="s">
        <v>75</v>
      </c>
      <c r="D62" s="84">
        <f>SUM(D11+D20+D47+D51+D58)</f>
        <v>172356.4</v>
      </c>
      <c r="E62" s="87">
        <f>SUM(E11+E20+E47+E51+E58)</f>
        <v>105279.95</v>
      </c>
      <c r="F62" s="84">
        <f>SUM(D62:E62)</f>
        <v>277636.34999999998</v>
      </c>
    </row>
    <row r="63" spans="2:6" x14ac:dyDescent="0.25">
      <c r="B63" s="94"/>
      <c r="C63" s="91"/>
      <c r="D63" s="90"/>
      <c r="E63" s="93"/>
      <c r="F63" s="90"/>
    </row>
    <row r="64" spans="2:6" x14ac:dyDescent="0.25">
      <c r="B64" s="85"/>
      <c r="C64" s="95" t="s">
        <v>65</v>
      </c>
      <c r="D64" s="84">
        <f>SUM(D11+D20+D47+D51+D58)</f>
        <v>172356.4</v>
      </c>
      <c r="E64" s="87">
        <f>SUM(E11+E20+E47+E51+E58)</f>
        <v>105279.95</v>
      </c>
      <c r="F64" s="84">
        <f>SUM(F11+F20+F47+F51+F58)</f>
        <v>277636.34999999998</v>
      </c>
    </row>
    <row r="65" spans="2:6" x14ac:dyDescent="0.25">
      <c r="B65" s="85"/>
      <c r="C65" s="95" t="s">
        <v>66</v>
      </c>
      <c r="D65" s="84">
        <f>SUM(D12+D14+D16+D18+D21+D33+D40+D44+D48+D52+D56+D59)</f>
        <v>172356.4</v>
      </c>
      <c r="E65" s="87">
        <f>SUM(E12+E14+E16+E18+E21+E33+E40+E44+E48+E52+E56+E59)</f>
        <v>105279.95</v>
      </c>
      <c r="F65" s="84">
        <f>SUM(F12+F14+F16+F18+F21+F33+F40+F44+F48+F52+F56+F59)</f>
        <v>277636.34999999998</v>
      </c>
    </row>
    <row r="66" spans="2:6" x14ac:dyDescent="0.25">
      <c r="B66" s="85"/>
      <c r="C66" s="95" t="s">
        <v>67</v>
      </c>
      <c r="D66" s="84">
        <f>SUM(D13+D15+D17+D19+D22+D23+D24+D25+D26+D27+D28+D29+D30+D31+D32+D34+D35+D36+D37+D38+D39+D41+D42+D43+D45+D46+D49+D50+D53++D54+D55+D57+D60)</f>
        <v>172356.4</v>
      </c>
      <c r="E66" s="87">
        <f>SUM(E13+E15+E17+E19+E22+E23+E25+E26+E27+E28+E29+E30+E31+E32+E34+E35+E36+E37+E38+E41+E42+E43+E46+E49+E50+E53++E54+E55+E57+E60)</f>
        <v>105279.95</v>
      </c>
      <c r="F66" s="84">
        <f>SUM(F13+F15+F17+F19+F22+F23+F24+F25+F26+F27+F28+F29+F30+F31+F32+F34+F35+F36+F37+F38+F39+F41+F42+F43+F45+F46+F49+F50+F53++F54+F55+F57+F60)</f>
        <v>277636.34999999998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6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F35"/>
  <sheetViews>
    <sheetView workbookViewId="0">
      <pane ySplit="12" topLeftCell="A13" activePane="bottomLeft" state="frozen"/>
      <selection pane="bottomLeft" activeCell="A55" sqref="A55:XFD124"/>
    </sheetView>
  </sheetViews>
  <sheetFormatPr baseColWidth="10" defaultRowHeight="15" x14ac:dyDescent="0.25"/>
  <cols>
    <col min="1" max="1" width="3.28515625" style="75" customWidth="1"/>
    <col min="2" max="2" width="7.85546875" style="75" customWidth="1"/>
    <col min="3" max="3" width="40.5703125" style="75" customWidth="1"/>
    <col min="4" max="4" width="14.85546875" style="75" customWidth="1"/>
    <col min="5" max="5" width="16.140625" style="75" customWidth="1"/>
    <col min="6" max="6" width="14.7109375" style="75" customWidth="1"/>
    <col min="7" max="16384" width="11.42578125" style="75"/>
  </cols>
  <sheetData>
    <row r="3" spans="2:6" ht="15.75" x14ac:dyDescent="0.25">
      <c r="B3" s="404" t="s">
        <v>298</v>
      </c>
      <c r="C3" s="404"/>
      <c r="D3" s="404"/>
      <c r="E3" s="404"/>
      <c r="F3" s="404"/>
    </row>
    <row r="4" spans="2:6" ht="15.75" x14ac:dyDescent="0.25">
      <c r="B4" s="404" t="s">
        <v>238</v>
      </c>
      <c r="C4" s="404"/>
      <c r="D4" s="404"/>
      <c r="E4" s="404"/>
      <c r="F4" s="404"/>
    </row>
    <row r="5" spans="2:6" ht="15.75" x14ac:dyDescent="0.25">
      <c r="B5" s="402" t="s">
        <v>239</v>
      </c>
      <c r="C5" s="402"/>
      <c r="D5" s="402"/>
      <c r="E5" s="402"/>
      <c r="F5" s="402"/>
    </row>
    <row r="6" spans="2:6" ht="15.75" x14ac:dyDescent="0.25">
      <c r="B6" s="402" t="s">
        <v>299</v>
      </c>
      <c r="C6" s="402"/>
      <c r="D6" s="402"/>
      <c r="E6" s="402"/>
      <c r="F6" s="402"/>
    </row>
    <row r="7" spans="2:6" ht="18.75" customHeight="1" x14ac:dyDescent="0.25">
      <c r="B7" s="401" t="s">
        <v>300</v>
      </c>
      <c r="C7" s="401"/>
      <c r="D7" s="401"/>
      <c r="E7" s="401"/>
      <c r="F7" s="401"/>
    </row>
    <row r="8" spans="2:6" ht="15.75" x14ac:dyDescent="0.25">
      <c r="B8" s="402" t="s">
        <v>241</v>
      </c>
      <c r="C8" s="402"/>
      <c r="D8" s="402"/>
      <c r="E8" s="402"/>
      <c r="F8" s="402"/>
    </row>
    <row r="9" spans="2:6" ht="15.75" x14ac:dyDescent="0.25">
      <c r="B9" s="401" t="s">
        <v>195</v>
      </c>
      <c r="C9" s="401"/>
      <c r="D9" s="401"/>
      <c r="E9" s="401"/>
      <c r="F9" s="401"/>
    </row>
    <row r="10" spans="2:6" x14ac:dyDescent="0.25">
      <c r="B10" s="34"/>
      <c r="C10" s="34"/>
      <c r="D10" s="34"/>
      <c r="E10" s="35"/>
      <c r="F10" s="34"/>
    </row>
    <row r="11" spans="2:6" x14ac:dyDescent="0.25">
      <c r="B11" s="400" t="s">
        <v>243</v>
      </c>
      <c r="C11" s="400" t="s">
        <v>244</v>
      </c>
      <c r="D11" s="102" t="s">
        <v>245</v>
      </c>
      <c r="E11" s="102" t="s">
        <v>246</v>
      </c>
      <c r="F11" s="400" t="s">
        <v>0</v>
      </c>
    </row>
    <row r="12" spans="2:6" x14ac:dyDescent="0.25">
      <c r="B12" s="400"/>
      <c r="C12" s="400"/>
      <c r="D12" s="102" t="s">
        <v>247</v>
      </c>
      <c r="E12" s="102" t="s">
        <v>248</v>
      </c>
      <c r="F12" s="400"/>
    </row>
    <row r="13" spans="2:6" x14ac:dyDescent="0.25">
      <c r="B13" s="80">
        <v>51</v>
      </c>
      <c r="C13" s="81" t="s">
        <v>140</v>
      </c>
      <c r="D13" s="82">
        <f>SUM(D14+D17+D19)</f>
        <v>17191.25</v>
      </c>
      <c r="E13" s="82">
        <f>SUM(E14+E17+E19)</f>
        <v>0</v>
      </c>
      <c r="F13" s="82">
        <f>SUM(F14+F17+F19)</f>
        <v>17191.25</v>
      </c>
    </row>
    <row r="14" spans="2:6" x14ac:dyDescent="0.25">
      <c r="B14" s="85">
        <v>511</v>
      </c>
      <c r="C14" s="86" t="s">
        <v>249</v>
      </c>
      <c r="D14" s="84">
        <f>SUM(D15:D16)</f>
        <v>14900</v>
      </c>
      <c r="E14" s="84">
        <v>0</v>
      </c>
      <c r="F14" s="84">
        <f>SUM(F15:F16)</f>
        <v>14900</v>
      </c>
    </row>
    <row r="15" spans="2:6" x14ac:dyDescent="0.25">
      <c r="B15" s="88">
        <v>51101</v>
      </c>
      <c r="C15" s="89" t="s">
        <v>250</v>
      </c>
      <c r="D15" s="90">
        <v>14100</v>
      </c>
      <c r="E15" s="90"/>
      <c r="F15" s="90">
        <f>SUM(D15:E15)</f>
        <v>14100</v>
      </c>
    </row>
    <row r="16" spans="2:6" x14ac:dyDescent="0.25">
      <c r="B16" s="88">
        <v>51103</v>
      </c>
      <c r="C16" s="91" t="s">
        <v>251</v>
      </c>
      <c r="D16" s="90">
        <v>800</v>
      </c>
      <c r="E16" s="90">
        <v>0</v>
      </c>
      <c r="F16" s="90">
        <f>SUM(D16:E16)</f>
        <v>800</v>
      </c>
    </row>
    <row r="17" spans="2:6" x14ac:dyDescent="0.25">
      <c r="B17" s="85">
        <v>514</v>
      </c>
      <c r="C17" s="81" t="s">
        <v>254</v>
      </c>
      <c r="D17" s="84">
        <f>SUM(D18)</f>
        <v>1198.5</v>
      </c>
      <c r="E17" s="84">
        <f t="shared" ref="E17:F17" si="0">SUM(E18)</f>
        <v>0</v>
      </c>
      <c r="F17" s="84">
        <f t="shared" si="0"/>
        <v>1198.5</v>
      </c>
    </row>
    <row r="18" spans="2:6" x14ac:dyDescent="0.25">
      <c r="B18" s="94">
        <v>51401</v>
      </c>
      <c r="C18" s="91" t="s">
        <v>255</v>
      </c>
      <c r="D18" s="90">
        <v>1198.5</v>
      </c>
      <c r="E18" s="90"/>
      <c r="F18" s="90">
        <f>SUM(D18:E18)</f>
        <v>1198.5</v>
      </c>
    </row>
    <row r="19" spans="2:6" x14ac:dyDescent="0.25">
      <c r="B19" s="85">
        <v>515</v>
      </c>
      <c r="C19" s="95" t="s">
        <v>256</v>
      </c>
      <c r="D19" s="84">
        <f>SUM(D20:D20)</f>
        <v>1092.75</v>
      </c>
      <c r="E19" s="84">
        <f>SUM(E20:E20)</f>
        <v>0</v>
      </c>
      <c r="F19" s="84">
        <f>SUM(F20:F20)</f>
        <v>1092.75</v>
      </c>
    </row>
    <row r="20" spans="2:6" x14ac:dyDescent="0.25">
      <c r="B20" s="94">
        <v>51501</v>
      </c>
      <c r="C20" s="91" t="s">
        <v>255</v>
      </c>
      <c r="D20" s="90">
        <v>1092.75</v>
      </c>
      <c r="E20" s="90"/>
      <c r="F20" s="90">
        <f>SUM(D20:E20)</f>
        <v>1092.75</v>
      </c>
    </row>
    <row r="21" spans="2:6" x14ac:dyDescent="0.25">
      <c r="B21" s="85">
        <v>54</v>
      </c>
      <c r="C21" s="95" t="s">
        <v>301</v>
      </c>
      <c r="D21" s="84">
        <f>SUM(D22+D27)</f>
        <v>975</v>
      </c>
      <c r="E21" s="84">
        <f>SUM(E22+E27)</f>
        <v>0</v>
      </c>
      <c r="F21" s="84">
        <f>SUM(F22+F27)</f>
        <v>975</v>
      </c>
    </row>
    <row r="22" spans="2:6" x14ac:dyDescent="0.25">
      <c r="B22" s="85">
        <v>541</v>
      </c>
      <c r="C22" s="256" t="s">
        <v>302</v>
      </c>
      <c r="D22" s="257">
        <f>SUM(D23:D26)</f>
        <v>875</v>
      </c>
      <c r="E22" s="257">
        <f>SUM(E23:E26)</f>
        <v>0</v>
      </c>
      <c r="F22" s="257">
        <f>SUM(F23:F26)</f>
        <v>875</v>
      </c>
    </row>
    <row r="23" spans="2:6" x14ac:dyDescent="0.25">
      <c r="B23" s="94">
        <v>54101</v>
      </c>
      <c r="C23" s="259" t="s">
        <v>261</v>
      </c>
      <c r="D23" s="260">
        <v>500</v>
      </c>
      <c r="E23" s="260"/>
      <c r="F23" s="260">
        <f>SUM(D23:E23)</f>
        <v>500</v>
      </c>
    </row>
    <row r="24" spans="2:6" x14ac:dyDescent="0.25">
      <c r="B24" s="94">
        <v>54105</v>
      </c>
      <c r="C24" s="259" t="s">
        <v>264</v>
      </c>
      <c r="D24" s="260">
        <v>55</v>
      </c>
      <c r="E24" s="260"/>
      <c r="F24" s="260">
        <f>SUM(D24:E24)</f>
        <v>55</v>
      </c>
    </row>
    <row r="25" spans="2:6" x14ac:dyDescent="0.25">
      <c r="B25" s="94">
        <v>54114</v>
      </c>
      <c r="C25" s="259" t="s">
        <v>268</v>
      </c>
      <c r="D25" s="260">
        <v>300</v>
      </c>
      <c r="E25" s="260"/>
      <c r="F25" s="260">
        <f>SUM(D25:E25)</f>
        <v>300</v>
      </c>
    </row>
    <row r="26" spans="2:6" x14ac:dyDescent="0.25">
      <c r="B26" s="94">
        <v>54115</v>
      </c>
      <c r="C26" s="259" t="s">
        <v>269</v>
      </c>
      <c r="D26" s="260">
        <v>20</v>
      </c>
      <c r="E26" s="260"/>
      <c r="F26" s="260">
        <f>SUM(D26:E26)</f>
        <v>20</v>
      </c>
    </row>
    <row r="27" spans="2:6" x14ac:dyDescent="0.25">
      <c r="B27" s="85">
        <v>544</v>
      </c>
      <c r="C27" s="256" t="s">
        <v>279</v>
      </c>
      <c r="D27" s="257">
        <f>SUM(D28)</f>
        <v>100</v>
      </c>
      <c r="E27" s="257">
        <f t="shared" ref="E27:F27" si="1">SUM(E28)</f>
        <v>0</v>
      </c>
      <c r="F27" s="257">
        <f t="shared" si="1"/>
        <v>100</v>
      </c>
    </row>
    <row r="28" spans="2:6" x14ac:dyDescent="0.25">
      <c r="B28" s="94">
        <v>54401</v>
      </c>
      <c r="C28" s="259" t="s">
        <v>280</v>
      </c>
      <c r="D28" s="260">
        <v>100</v>
      </c>
      <c r="E28" s="260"/>
      <c r="F28" s="260">
        <f>SUM(D28:E28)</f>
        <v>100</v>
      </c>
    </row>
    <row r="29" spans="2:6" x14ac:dyDescent="0.25">
      <c r="B29" s="94"/>
      <c r="C29" s="259"/>
      <c r="D29" s="260"/>
      <c r="E29" s="260"/>
      <c r="F29" s="260"/>
    </row>
    <row r="30" spans="2:6" x14ac:dyDescent="0.25">
      <c r="B30" s="94"/>
      <c r="C30" s="256" t="s">
        <v>75</v>
      </c>
      <c r="D30" s="257">
        <f>SUM(D13+D21)</f>
        <v>18166.25</v>
      </c>
      <c r="E30" s="257">
        <f>SUM(E13+E21)</f>
        <v>0</v>
      </c>
      <c r="F30" s="257">
        <f>SUM(D30:E30)</f>
        <v>18166.25</v>
      </c>
    </row>
    <row r="31" spans="2:6" x14ac:dyDescent="0.25">
      <c r="B31" s="94"/>
      <c r="C31" s="259"/>
      <c r="D31" s="260"/>
      <c r="E31" s="260"/>
      <c r="F31" s="260"/>
    </row>
    <row r="32" spans="2:6" x14ac:dyDescent="0.25">
      <c r="B32" s="85"/>
      <c r="C32" s="256" t="s">
        <v>65</v>
      </c>
      <c r="D32" s="257">
        <f>SUM(D13+D21)</f>
        <v>18166.25</v>
      </c>
      <c r="E32" s="257">
        <f>SUM(E13+E21)</f>
        <v>0</v>
      </c>
      <c r="F32" s="257">
        <f>SUM(F13+F21)</f>
        <v>18166.25</v>
      </c>
    </row>
    <row r="33" spans="2:6" x14ac:dyDescent="0.25">
      <c r="B33" s="85"/>
      <c r="C33" s="256" t="s">
        <v>66</v>
      </c>
      <c r="D33" s="257">
        <f>SUM(D14+D17+D19+D22+D27)</f>
        <v>18166.25</v>
      </c>
      <c r="E33" s="257">
        <f>SUM(E14+E17+E19+E22+E27)</f>
        <v>0</v>
      </c>
      <c r="F33" s="257">
        <f>SUM(F14+F17+F19+F22+F27)</f>
        <v>18166.25</v>
      </c>
    </row>
    <row r="34" spans="2:6" x14ac:dyDescent="0.25">
      <c r="B34" s="85"/>
      <c r="C34" s="256" t="s">
        <v>67</v>
      </c>
      <c r="D34" s="257">
        <f>SUM(D15+D16+D18+D20+D23+D24+D25+D26+D28)</f>
        <v>18166.25</v>
      </c>
      <c r="E34" s="257">
        <f>SUM(E15+E16+E18+E20+E23+E24+E25+E26+E28)</f>
        <v>0</v>
      </c>
      <c r="F34" s="257">
        <f>SUM(F15+F16+F18+F20+F23+F24+F25+F26+F28)</f>
        <v>18166.25</v>
      </c>
    </row>
    <row r="35" spans="2:6" x14ac:dyDescent="0.25">
      <c r="C35" s="258"/>
      <c r="D35" s="258"/>
      <c r="E35" s="258"/>
      <c r="F35" s="258"/>
    </row>
  </sheetData>
  <mergeCells count="10">
    <mergeCell ref="B9:F9"/>
    <mergeCell ref="B11:B12"/>
    <mergeCell ref="C11:C12"/>
    <mergeCell ref="F11:F12"/>
    <mergeCell ref="B3:F3"/>
    <mergeCell ref="B4:F4"/>
    <mergeCell ref="B5:F5"/>
    <mergeCell ref="B6:F6"/>
    <mergeCell ref="B8:F8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62"/>
  <sheetViews>
    <sheetView workbookViewId="0">
      <pane ySplit="10" topLeftCell="A29" activePane="bottomLeft" state="frozen"/>
      <selection pane="bottomLeft" activeCell="C8" sqref="C8"/>
    </sheetView>
  </sheetViews>
  <sheetFormatPr baseColWidth="10" defaultRowHeight="15" x14ac:dyDescent="0.25"/>
  <cols>
    <col min="1" max="1" width="11.42578125" style="75"/>
    <col min="2" max="2" width="9.5703125" style="75" customWidth="1"/>
    <col min="3" max="3" width="44.42578125" style="75" customWidth="1"/>
    <col min="4" max="4" width="15.42578125" style="75" customWidth="1"/>
    <col min="5" max="5" width="16.5703125" style="75" customWidth="1"/>
    <col min="6" max="6" width="14" style="75" customWidth="1"/>
    <col min="7" max="16384" width="11.42578125" style="75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240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3" t="s">
        <v>303</v>
      </c>
      <c r="C7" s="403"/>
      <c r="D7" s="403"/>
      <c r="E7" s="403"/>
      <c r="F7" s="403"/>
    </row>
    <row r="8" spans="2:6" ht="15.75" thickBot="1" x14ac:dyDescent="0.3">
      <c r="B8" s="34"/>
      <c r="C8" s="34"/>
      <c r="D8" s="34"/>
      <c r="E8" s="35" t="s">
        <v>304</v>
      </c>
      <c r="F8" s="34"/>
    </row>
    <row r="9" spans="2:6" x14ac:dyDescent="0.25">
      <c r="B9" s="396" t="s">
        <v>243</v>
      </c>
      <c r="C9" s="405" t="s">
        <v>244</v>
      </c>
      <c r="D9" s="248" t="s">
        <v>245</v>
      </c>
      <c r="E9" s="250" t="s">
        <v>246</v>
      </c>
      <c r="F9" s="407" t="s">
        <v>0</v>
      </c>
    </row>
    <row r="10" spans="2:6" ht="15.75" thickBot="1" x14ac:dyDescent="0.3">
      <c r="B10" s="397"/>
      <c r="C10" s="406"/>
      <c r="D10" s="249" t="s">
        <v>247</v>
      </c>
      <c r="E10" s="251" t="s">
        <v>248</v>
      </c>
      <c r="F10" s="408"/>
    </row>
    <row r="11" spans="2:6" x14ac:dyDescent="0.25">
      <c r="B11" s="80">
        <v>51</v>
      </c>
      <c r="C11" s="261" t="s">
        <v>140</v>
      </c>
      <c r="D11" s="262">
        <f>SUM(D12+D15+D17+D19)</f>
        <v>44317</v>
      </c>
      <c r="E11" s="262">
        <f>SUM(E12+E15+E17+E19)</f>
        <v>8742</v>
      </c>
      <c r="F11" s="262">
        <f>SUM(F12+F15+F17+F19)</f>
        <v>52959</v>
      </c>
    </row>
    <row r="12" spans="2:6" x14ac:dyDescent="0.25">
      <c r="B12" s="85">
        <v>511</v>
      </c>
      <c r="C12" s="263" t="s">
        <v>249</v>
      </c>
      <c r="D12" s="257">
        <f>SUM(D13:D14)</f>
        <v>28040</v>
      </c>
      <c r="E12" s="257">
        <f>SUM(E13:E14)</f>
        <v>7520</v>
      </c>
      <c r="F12" s="257">
        <f>SUM(F13:F14)</f>
        <v>35460</v>
      </c>
    </row>
    <row r="13" spans="2:6" x14ac:dyDescent="0.25">
      <c r="B13" s="88">
        <v>51101</v>
      </c>
      <c r="C13" s="264" t="s">
        <v>250</v>
      </c>
      <c r="D13" s="260">
        <v>26320</v>
      </c>
      <c r="E13" s="260">
        <v>7520</v>
      </c>
      <c r="F13" s="260">
        <f>SUM(D13:E13)</f>
        <v>33840</v>
      </c>
    </row>
    <row r="14" spans="2:6" x14ac:dyDescent="0.25">
      <c r="B14" s="88">
        <v>51103</v>
      </c>
      <c r="C14" s="259" t="s">
        <v>251</v>
      </c>
      <c r="D14" s="260">
        <v>1720</v>
      </c>
      <c r="E14" s="260">
        <v>0</v>
      </c>
      <c r="F14" s="260">
        <v>1620</v>
      </c>
    </row>
    <row r="15" spans="2:6" x14ac:dyDescent="0.25">
      <c r="B15" s="85">
        <v>514</v>
      </c>
      <c r="C15" s="261" t="s">
        <v>254</v>
      </c>
      <c r="D15" s="257">
        <f>SUM(D16:D16)</f>
        <v>2237.1999999999998</v>
      </c>
      <c r="E15" s="257">
        <f>SUM(E16:E16)</f>
        <v>639.20000000000005</v>
      </c>
      <c r="F15" s="257">
        <f>SUM(F16:F16)</f>
        <v>2876.3999999999996</v>
      </c>
    </row>
    <row r="16" spans="2:6" x14ac:dyDescent="0.25">
      <c r="B16" s="94">
        <v>51401</v>
      </c>
      <c r="C16" s="259" t="s">
        <v>255</v>
      </c>
      <c r="D16" s="260">
        <v>2237.1999999999998</v>
      </c>
      <c r="E16" s="260">
        <v>639.20000000000005</v>
      </c>
      <c r="F16" s="260">
        <f>SUM(D16:E16)</f>
        <v>2876.3999999999996</v>
      </c>
    </row>
    <row r="17" spans="2:6" x14ac:dyDescent="0.25">
      <c r="B17" s="85">
        <v>515</v>
      </c>
      <c r="C17" s="256" t="s">
        <v>256</v>
      </c>
      <c r="D17" s="257">
        <f>SUM(D18:D18)</f>
        <v>2039.8</v>
      </c>
      <c r="E17" s="257">
        <f>SUM(E18:E18)</f>
        <v>582.79999999999995</v>
      </c>
      <c r="F17" s="257">
        <f>SUM(F18:F18)</f>
        <v>2622.6</v>
      </c>
    </row>
    <row r="18" spans="2:6" x14ac:dyDescent="0.25">
      <c r="B18" s="94">
        <v>51501</v>
      </c>
      <c r="C18" s="259" t="s">
        <v>255</v>
      </c>
      <c r="D18" s="260">
        <v>2039.8</v>
      </c>
      <c r="E18" s="260">
        <v>582.79999999999995</v>
      </c>
      <c r="F18" s="260">
        <f>SUM(D18:E18)</f>
        <v>2622.6</v>
      </c>
    </row>
    <row r="19" spans="2:6" x14ac:dyDescent="0.25">
      <c r="B19" s="85">
        <v>516</v>
      </c>
      <c r="C19" s="256" t="s">
        <v>305</v>
      </c>
      <c r="D19" s="257">
        <f>SUM(D20)</f>
        <v>12000</v>
      </c>
      <c r="E19" s="257">
        <f>SUM(E20)</f>
        <v>0</v>
      </c>
      <c r="F19" s="257">
        <f>SUM(F20)</f>
        <v>12000</v>
      </c>
    </row>
    <row r="20" spans="2:6" x14ac:dyDescent="0.25">
      <c r="B20" s="94">
        <v>51601</v>
      </c>
      <c r="C20" s="259" t="s">
        <v>306</v>
      </c>
      <c r="D20" s="260">
        <v>12000</v>
      </c>
      <c r="E20" s="260">
        <v>0</v>
      </c>
      <c r="F20" s="260">
        <f>SUM(D20:E20)</f>
        <v>12000</v>
      </c>
    </row>
    <row r="21" spans="2:6" x14ac:dyDescent="0.25">
      <c r="B21" s="85">
        <v>54</v>
      </c>
      <c r="C21" s="256" t="s">
        <v>301</v>
      </c>
      <c r="D21" s="257">
        <f>SUM(D22+D36+D47+D50)</f>
        <v>107449.62</v>
      </c>
      <c r="E21" s="257">
        <f>SUM(E22+E36+E47+E50)</f>
        <v>76090.81</v>
      </c>
      <c r="F21" s="257">
        <f>SUM(F22+F36+F47+F50)</f>
        <v>183540.43</v>
      </c>
    </row>
    <row r="22" spans="2:6" x14ac:dyDescent="0.25">
      <c r="B22" s="85">
        <v>541</v>
      </c>
      <c r="C22" s="256" t="s">
        <v>260</v>
      </c>
      <c r="D22" s="257">
        <f>SUM(D23:D35)</f>
        <v>72700</v>
      </c>
      <c r="E22" s="257">
        <f>SUM(E23:E35)</f>
        <v>40090.81</v>
      </c>
      <c r="F22" s="257">
        <f>SUM(F23:F35)</f>
        <v>112790.81</v>
      </c>
    </row>
    <row r="23" spans="2:6" x14ac:dyDescent="0.25">
      <c r="B23" s="94">
        <v>54101</v>
      </c>
      <c r="C23" s="259" t="s">
        <v>307</v>
      </c>
      <c r="D23" s="260">
        <v>4000</v>
      </c>
      <c r="E23" s="260">
        <v>3000</v>
      </c>
      <c r="F23" s="260">
        <f>SUM(D23:E23)</f>
        <v>7000</v>
      </c>
    </row>
    <row r="24" spans="2:6" x14ac:dyDescent="0.25">
      <c r="B24" s="94">
        <v>54102</v>
      </c>
      <c r="C24" s="259" t="s">
        <v>438</v>
      </c>
      <c r="D24" s="260">
        <v>30000</v>
      </c>
      <c r="E24" s="260">
        <v>0</v>
      </c>
      <c r="F24" s="260">
        <f>SUM(D24:E24)</f>
        <v>30000</v>
      </c>
    </row>
    <row r="25" spans="2:6" x14ac:dyDescent="0.25">
      <c r="B25" s="94">
        <v>54104</v>
      </c>
      <c r="C25" s="259" t="s">
        <v>263</v>
      </c>
      <c r="D25" s="260">
        <v>3000</v>
      </c>
      <c r="E25" s="260">
        <v>4136.8100000000004</v>
      </c>
      <c r="F25" s="260">
        <f>SUM(D25:E25)</f>
        <v>7136.81</v>
      </c>
    </row>
    <row r="26" spans="2:6" x14ac:dyDescent="0.25">
      <c r="B26" s="94">
        <v>54105</v>
      </c>
      <c r="C26" s="259" t="s">
        <v>264</v>
      </c>
      <c r="D26" s="260">
        <v>500</v>
      </c>
      <c r="E26" s="260">
        <v>0</v>
      </c>
      <c r="F26" s="260">
        <f>SUM(D26:E26)</f>
        <v>500</v>
      </c>
    </row>
    <row r="27" spans="2:6" x14ac:dyDescent="0.25">
      <c r="B27" s="94">
        <v>54107</v>
      </c>
      <c r="C27" s="259" t="s">
        <v>308</v>
      </c>
      <c r="D27" s="260">
        <v>5000</v>
      </c>
      <c r="E27" s="260">
        <v>0</v>
      </c>
      <c r="F27" s="260">
        <f>+D27</f>
        <v>5000</v>
      </c>
    </row>
    <row r="28" spans="2:6" x14ac:dyDescent="0.25">
      <c r="B28" s="94">
        <v>54108</v>
      </c>
      <c r="C28" s="259" t="s">
        <v>439</v>
      </c>
      <c r="D28" s="260">
        <v>5000</v>
      </c>
      <c r="E28" s="260">
        <v>0</v>
      </c>
      <c r="F28" s="260">
        <f>SUM(D28:E28)</f>
        <v>5000</v>
      </c>
    </row>
    <row r="29" spans="2:6" x14ac:dyDescent="0.25">
      <c r="B29" s="94">
        <v>54109</v>
      </c>
      <c r="C29" s="259" t="s">
        <v>309</v>
      </c>
      <c r="D29" s="260">
        <v>0</v>
      </c>
      <c r="E29" s="260">
        <v>2500</v>
      </c>
      <c r="F29" s="260">
        <f t="shared" ref="F29:F35" si="0">SUM(D29:E29)</f>
        <v>2500</v>
      </c>
    </row>
    <row r="30" spans="2:6" x14ac:dyDescent="0.25">
      <c r="B30" s="94">
        <v>54111</v>
      </c>
      <c r="C30" s="259" t="s">
        <v>266</v>
      </c>
      <c r="D30" s="260">
        <v>7000</v>
      </c>
      <c r="E30" s="260">
        <v>11000</v>
      </c>
      <c r="F30" s="260">
        <f t="shared" si="0"/>
        <v>18000</v>
      </c>
    </row>
    <row r="31" spans="2:6" x14ac:dyDescent="0.25">
      <c r="B31" s="94">
        <v>54112</v>
      </c>
      <c r="C31" s="259" t="s">
        <v>267</v>
      </c>
      <c r="D31" s="260">
        <v>8200</v>
      </c>
      <c r="E31" s="260">
        <v>9000</v>
      </c>
      <c r="F31" s="260">
        <f t="shared" si="0"/>
        <v>17200</v>
      </c>
    </row>
    <row r="32" spans="2:6" x14ac:dyDescent="0.25">
      <c r="B32" s="94">
        <v>54114</v>
      </c>
      <c r="C32" s="259" t="s">
        <v>268</v>
      </c>
      <c r="D32" s="260">
        <v>500</v>
      </c>
      <c r="E32" s="260">
        <v>0</v>
      </c>
      <c r="F32" s="260">
        <f t="shared" si="0"/>
        <v>500</v>
      </c>
    </row>
    <row r="33" spans="2:6" x14ac:dyDescent="0.25">
      <c r="B33" s="94">
        <v>54118</v>
      </c>
      <c r="C33" s="259" t="s">
        <v>310</v>
      </c>
      <c r="D33" s="260">
        <v>1000</v>
      </c>
      <c r="E33" s="260">
        <v>2354</v>
      </c>
      <c r="F33" s="260">
        <f t="shared" si="0"/>
        <v>3354</v>
      </c>
    </row>
    <row r="34" spans="2:6" x14ac:dyDescent="0.25">
      <c r="B34" s="94">
        <v>54119</v>
      </c>
      <c r="C34" s="259" t="s">
        <v>270</v>
      </c>
      <c r="D34" s="260">
        <v>500</v>
      </c>
      <c r="E34" s="260">
        <v>4100</v>
      </c>
      <c r="F34" s="260">
        <f t="shared" si="0"/>
        <v>4600</v>
      </c>
    </row>
    <row r="35" spans="2:6" x14ac:dyDescent="0.25">
      <c r="B35" s="94">
        <v>54199</v>
      </c>
      <c r="C35" s="259" t="s">
        <v>271</v>
      </c>
      <c r="D35" s="260">
        <v>8000</v>
      </c>
      <c r="E35" s="260">
        <v>4000</v>
      </c>
      <c r="F35" s="260">
        <f t="shared" si="0"/>
        <v>12000</v>
      </c>
    </row>
    <row r="36" spans="2:6" x14ac:dyDescent="0.25">
      <c r="B36" s="85">
        <v>543</v>
      </c>
      <c r="C36" s="256" t="s">
        <v>272</v>
      </c>
      <c r="D36" s="257">
        <f>SUM(D37:D46)</f>
        <v>28749.62</v>
      </c>
      <c r="E36" s="257">
        <f>SUM(E37:E46)</f>
        <v>32500</v>
      </c>
      <c r="F36" s="257">
        <f>SUM(F37:F46)</f>
        <v>61249.62</v>
      </c>
    </row>
    <row r="37" spans="2:6" x14ac:dyDescent="0.25">
      <c r="B37" s="94">
        <v>54301</v>
      </c>
      <c r="C37" s="259" t="s">
        <v>273</v>
      </c>
      <c r="D37" s="260">
        <v>2000</v>
      </c>
      <c r="E37" s="260">
        <v>2000</v>
      </c>
      <c r="F37" s="260">
        <f t="shared" ref="F37:F46" si="1">SUM(D37:E37)</f>
        <v>4000</v>
      </c>
    </row>
    <row r="38" spans="2:6" x14ac:dyDescent="0.25">
      <c r="B38" s="94">
        <v>54302</v>
      </c>
      <c r="C38" s="259" t="s">
        <v>311</v>
      </c>
      <c r="D38" s="260">
        <v>2000</v>
      </c>
      <c r="E38" s="260">
        <v>4000</v>
      </c>
      <c r="F38" s="260">
        <f t="shared" si="1"/>
        <v>6000</v>
      </c>
    </row>
    <row r="39" spans="2:6" x14ac:dyDescent="0.25">
      <c r="B39" s="94">
        <v>54303</v>
      </c>
      <c r="C39" s="259" t="s">
        <v>274</v>
      </c>
      <c r="D39" s="260">
        <v>3500</v>
      </c>
      <c r="E39" s="260">
        <v>4500</v>
      </c>
      <c r="F39" s="260">
        <f t="shared" si="1"/>
        <v>8000</v>
      </c>
    </row>
    <row r="40" spans="2:6" x14ac:dyDescent="0.25">
      <c r="B40" s="94">
        <v>54304</v>
      </c>
      <c r="C40" s="259" t="s">
        <v>312</v>
      </c>
      <c r="D40" s="260">
        <v>2000</v>
      </c>
      <c r="E40" s="260">
        <v>5000</v>
      </c>
      <c r="F40" s="260">
        <f t="shared" si="1"/>
        <v>7000</v>
      </c>
    </row>
    <row r="41" spans="2:6" x14ac:dyDescent="0.25">
      <c r="B41" s="94">
        <v>54305</v>
      </c>
      <c r="C41" s="259" t="s">
        <v>313</v>
      </c>
      <c r="D41" s="260">
        <v>3000</v>
      </c>
      <c r="E41" s="260">
        <v>0</v>
      </c>
      <c r="F41" s="260">
        <f t="shared" si="1"/>
        <v>3000</v>
      </c>
    </row>
    <row r="42" spans="2:6" x14ac:dyDescent="0.25">
      <c r="B42" s="96">
        <v>54313</v>
      </c>
      <c r="C42" s="265" t="s">
        <v>276</v>
      </c>
      <c r="D42" s="266">
        <v>0</v>
      </c>
      <c r="E42" s="266">
        <v>1000</v>
      </c>
      <c r="F42" s="260">
        <f t="shared" si="1"/>
        <v>1000</v>
      </c>
    </row>
    <row r="43" spans="2:6" x14ac:dyDescent="0.25">
      <c r="B43" s="96">
        <v>54314</v>
      </c>
      <c r="C43" s="265" t="s">
        <v>277</v>
      </c>
      <c r="D43" s="266">
        <v>5249.62</v>
      </c>
      <c r="E43" s="266">
        <v>0</v>
      </c>
      <c r="F43" s="260">
        <f t="shared" si="1"/>
        <v>5249.62</v>
      </c>
    </row>
    <row r="44" spans="2:6" x14ac:dyDescent="0.25">
      <c r="B44" s="96">
        <v>54316</v>
      </c>
      <c r="C44" s="265" t="s">
        <v>314</v>
      </c>
      <c r="D44" s="266">
        <v>1000</v>
      </c>
      <c r="E44" s="266">
        <v>6000</v>
      </c>
      <c r="F44" s="266">
        <f t="shared" si="1"/>
        <v>7000</v>
      </c>
    </row>
    <row r="45" spans="2:6" x14ac:dyDescent="0.25">
      <c r="B45" s="96">
        <v>54317</v>
      </c>
      <c r="C45" s="265" t="s">
        <v>6</v>
      </c>
      <c r="D45" s="266">
        <v>8000</v>
      </c>
      <c r="E45" s="266">
        <v>8000</v>
      </c>
      <c r="F45" s="266">
        <f t="shared" si="1"/>
        <v>16000</v>
      </c>
    </row>
    <row r="46" spans="2:6" x14ac:dyDescent="0.25">
      <c r="B46" s="96">
        <v>54399</v>
      </c>
      <c r="C46" s="265" t="s">
        <v>278</v>
      </c>
      <c r="D46" s="266">
        <v>2000</v>
      </c>
      <c r="E46" s="266">
        <v>2000</v>
      </c>
      <c r="F46" s="266">
        <f t="shared" si="1"/>
        <v>4000</v>
      </c>
    </row>
    <row r="47" spans="2:6" x14ac:dyDescent="0.25">
      <c r="B47" s="80">
        <v>544</v>
      </c>
      <c r="C47" s="261" t="s">
        <v>279</v>
      </c>
      <c r="D47" s="262">
        <f>SUM(D48:D49)</f>
        <v>4000</v>
      </c>
      <c r="E47" s="262">
        <f>SUM(E48:E49)</f>
        <v>3500</v>
      </c>
      <c r="F47" s="262">
        <f>SUM(F48:F49)</f>
        <v>7500</v>
      </c>
    </row>
    <row r="48" spans="2:6" x14ac:dyDescent="0.25">
      <c r="B48" s="96">
        <v>54402</v>
      </c>
      <c r="C48" s="265" t="s">
        <v>281</v>
      </c>
      <c r="D48" s="266">
        <v>2000</v>
      </c>
      <c r="E48" s="266">
        <v>2000</v>
      </c>
      <c r="F48" s="260">
        <f>SUM(D48:E48)</f>
        <v>4000</v>
      </c>
    </row>
    <row r="49" spans="2:6" x14ac:dyDescent="0.25">
      <c r="B49" s="94">
        <v>54404</v>
      </c>
      <c r="C49" s="259" t="s">
        <v>315</v>
      </c>
      <c r="D49" s="260">
        <v>2000</v>
      </c>
      <c r="E49" s="260">
        <v>1500</v>
      </c>
      <c r="F49" s="260">
        <f>SUM(D49:E49)</f>
        <v>3500</v>
      </c>
    </row>
    <row r="50" spans="2:6" x14ac:dyDescent="0.25">
      <c r="B50" s="85">
        <v>545</v>
      </c>
      <c r="C50" s="256" t="s">
        <v>283</v>
      </c>
      <c r="D50" s="257">
        <f>SUM(D51:D52)</f>
        <v>2000</v>
      </c>
      <c r="E50" s="257">
        <f>SUM(E51:E52)</f>
        <v>0</v>
      </c>
      <c r="F50" s="257">
        <f>SUM(F51:F52)</f>
        <v>2000</v>
      </c>
    </row>
    <row r="51" spans="2:6" x14ac:dyDescent="0.25">
      <c r="B51" s="94">
        <v>54503</v>
      </c>
      <c r="C51" s="259" t="s">
        <v>316</v>
      </c>
      <c r="D51" s="260">
        <v>500</v>
      </c>
      <c r="E51" s="260">
        <v>0</v>
      </c>
      <c r="F51" s="260">
        <f>SUM(D51:E51)</f>
        <v>500</v>
      </c>
    </row>
    <row r="52" spans="2:6" x14ac:dyDescent="0.25">
      <c r="B52" s="96">
        <v>54599</v>
      </c>
      <c r="C52" s="265" t="s">
        <v>285</v>
      </c>
      <c r="D52" s="266">
        <v>1500</v>
      </c>
      <c r="E52" s="266">
        <v>0</v>
      </c>
      <c r="F52" s="266">
        <f>SUM(D52:E52)</f>
        <v>1500</v>
      </c>
    </row>
    <row r="53" spans="2:6" x14ac:dyDescent="0.25">
      <c r="B53" s="85">
        <v>61</v>
      </c>
      <c r="C53" s="256" t="s">
        <v>295</v>
      </c>
      <c r="D53" s="257">
        <f t="shared" ref="D53" si="2">SUM(D54:D54)</f>
        <v>0</v>
      </c>
      <c r="E53" s="257">
        <f>SUM(E54:E54)</f>
        <v>7000</v>
      </c>
      <c r="F53" s="257">
        <f>SUM(F54:F54)</f>
        <v>7000</v>
      </c>
    </row>
    <row r="54" spans="2:6" x14ac:dyDescent="0.25">
      <c r="B54" s="85">
        <v>611</v>
      </c>
      <c r="C54" s="256" t="s">
        <v>296</v>
      </c>
      <c r="D54" s="257">
        <f>SUM(D55:D56)</f>
        <v>0</v>
      </c>
      <c r="E54" s="257">
        <f>SUM(E55:E56)</f>
        <v>7000</v>
      </c>
      <c r="F54" s="257">
        <f>SUM(F55:F56)</f>
        <v>7000</v>
      </c>
    </row>
    <row r="55" spans="2:6" x14ac:dyDescent="0.25">
      <c r="B55" s="94">
        <v>61102</v>
      </c>
      <c r="C55" s="259" t="s">
        <v>440</v>
      </c>
      <c r="D55" s="260"/>
      <c r="E55" s="260">
        <v>2000</v>
      </c>
      <c r="F55" s="260">
        <f>SUM(D55:E55)</f>
        <v>2000</v>
      </c>
    </row>
    <row r="56" spans="2:6" x14ac:dyDescent="0.25">
      <c r="B56" s="94">
        <v>61106</v>
      </c>
      <c r="C56" s="259" t="s">
        <v>317</v>
      </c>
      <c r="D56" s="260">
        <v>0</v>
      </c>
      <c r="E56" s="260">
        <v>5000</v>
      </c>
      <c r="F56" s="260">
        <f>SUM(D56:E56)</f>
        <v>5000</v>
      </c>
    </row>
    <row r="57" spans="2:6" x14ac:dyDescent="0.25">
      <c r="B57" s="94"/>
      <c r="C57" s="259"/>
      <c r="D57" s="260"/>
      <c r="E57" s="260"/>
      <c r="F57" s="260"/>
    </row>
    <row r="58" spans="2:6" x14ac:dyDescent="0.25">
      <c r="B58" s="94"/>
      <c r="C58" s="256" t="s">
        <v>75</v>
      </c>
      <c r="D58" s="257">
        <f>D11+D21+D53</f>
        <v>151766.62</v>
      </c>
      <c r="E58" s="257">
        <f>E11+E21+E53</f>
        <v>91832.81</v>
      </c>
      <c r="F58" s="257">
        <f>SUM(D58:E58)</f>
        <v>243599.43</v>
      </c>
    </row>
    <row r="59" spans="2:6" x14ac:dyDescent="0.25">
      <c r="B59" s="94"/>
      <c r="C59" s="91"/>
      <c r="D59" s="90"/>
      <c r="E59" s="90"/>
      <c r="F59" s="90"/>
    </row>
    <row r="60" spans="2:6" x14ac:dyDescent="0.25">
      <c r="B60" s="85"/>
      <c r="C60" s="95" t="s">
        <v>65</v>
      </c>
      <c r="D60" s="84">
        <f>SUM(D11+D21+D53)</f>
        <v>151766.62</v>
      </c>
      <c r="E60" s="84">
        <f>SUM(E11+E21+E53)</f>
        <v>91832.81</v>
      </c>
      <c r="F60" s="84">
        <f>SUM(F11+F21+F53)</f>
        <v>243499.43</v>
      </c>
    </row>
    <row r="61" spans="2:6" x14ac:dyDescent="0.25">
      <c r="B61" s="85"/>
      <c r="C61" s="95" t="s">
        <v>66</v>
      </c>
      <c r="D61" s="84">
        <f>SUM(D12+D15+D17+D19+D22+D36+D47+D50+D54)</f>
        <v>151766.62</v>
      </c>
      <c r="E61" s="84">
        <f>SUM(E12+E15+E17+E19+E22+E36+E47+E50+E54)</f>
        <v>91832.81</v>
      </c>
      <c r="F61" s="84">
        <f>SUM(F12+F15+F17+F19+F22+F36+F47+F50+F54)</f>
        <v>243499.43</v>
      </c>
    </row>
    <row r="62" spans="2:6" x14ac:dyDescent="0.25">
      <c r="B62" s="85"/>
      <c r="C62" s="95" t="s">
        <v>67</v>
      </c>
      <c r="D62" s="84">
        <f>SUM(D13+D14+D16+D18+D20+D23+D24+D25+D26+D27+D28+D29+D30+D31+D32+D33+D34+D35+D37+D38+D39+D40+D41+D42+D43+D44+D45+D46+D48+D49+D51+D52+D55+D56)</f>
        <v>151766.62</v>
      </c>
      <c r="E62" s="84">
        <f>SUM(E13+E14+E16+E18+E20+E23+E25+E26+E29+E30+E31+E32+E33+E34+E35+E37+E38+E39+E40+E41+E42+E43+E44+E45+E46+E48+E49+E51+E55+E56)</f>
        <v>91832.81</v>
      </c>
      <c r="F62" s="84">
        <f>SUM(F13+F14+F16+F18+F20+F23+F24+F25+F26+F27+F28+F29+F30+F31+F32+F33+F34+F35+F37+F38+F39+F40+F41+F42+F43+F44+F45+F46+F48+F49+F51+F52+F55+F56)</f>
        <v>243499.43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F36"/>
  <sheetViews>
    <sheetView workbookViewId="0">
      <pane ySplit="10" topLeftCell="A17" activePane="bottomLeft" state="frozen"/>
      <selection pane="bottomLeft" activeCell="J13" sqref="J13"/>
    </sheetView>
  </sheetViews>
  <sheetFormatPr baseColWidth="10" defaultRowHeight="15" x14ac:dyDescent="0.25"/>
  <cols>
    <col min="1" max="1" width="5.42578125" style="33" customWidth="1"/>
    <col min="2" max="2" width="8.140625" style="33" customWidth="1"/>
    <col min="3" max="3" width="41.140625" style="33" customWidth="1"/>
    <col min="4" max="4" width="16" style="33" customWidth="1"/>
    <col min="5" max="5" width="17" style="33" customWidth="1"/>
    <col min="6" max="6" width="13.28515625" style="33" customWidth="1"/>
    <col min="7" max="16384" width="11.42578125" style="33"/>
  </cols>
  <sheetData>
    <row r="2" spans="2:6" ht="15.75" x14ac:dyDescent="0.25">
      <c r="B2" s="413" t="s">
        <v>298</v>
      </c>
      <c r="C2" s="413"/>
      <c r="D2" s="413"/>
      <c r="E2" s="413"/>
      <c r="F2" s="413"/>
    </row>
    <row r="3" spans="2:6" ht="15.75" x14ac:dyDescent="0.25">
      <c r="B3" s="414" t="s">
        <v>238</v>
      </c>
      <c r="C3" s="414"/>
      <c r="D3" s="414"/>
      <c r="E3" s="414"/>
      <c r="F3" s="414"/>
    </row>
    <row r="4" spans="2:6" ht="15.75" x14ac:dyDescent="0.25">
      <c r="B4" s="415" t="s">
        <v>239</v>
      </c>
      <c r="C4" s="415"/>
      <c r="D4" s="415"/>
      <c r="E4" s="415"/>
      <c r="F4" s="415"/>
    </row>
    <row r="5" spans="2:6" ht="15.75" x14ac:dyDescent="0.25">
      <c r="B5" s="415" t="s">
        <v>240</v>
      </c>
      <c r="C5" s="415"/>
      <c r="D5" s="415"/>
      <c r="E5" s="415"/>
      <c r="F5" s="415"/>
    </row>
    <row r="6" spans="2:6" ht="15.75" x14ac:dyDescent="0.25">
      <c r="B6" s="415" t="s">
        <v>241</v>
      </c>
      <c r="C6" s="415"/>
      <c r="D6" s="415"/>
      <c r="E6" s="415"/>
      <c r="F6" s="415"/>
    </row>
    <row r="7" spans="2:6" ht="15.75" x14ac:dyDescent="0.25">
      <c r="B7" s="416" t="s">
        <v>318</v>
      </c>
      <c r="C7" s="416"/>
      <c r="D7" s="416"/>
      <c r="E7" s="416"/>
      <c r="F7" s="416"/>
    </row>
    <row r="8" spans="2:6" ht="15.75" thickBot="1" x14ac:dyDescent="0.3">
      <c r="B8" s="31"/>
      <c r="C8" s="31"/>
      <c r="D8" s="31"/>
      <c r="E8" s="32"/>
      <c r="F8" s="31"/>
    </row>
    <row r="9" spans="2:6" x14ac:dyDescent="0.25">
      <c r="B9" s="409" t="s">
        <v>243</v>
      </c>
      <c r="C9" s="405" t="s">
        <v>244</v>
      </c>
      <c r="D9" s="248" t="s">
        <v>245</v>
      </c>
      <c r="E9" s="250" t="s">
        <v>246</v>
      </c>
      <c r="F9" s="411" t="s">
        <v>0</v>
      </c>
    </row>
    <row r="10" spans="2:6" ht="15.75" thickBot="1" x14ac:dyDescent="0.3">
      <c r="B10" s="410"/>
      <c r="C10" s="406"/>
      <c r="D10" s="249" t="s">
        <v>247</v>
      </c>
      <c r="E10" s="251" t="s">
        <v>248</v>
      </c>
      <c r="F10" s="412"/>
    </row>
    <row r="11" spans="2:6" x14ac:dyDescent="0.25">
      <c r="B11" s="100">
        <v>51</v>
      </c>
      <c r="C11" s="103" t="s">
        <v>140</v>
      </c>
      <c r="D11" s="253">
        <f>SUM(D12+D15+D17)</f>
        <v>17540</v>
      </c>
      <c r="E11" s="253">
        <f>SUM(E12+E15+E17)</f>
        <v>4882.5</v>
      </c>
      <c r="F11" s="253">
        <f>SUM(F12+F15+F17)</f>
        <v>22422.5</v>
      </c>
    </row>
    <row r="12" spans="2:6" x14ac:dyDescent="0.25">
      <c r="B12" s="101">
        <v>511</v>
      </c>
      <c r="C12" s="105" t="s">
        <v>249</v>
      </c>
      <c r="D12" s="114">
        <f>SUM(D13:D14)</f>
        <v>15200</v>
      </c>
      <c r="E12" s="114">
        <f>SUM(E13:E14)</f>
        <v>4200</v>
      </c>
      <c r="F12" s="114">
        <f>SUM(F13:F14)</f>
        <v>19400</v>
      </c>
    </row>
    <row r="13" spans="2:6" x14ac:dyDescent="0.25">
      <c r="B13" s="88">
        <v>51101</v>
      </c>
      <c r="C13" s="254" t="s">
        <v>250</v>
      </c>
      <c r="D13" s="117">
        <v>14400</v>
      </c>
      <c r="E13" s="117">
        <v>4200</v>
      </c>
      <c r="F13" s="117">
        <f>SUM(D13:E13)</f>
        <v>18600</v>
      </c>
    </row>
    <row r="14" spans="2:6" x14ac:dyDescent="0.25">
      <c r="B14" s="88">
        <v>51103</v>
      </c>
      <c r="C14" s="116" t="s">
        <v>251</v>
      </c>
      <c r="D14" s="117">
        <v>800</v>
      </c>
      <c r="E14" s="117">
        <v>0</v>
      </c>
      <c r="F14" s="117">
        <f>SUM(D14:E14)</f>
        <v>800</v>
      </c>
    </row>
    <row r="15" spans="2:6" x14ac:dyDescent="0.25">
      <c r="B15" s="85">
        <v>514</v>
      </c>
      <c r="C15" s="103" t="s">
        <v>254</v>
      </c>
      <c r="D15" s="114">
        <f>SUM(D16:D16)</f>
        <v>1224</v>
      </c>
      <c r="E15" s="114">
        <f>SUM(E16:E16)</f>
        <v>357</v>
      </c>
      <c r="F15" s="114">
        <f>SUM(F16:F16)</f>
        <v>1581</v>
      </c>
    </row>
    <row r="16" spans="2:6" x14ac:dyDescent="0.25">
      <c r="B16" s="94">
        <v>51401</v>
      </c>
      <c r="C16" s="116" t="s">
        <v>255</v>
      </c>
      <c r="D16" s="117">
        <v>1224</v>
      </c>
      <c r="E16" s="117">
        <v>357</v>
      </c>
      <c r="F16" s="117">
        <f>SUM(D16:E16)</f>
        <v>1581</v>
      </c>
    </row>
    <row r="17" spans="2:6" x14ac:dyDescent="0.25">
      <c r="B17" s="85">
        <v>515</v>
      </c>
      <c r="C17" s="113" t="s">
        <v>256</v>
      </c>
      <c r="D17" s="114">
        <f>SUM(D18:D18)</f>
        <v>1116</v>
      </c>
      <c r="E17" s="114">
        <f>SUM(E18:E18)</f>
        <v>325.5</v>
      </c>
      <c r="F17" s="114">
        <f>SUM(F18:F18)</f>
        <v>1441.5</v>
      </c>
    </row>
    <row r="18" spans="2:6" x14ac:dyDescent="0.25">
      <c r="B18" s="94">
        <v>51501</v>
      </c>
      <c r="C18" s="116" t="s">
        <v>255</v>
      </c>
      <c r="D18" s="117">
        <v>1116</v>
      </c>
      <c r="E18" s="117">
        <v>325.5</v>
      </c>
      <c r="F18" s="117">
        <f>SUM(D18:E18)</f>
        <v>1441.5</v>
      </c>
    </row>
    <row r="19" spans="2:6" x14ac:dyDescent="0.25">
      <c r="B19" s="85">
        <v>54</v>
      </c>
      <c r="C19" s="113" t="s">
        <v>301</v>
      </c>
      <c r="D19" s="114">
        <f>SUM(D20+D25)</f>
        <v>385</v>
      </c>
      <c r="E19" s="114">
        <f>SUM(E20+E25)</f>
        <v>0</v>
      </c>
      <c r="F19" s="114">
        <f>SUM(F20+F25)</f>
        <v>385</v>
      </c>
    </row>
    <row r="20" spans="2:6" x14ac:dyDescent="0.25">
      <c r="B20" s="85">
        <v>541</v>
      </c>
      <c r="C20" s="113" t="s">
        <v>260</v>
      </c>
      <c r="D20" s="114">
        <f>SUM(D21:D24)</f>
        <v>285</v>
      </c>
      <c r="E20" s="114">
        <f>SUM(E21:E24)</f>
        <v>0</v>
      </c>
      <c r="F20" s="114">
        <f>SUM(F21:F24)</f>
        <v>285</v>
      </c>
    </row>
    <row r="21" spans="2:6" x14ac:dyDescent="0.25">
      <c r="B21" s="112">
        <v>54105</v>
      </c>
      <c r="C21" s="267" t="s">
        <v>264</v>
      </c>
      <c r="D21" s="117">
        <v>60</v>
      </c>
      <c r="E21" s="117">
        <v>0</v>
      </c>
      <c r="F21" s="117">
        <f>SUM(D21:E21)</f>
        <v>60</v>
      </c>
    </row>
    <row r="22" spans="2:6" x14ac:dyDescent="0.25">
      <c r="B22" s="112">
        <v>54114</v>
      </c>
      <c r="C22" s="267" t="s">
        <v>268</v>
      </c>
      <c r="D22" s="117">
        <v>50</v>
      </c>
      <c r="E22" s="117">
        <v>0</v>
      </c>
      <c r="F22" s="117">
        <f>SUM(D22:E22)</f>
        <v>50</v>
      </c>
    </row>
    <row r="23" spans="2:6" x14ac:dyDescent="0.25">
      <c r="B23" s="112">
        <v>54115</v>
      </c>
      <c r="C23" s="267" t="s">
        <v>269</v>
      </c>
      <c r="D23" s="117">
        <v>75</v>
      </c>
      <c r="E23" s="117">
        <v>0</v>
      </c>
      <c r="F23" s="117">
        <f>SUM(D23:E23)</f>
        <v>75</v>
      </c>
    </row>
    <row r="24" spans="2:6" x14ac:dyDescent="0.25">
      <c r="B24" s="94">
        <v>54199</v>
      </c>
      <c r="C24" s="116" t="s">
        <v>271</v>
      </c>
      <c r="D24" s="117">
        <v>100</v>
      </c>
      <c r="E24" s="117">
        <v>0</v>
      </c>
      <c r="F24" s="117">
        <f>SUM(D24:E24)</f>
        <v>100</v>
      </c>
    </row>
    <row r="25" spans="2:6" x14ac:dyDescent="0.25">
      <c r="B25" s="80">
        <v>544</v>
      </c>
      <c r="C25" s="103" t="s">
        <v>279</v>
      </c>
      <c r="D25" s="253">
        <f>SUM(D26:D26)</f>
        <v>100</v>
      </c>
      <c r="E25" s="253">
        <f>SUM(E26:E26)</f>
        <v>0</v>
      </c>
      <c r="F25" s="253">
        <f>SUM(F26:F26)</f>
        <v>100</v>
      </c>
    </row>
    <row r="26" spans="2:6" x14ac:dyDescent="0.25">
      <c r="B26" s="94">
        <v>54401</v>
      </c>
      <c r="C26" s="116" t="s">
        <v>280</v>
      </c>
      <c r="D26" s="117">
        <v>100</v>
      </c>
      <c r="E26" s="117">
        <v>0</v>
      </c>
      <c r="F26" s="117">
        <f>SUM(D26:E26)</f>
        <v>100</v>
      </c>
    </row>
    <row r="27" spans="2:6" x14ac:dyDescent="0.25">
      <c r="B27" s="85">
        <v>61</v>
      </c>
      <c r="C27" s="113" t="s">
        <v>143</v>
      </c>
      <c r="D27" s="114">
        <f>SUM(D28:D28)</f>
        <v>500</v>
      </c>
      <c r="E27" s="114">
        <f>SUM(E28:E28)</f>
        <v>0</v>
      </c>
      <c r="F27" s="114">
        <f>SUM(F28:F28)</f>
        <v>500</v>
      </c>
    </row>
    <row r="28" spans="2:6" x14ac:dyDescent="0.25">
      <c r="B28" s="101">
        <v>611</v>
      </c>
      <c r="C28" s="113" t="s">
        <v>296</v>
      </c>
      <c r="D28" s="114">
        <f>SUM(D29)</f>
        <v>500</v>
      </c>
      <c r="E28" s="114">
        <f t="shared" ref="E28:F28" si="0">SUM(E29)</f>
        <v>0</v>
      </c>
      <c r="F28" s="114">
        <f t="shared" si="0"/>
        <v>500</v>
      </c>
    </row>
    <row r="29" spans="2:6" x14ac:dyDescent="0.25">
      <c r="B29" s="115">
        <v>61101</v>
      </c>
      <c r="C29" s="116" t="s">
        <v>297</v>
      </c>
      <c r="D29" s="117">
        <v>500</v>
      </c>
      <c r="E29" s="117">
        <v>0</v>
      </c>
      <c r="F29" s="117">
        <f>SUM(D29:E29)</f>
        <v>500</v>
      </c>
    </row>
    <row r="30" spans="2:6" x14ac:dyDescent="0.25">
      <c r="B30" s="115"/>
      <c r="C30" s="116"/>
      <c r="D30" s="117"/>
      <c r="E30" s="117"/>
      <c r="F30" s="117"/>
    </row>
    <row r="31" spans="2:6" x14ac:dyDescent="0.25">
      <c r="B31" s="115"/>
      <c r="C31" s="113" t="s">
        <v>75</v>
      </c>
      <c r="D31" s="114">
        <f>D11+D19+D27</f>
        <v>18425</v>
      </c>
      <c r="E31" s="114">
        <f>E11+E19+E27</f>
        <v>4882.5</v>
      </c>
      <c r="F31" s="114">
        <f>SUM(D31:E31)</f>
        <v>23307.5</v>
      </c>
    </row>
    <row r="32" spans="2:6" x14ac:dyDescent="0.25">
      <c r="B32" s="115"/>
      <c r="C32" s="116"/>
      <c r="D32" s="117"/>
      <c r="E32" s="117"/>
      <c r="F32" s="117"/>
    </row>
    <row r="33" spans="2:6" x14ac:dyDescent="0.25">
      <c r="B33" s="101"/>
      <c r="C33" s="113" t="s">
        <v>65</v>
      </c>
      <c r="D33" s="114">
        <f>SUM(D11+D19+D27)</f>
        <v>18425</v>
      </c>
      <c r="E33" s="114">
        <f>SUM(E11+E19+E27)</f>
        <v>4882.5</v>
      </c>
      <c r="F33" s="114">
        <f>SUM(F11+F19+F27)</f>
        <v>23307.5</v>
      </c>
    </row>
    <row r="34" spans="2:6" x14ac:dyDescent="0.25">
      <c r="B34" s="101"/>
      <c r="C34" s="113" t="s">
        <v>66</v>
      </c>
      <c r="D34" s="114">
        <f>SUM(D12+D15+D17+D20+D25+D28)</f>
        <v>18425</v>
      </c>
      <c r="E34" s="114">
        <f>SUM(E12+E15+E17+E20+E25+E28)</f>
        <v>4882.5</v>
      </c>
      <c r="F34" s="114">
        <f>SUM(F12+F15+F17+F20+F25+F28)</f>
        <v>23307.5</v>
      </c>
    </row>
    <row r="35" spans="2:6" x14ac:dyDescent="0.25">
      <c r="B35" s="101"/>
      <c r="C35" s="113" t="s">
        <v>67</v>
      </c>
      <c r="D35" s="114">
        <f>SUM(D13+D14+D16+D18+D21+D22+D23+D24+D26+D29)</f>
        <v>18425</v>
      </c>
      <c r="E35" s="114">
        <f>SUM(E13+E14+E16+E18+E21+E22+E23+E24+E26+E29)</f>
        <v>4882.5</v>
      </c>
      <c r="F35" s="114">
        <f>SUM(F13+F14+F16+F18+F21+F22+F23+F24+F26+F29)</f>
        <v>23307.5</v>
      </c>
    </row>
    <row r="36" spans="2:6" x14ac:dyDescent="0.25">
      <c r="C36" s="45"/>
      <c r="D36" s="45"/>
      <c r="E36" s="45"/>
      <c r="F36" s="45"/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38"/>
  <sheetViews>
    <sheetView workbookViewId="0">
      <pane ySplit="10" topLeftCell="A11" activePane="bottomLeft" state="frozen"/>
      <selection pane="bottomLeft" activeCell="J22" sqref="J22"/>
    </sheetView>
  </sheetViews>
  <sheetFormatPr baseColWidth="10" defaultRowHeight="15" x14ac:dyDescent="0.25"/>
  <cols>
    <col min="1" max="1" width="11.42578125" style="75"/>
    <col min="2" max="2" width="9.85546875" style="75" customWidth="1"/>
    <col min="3" max="3" width="44.7109375" style="75" customWidth="1"/>
    <col min="4" max="4" width="14" style="75" customWidth="1"/>
    <col min="5" max="5" width="16.42578125" style="75" customWidth="1"/>
    <col min="6" max="16384" width="11.42578125" style="75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240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3" t="s">
        <v>319</v>
      </c>
      <c r="C7" s="403"/>
      <c r="D7" s="403"/>
      <c r="E7" s="403"/>
      <c r="F7" s="403"/>
    </row>
    <row r="8" spans="2:6" ht="15.75" thickBot="1" x14ac:dyDescent="0.3">
      <c r="B8" s="34"/>
      <c r="C8" s="34"/>
      <c r="D8" s="34"/>
      <c r="E8" s="35"/>
      <c r="F8" s="34"/>
    </row>
    <row r="9" spans="2:6" x14ac:dyDescent="0.25">
      <c r="B9" s="396" t="s">
        <v>243</v>
      </c>
      <c r="C9" s="411" t="s">
        <v>244</v>
      </c>
      <c r="D9" s="248" t="s">
        <v>245</v>
      </c>
      <c r="E9" s="250" t="s">
        <v>246</v>
      </c>
      <c r="F9" s="411" t="s">
        <v>0</v>
      </c>
    </row>
    <row r="10" spans="2:6" ht="15.75" thickBot="1" x14ac:dyDescent="0.3">
      <c r="B10" s="397"/>
      <c r="C10" s="412"/>
      <c r="D10" s="249" t="s">
        <v>247</v>
      </c>
      <c r="E10" s="251" t="s">
        <v>248</v>
      </c>
      <c r="F10" s="412"/>
    </row>
    <row r="11" spans="2:6" x14ac:dyDescent="0.25">
      <c r="B11" s="80">
        <v>51</v>
      </c>
      <c r="C11" s="261" t="s">
        <v>140</v>
      </c>
      <c r="D11" s="262">
        <f>SUM(D12+D15+D17)</f>
        <v>18559</v>
      </c>
      <c r="E11" s="262">
        <f>SUM(E12+E15+E17)</f>
        <v>10044</v>
      </c>
      <c r="F11" s="262">
        <f>SUM(F12+F15+F17)</f>
        <v>28603</v>
      </c>
    </row>
    <row r="12" spans="2:6" x14ac:dyDescent="0.25">
      <c r="B12" s="85">
        <v>511</v>
      </c>
      <c r="C12" s="263" t="s">
        <v>249</v>
      </c>
      <c r="D12" s="257">
        <f>SUM(D13:D14)</f>
        <v>16180</v>
      </c>
      <c r="E12" s="257">
        <f>SUM(E13:E14)</f>
        <v>8640</v>
      </c>
      <c r="F12" s="257">
        <f>SUM(F13:F14)</f>
        <v>24820</v>
      </c>
    </row>
    <row r="13" spans="2:6" x14ac:dyDescent="0.25">
      <c r="B13" s="88">
        <v>51101</v>
      </c>
      <c r="C13" s="264" t="s">
        <v>250</v>
      </c>
      <c r="D13" s="260">
        <v>14640</v>
      </c>
      <c r="E13" s="260">
        <v>8640</v>
      </c>
      <c r="F13" s="260">
        <f>+D13+E13</f>
        <v>23280</v>
      </c>
    </row>
    <row r="14" spans="2:6" x14ac:dyDescent="0.25">
      <c r="B14" s="88">
        <v>51103</v>
      </c>
      <c r="C14" s="259" t="s">
        <v>251</v>
      </c>
      <c r="D14" s="260">
        <v>1540</v>
      </c>
      <c r="E14" s="260">
        <v>0</v>
      </c>
      <c r="F14" s="260">
        <f>SUM(D14:E14)</f>
        <v>1540</v>
      </c>
    </row>
    <row r="15" spans="2:6" x14ac:dyDescent="0.25">
      <c r="B15" s="85">
        <v>514</v>
      </c>
      <c r="C15" s="261" t="s">
        <v>254</v>
      </c>
      <c r="D15" s="257">
        <f>SUM(D16:D16)</f>
        <v>1244.4000000000001</v>
      </c>
      <c r="E15" s="257">
        <f>SUM(E16:E16)</f>
        <v>734.4</v>
      </c>
      <c r="F15" s="257">
        <f>SUM(F16:F16)</f>
        <v>1978.8000000000002</v>
      </c>
    </row>
    <row r="16" spans="2:6" x14ac:dyDescent="0.25">
      <c r="B16" s="94">
        <v>51401</v>
      </c>
      <c r="C16" s="259" t="s">
        <v>255</v>
      </c>
      <c r="D16" s="260">
        <v>1244.4000000000001</v>
      </c>
      <c r="E16" s="260">
        <v>734.4</v>
      </c>
      <c r="F16" s="260">
        <f>SUM(D16:E16)</f>
        <v>1978.8000000000002</v>
      </c>
    </row>
    <row r="17" spans="2:6" x14ac:dyDescent="0.25">
      <c r="B17" s="85">
        <v>515</v>
      </c>
      <c r="C17" s="256" t="s">
        <v>256</v>
      </c>
      <c r="D17" s="257">
        <f>SUM(D18:D18)</f>
        <v>1134.5999999999999</v>
      </c>
      <c r="E17" s="257">
        <f>SUM(E18:E18)</f>
        <v>669.6</v>
      </c>
      <c r="F17" s="257">
        <f>SUM(F18:F18)</f>
        <v>1804.1999999999998</v>
      </c>
    </row>
    <row r="18" spans="2:6" x14ac:dyDescent="0.25">
      <c r="B18" s="94">
        <v>51501</v>
      </c>
      <c r="C18" s="259" t="s">
        <v>255</v>
      </c>
      <c r="D18" s="260">
        <v>1134.5999999999999</v>
      </c>
      <c r="E18" s="260">
        <v>669.6</v>
      </c>
      <c r="F18" s="260">
        <f>SUM(D18:E18)</f>
        <v>1804.1999999999998</v>
      </c>
    </row>
    <row r="19" spans="2:6" x14ac:dyDescent="0.25">
      <c r="B19" s="85">
        <v>54</v>
      </c>
      <c r="C19" s="256" t="s">
        <v>301</v>
      </c>
      <c r="D19" s="257">
        <f>SUM(D20+D25+D27)</f>
        <v>2730</v>
      </c>
      <c r="E19" s="257">
        <f t="shared" ref="E19" si="0">SUM(E20+E25+E27)</f>
        <v>0</v>
      </c>
      <c r="F19" s="257">
        <f>SUM(F20+F25+F27)</f>
        <v>2730</v>
      </c>
    </row>
    <row r="20" spans="2:6" x14ac:dyDescent="0.25">
      <c r="B20" s="85">
        <v>541</v>
      </c>
      <c r="C20" s="256" t="s">
        <v>260</v>
      </c>
      <c r="D20" s="257">
        <f>SUM(D21:D24)</f>
        <v>2130</v>
      </c>
      <c r="E20" s="257">
        <f>SUM(E21:E24)</f>
        <v>0</v>
      </c>
      <c r="F20" s="257">
        <f>SUM(F21:F24)</f>
        <v>2130</v>
      </c>
    </row>
    <row r="21" spans="2:6" x14ac:dyDescent="0.25">
      <c r="B21" s="94">
        <v>54105</v>
      </c>
      <c r="C21" s="259" t="s">
        <v>264</v>
      </c>
      <c r="D21" s="260">
        <v>1000</v>
      </c>
      <c r="E21" s="260">
        <v>0</v>
      </c>
      <c r="F21" s="260">
        <f>SUM(D21:E21)</f>
        <v>1000</v>
      </c>
    </row>
    <row r="22" spans="2:6" x14ac:dyDescent="0.25">
      <c r="B22" s="94">
        <v>54114</v>
      </c>
      <c r="C22" s="259" t="s">
        <v>268</v>
      </c>
      <c r="D22" s="260">
        <v>500</v>
      </c>
      <c r="E22" s="260">
        <v>0</v>
      </c>
      <c r="F22" s="260">
        <f>SUM(D22:E22)</f>
        <v>500</v>
      </c>
    </row>
    <row r="23" spans="2:6" x14ac:dyDescent="0.25">
      <c r="B23" s="94">
        <v>54115</v>
      </c>
      <c r="C23" s="259" t="s">
        <v>269</v>
      </c>
      <c r="D23" s="260">
        <v>600</v>
      </c>
      <c r="E23" s="260">
        <v>0</v>
      </c>
      <c r="F23" s="260">
        <f>SUM(D23:E23)</f>
        <v>600</v>
      </c>
    </row>
    <row r="24" spans="2:6" x14ac:dyDescent="0.25">
      <c r="B24" s="94">
        <v>54116</v>
      </c>
      <c r="C24" s="259" t="s">
        <v>320</v>
      </c>
      <c r="D24" s="260">
        <v>30</v>
      </c>
      <c r="E24" s="260">
        <v>0</v>
      </c>
      <c r="F24" s="260">
        <f>SUM(D24:E24)</f>
        <v>30</v>
      </c>
    </row>
    <row r="25" spans="2:6" x14ac:dyDescent="0.25">
      <c r="B25" s="85">
        <v>543</v>
      </c>
      <c r="C25" s="256" t="s">
        <v>272</v>
      </c>
      <c r="D25" s="257">
        <f>SUM(D26:D26)</f>
        <v>100</v>
      </c>
      <c r="E25" s="257">
        <f>SUM(E26:E26)</f>
        <v>0</v>
      </c>
      <c r="F25" s="257">
        <f>SUM(F26:F26)</f>
        <v>100</v>
      </c>
    </row>
    <row r="26" spans="2:6" x14ac:dyDescent="0.25">
      <c r="B26" s="94">
        <v>54313</v>
      </c>
      <c r="C26" s="259" t="s">
        <v>276</v>
      </c>
      <c r="D26" s="260">
        <v>100</v>
      </c>
      <c r="E26" s="260"/>
      <c r="F26" s="260">
        <f>SUM(D26:E26)</f>
        <v>100</v>
      </c>
    </row>
    <row r="27" spans="2:6" x14ac:dyDescent="0.25">
      <c r="B27" s="85">
        <v>545</v>
      </c>
      <c r="C27" s="256" t="s">
        <v>283</v>
      </c>
      <c r="D27" s="257">
        <f>SUM(D28:D28)</f>
        <v>500</v>
      </c>
      <c r="E27" s="257">
        <f>SUM(E28:E28)</f>
        <v>0</v>
      </c>
      <c r="F27" s="257">
        <f>SUM(F28:F28)</f>
        <v>500</v>
      </c>
    </row>
    <row r="28" spans="2:6" x14ac:dyDescent="0.25">
      <c r="B28" s="94">
        <v>54503</v>
      </c>
      <c r="C28" s="259" t="s">
        <v>316</v>
      </c>
      <c r="D28" s="260">
        <v>500</v>
      </c>
      <c r="E28" s="260"/>
      <c r="F28" s="260">
        <f>SUM(D28:E28)</f>
        <v>500</v>
      </c>
    </row>
    <row r="29" spans="2:6" x14ac:dyDescent="0.25">
      <c r="B29" s="85">
        <v>61</v>
      </c>
      <c r="C29" s="256" t="s">
        <v>143</v>
      </c>
      <c r="D29" s="257">
        <f t="shared" ref="D29:F29" si="1">SUM(D30:D30)</f>
        <v>1600</v>
      </c>
      <c r="E29" s="257">
        <f t="shared" si="1"/>
        <v>0</v>
      </c>
      <c r="F29" s="257">
        <f t="shared" si="1"/>
        <v>1600</v>
      </c>
    </row>
    <row r="30" spans="2:6" x14ac:dyDescent="0.25">
      <c r="B30" s="85">
        <v>611</v>
      </c>
      <c r="C30" s="256" t="s">
        <v>296</v>
      </c>
      <c r="D30" s="257">
        <f>SUM(D31:D33)</f>
        <v>1600</v>
      </c>
      <c r="E30" s="257">
        <f>SUM(E31:E33)</f>
        <v>0</v>
      </c>
      <c r="F30" s="257">
        <f>SUM(F31:F33)</f>
        <v>1600</v>
      </c>
    </row>
    <row r="31" spans="2:6" x14ac:dyDescent="0.25">
      <c r="B31" s="94">
        <v>61101</v>
      </c>
      <c r="C31" s="259" t="s">
        <v>321</v>
      </c>
      <c r="D31" s="260">
        <v>600</v>
      </c>
      <c r="E31" s="260"/>
      <c r="F31" s="260">
        <f>SUM(D31:E31)</f>
        <v>600</v>
      </c>
    </row>
    <row r="32" spans="2:6" x14ac:dyDescent="0.25">
      <c r="B32" s="94">
        <v>61104</v>
      </c>
      <c r="C32" s="259" t="s">
        <v>372</v>
      </c>
      <c r="D32" s="260">
        <v>1000</v>
      </c>
      <c r="E32" s="260"/>
      <c r="F32" s="260">
        <f>SUM(D32:E32)</f>
        <v>1000</v>
      </c>
    </row>
    <row r="33" spans="2:6" x14ac:dyDescent="0.25">
      <c r="B33" s="94"/>
      <c r="C33" s="259"/>
      <c r="D33" s="260"/>
      <c r="E33" s="260"/>
      <c r="F33" s="260"/>
    </row>
    <row r="34" spans="2:6" x14ac:dyDescent="0.25">
      <c r="B34" s="94"/>
      <c r="C34" s="256" t="s">
        <v>75</v>
      </c>
      <c r="D34" s="257">
        <f>SUM(D11+D19+D29)</f>
        <v>22889</v>
      </c>
      <c r="E34" s="257">
        <f>SUM(E11+E19+E29)</f>
        <v>10044</v>
      </c>
      <c r="F34" s="257">
        <f>SUM(D34:E34)</f>
        <v>32933</v>
      </c>
    </row>
    <row r="35" spans="2:6" x14ac:dyDescent="0.25">
      <c r="B35" s="94"/>
      <c r="C35" s="259"/>
      <c r="D35" s="260"/>
      <c r="E35" s="260"/>
      <c r="F35" s="260"/>
    </row>
    <row r="36" spans="2:6" x14ac:dyDescent="0.25">
      <c r="B36" s="85"/>
      <c r="C36" s="256" t="s">
        <v>65</v>
      </c>
      <c r="D36" s="257">
        <f>SUM(D11+D19+D29)</f>
        <v>22889</v>
      </c>
      <c r="E36" s="257">
        <f>SUM(E11+E19+E29)</f>
        <v>10044</v>
      </c>
      <c r="F36" s="257">
        <f>SUM(F11+F19+F29)</f>
        <v>32933</v>
      </c>
    </row>
    <row r="37" spans="2:6" x14ac:dyDescent="0.25">
      <c r="B37" s="85"/>
      <c r="C37" s="256" t="s">
        <v>66</v>
      </c>
      <c r="D37" s="257">
        <f>SUM(D12+D15+D17+D20+D25+D27+D30)</f>
        <v>22889</v>
      </c>
      <c r="E37" s="257">
        <f>SUM(E12+E15+E17+E20+E25+E27+E30)</f>
        <v>10044</v>
      </c>
      <c r="F37" s="257">
        <f>SUM(F12+F15+F17+F20+F25+F27+F30)</f>
        <v>32933</v>
      </c>
    </row>
    <row r="38" spans="2:6" x14ac:dyDescent="0.25">
      <c r="B38" s="85"/>
      <c r="C38" s="256" t="s">
        <v>67</v>
      </c>
      <c r="D38" s="257">
        <f>SUM(D13+D14+D16+D18+D21+D22+D23+D24+D26+D28+D31+D32)</f>
        <v>22889</v>
      </c>
      <c r="E38" s="257">
        <f>SUM(E13+E14+E16+E18+E21+E22+E23+E24+E26+E28+E31)</f>
        <v>10044</v>
      </c>
      <c r="F38" s="257">
        <f>SUM(F13+F14+F16+F18+F21+F22+F23+F24+F26+F28+F31+F32)</f>
        <v>32933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G38"/>
  <sheetViews>
    <sheetView workbookViewId="0">
      <pane ySplit="10" topLeftCell="A32" activePane="bottomLeft" state="frozen"/>
      <selection pane="bottomLeft" activeCell="K17" sqref="K17"/>
    </sheetView>
  </sheetViews>
  <sheetFormatPr baseColWidth="10" defaultRowHeight="15" x14ac:dyDescent="0.25"/>
  <cols>
    <col min="1" max="1" width="5.28515625" style="33" customWidth="1"/>
    <col min="2" max="2" width="9.5703125" style="33" customWidth="1"/>
    <col min="3" max="3" width="45.5703125" style="33" customWidth="1"/>
    <col min="4" max="4" width="13.5703125" style="33" customWidth="1"/>
    <col min="5" max="5" width="16.5703125" style="33" customWidth="1"/>
    <col min="6" max="6" width="12.85546875" style="33" customWidth="1"/>
    <col min="7" max="16384" width="11.42578125" style="33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240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4" t="s">
        <v>322</v>
      </c>
      <c r="C7" s="404"/>
      <c r="D7" s="404"/>
      <c r="E7" s="404"/>
      <c r="F7" s="404"/>
    </row>
    <row r="8" spans="2:6" ht="15.75" thickBot="1" x14ac:dyDescent="0.3">
      <c r="B8" s="34"/>
      <c r="C8" s="34"/>
      <c r="D8" s="34"/>
      <c r="E8" s="35"/>
      <c r="F8" s="34"/>
    </row>
    <row r="9" spans="2:6" x14ac:dyDescent="0.25">
      <c r="B9" s="396" t="s">
        <v>243</v>
      </c>
      <c r="C9" s="398" t="s">
        <v>244</v>
      </c>
      <c r="D9" s="76" t="s">
        <v>245</v>
      </c>
      <c r="E9" s="77" t="s">
        <v>246</v>
      </c>
      <c r="F9" s="417" t="s">
        <v>0</v>
      </c>
    </row>
    <row r="10" spans="2:6" ht="15.75" thickBot="1" x14ac:dyDescent="0.3">
      <c r="B10" s="397"/>
      <c r="C10" s="399"/>
      <c r="D10" s="78" t="s">
        <v>247</v>
      </c>
      <c r="E10" s="79" t="s">
        <v>248</v>
      </c>
      <c r="F10" s="418"/>
    </row>
    <row r="11" spans="2:6" x14ac:dyDescent="0.25">
      <c r="B11" s="80">
        <v>51</v>
      </c>
      <c r="C11" s="110" t="s">
        <v>140</v>
      </c>
      <c r="D11" s="104">
        <f>SUM(D12+D15+D17)</f>
        <v>6830</v>
      </c>
      <c r="E11" s="104">
        <f>SUM(E12+E15+E17)</f>
        <v>4650</v>
      </c>
      <c r="F11" s="104">
        <f>SUM(F12+F15+F17)</f>
        <v>11480</v>
      </c>
    </row>
    <row r="12" spans="2:6" x14ac:dyDescent="0.25">
      <c r="B12" s="85">
        <v>511</v>
      </c>
      <c r="C12" s="118" t="s">
        <v>249</v>
      </c>
      <c r="D12" s="106">
        <f>SUM(D13:D14)</f>
        <v>6050</v>
      </c>
      <c r="E12" s="106">
        <f>SUM(E13:E14)</f>
        <v>4000</v>
      </c>
      <c r="F12" s="106">
        <f>SUM(F13:F14)</f>
        <v>10050</v>
      </c>
    </row>
    <row r="13" spans="2:6" x14ac:dyDescent="0.25">
      <c r="B13" s="88">
        <v>51101</v>
      </c>
      <c r="C13" s="107" t="s">
        <v>250</v>
      </c>
      <c r="D13" s="108">
        <v>5600</v>
      </c>
      <c r="E13" s="108">
        <v>4000</v>
      </c>
      <c r="F13" s="108">
        <f>SUM(D13:E13)</f>
        <v>9600</v>
      </c>
    </row>
    <row r="14" spans="2:6" x14ac:dyDescent="0.25">
      <c r="B14" s="88">
        <v>51103</v>
      </c>
      <c r="C14" s="109" t="s">
        <v>251</v>
      </c>
      <c r="D14" s="108">
        <v>450</v>
      </c>
      <c r="E14" s="108">
        <v>0</v>
      </c>
      <c r="F14" s="108">
        <f>SUM(D14:E14)</f>
        <v>450</v>
      </c>
    </row>
    <row r="15" spans="2:6" x14ac:dyDescent="0.25">
      <c r="B15" s="85">
        <v>514</v>
      </c>
      <c r="C15" s="110" t="s">
        <v>254</v>
      </c>
      <c r="D15" s="106">
        <f>SUM(D16:D16)</f>
        <v>408</v>
      </c>
      <c r="E15" s="106">
        <f>SUM(E16:E16)</f>
        <v>340</v>
      </c>
      <c r="F15" s="106">
        <f>SUM(F16:F16)</f>
        <v>748</v>
      </c>
    </row>
    <row r="16" spans="2:6" x14ac:dyDescent="0.25">
      <c r="B16" s="94">
        <v>51401</v>
      </c>
      <c r="C16" s="109" t="s">
        <v>255</v>
      </c>
      <c r="D16" s="108">
        <v>408</v>
      </c>
      <c r="E16" s="108">
        <v>340</v>
      </c>
      <c r="F16" s="108">
        <f>SUM(D16:E16)</f>
        <v>748</v>
      </c>
    </row>
    <row r="17" spans="2:7" x14ac:dyDescent="0.25">
      <c r="B17" s="85">
        <v>515</v>
      </c>
      <c r="C17" s="111" t="s">
        <v>256</v>
      </c>
      <c r="D17" s="106">
        <f>SUM(D18:D18)</f>
        <v>372</v>
      </c>
      <c r="E17" s="106">
        <f>SUM(E18:E18)</f>
        <v>310</v>
      </c>
      <c r="F17" s="106">
        <f>SUM(F18:F18)</f>
        <v>682</v>
      </c>
    </row>
    <row r="18" spans="2:7" x14ac:dyDescent="0.25">
      <c r="B18" s="94">
        <v>51501</v>
      </c>
      <c r="C18" s="109" t="s">
        <v>255</v>
      </c>
      <c r="D18" s="108">
        <v>372</v>
      </c>
      <c r="E18" s="108">
        <v>310</v>
      </c>
      <c r="F18" s="108">
        <f>SUM(D18:E18)</f>
        <v>682</v>
      </c>
    </row>
    <row r="19" spans="2:7" x14ac:dyDescent="0.25">
      <c r="B19" s="85">
        <v>54</v>
      </c>
      <c r="C19" s="111" t="s">
        <v>301</v>
      </c>
      <c r="D19" s="106">
        <f>SUM(D20+D25+D27)</f>
        <v>2210</v>
      </c>
      <c r="E19" s="106">
        <f t="shared" ref="E19:F19" si="0">SUM(E20+E25+E27)</f>
        <v>0</v>
      </c>
      <c r="F19" s="106">
        <f t="shared" si="0"/>
        <v>2210</v>
      </c>
    </row>
    <row r="20" spans="2:7" x14ac:dyDescent="0.25">
      <c r="B20" s="85">
        <v>541</v>
      </c>
      <c r="C20" s="111" t="s">
        <v>260</v>
      </c>
      <c r="D20" s="106">
        <f>SUM(D21:D24)</f>
        <v>635</v>
      </c>
      <c r="E20" s="106">
        <f>SUM(E21:E24)</f>
        <v>0</v>
      </c>
      <c r="F20" s="106">
        <f>SUM(F21:F24)</f>
        <v>635</v>
      </c>
    </row>
    <row r="21" spans="2:7" x14ac:dyDescent="0.25">
      <c r="B21" s="94">
        <v>54105</v>
      </c>
      <c r="C21" s="109" t="s">
        <v>264</v>
      </c>
      <c r="D21" s="108">
        <v>200</v>
      </c>
      <c r="E21" s="108">
        <v>0</v>
      </c>
      <c r="F21" s="108">
        <f>SUM(D21:E21)</f>
        <v>200</v>
      </c>
    </row>
    <row r="22" spans="2:7" x14ac:dyDescent="0.25">
      <c r="B22" s="94">
        <v>54114</v>
      </c>
      <c r="C22" s="109" t="s">
        <v>268</v>
      </c>
      <c r="D22" s="108">
        <v>75</v>
      </c>
      <c r="E22" s="108">
        <v>0</v>
      </c>
      <c r="F22" s="108">
        <f>SUM(D22:E22)</f>
        <v>75</v>
      </c>
    </row>
    <row r="23" spans="2:7" x14ac:dyDescent="0.25">
      <c r="B23" s="94">
        <v>54199</v>
      </c>
      <c r="C23" s="109" t="s">
        <v>271</v>
      </c>
      <c r="D23" s="108">
        <v>60</v>
      </c>
      <c r="E23" s="108">
        <v>0</v>
      </c>
      <c r="F23" s="108">
        <f>SUM(D23:E23)</f>
        <v>60</v>
      </c>
    </row>
    <row r="24" spans="2:7" x14ac:dyDescent="0.25">
      <c r="B24" s="115">
        <v>54199</v>
      </c>
      <c r="C24" s="116" t="s">
        <v>271</v>
      </c>
      <c r="D24" s="117">
        <v>300</v>
      </c>
      <c r="E24" s="117">
        <v>0</v>
      </c>
      <c r="F24" s="117">
        <f>SUM(D24:E24)</f>
        <v>300</v>
      </c>
    </row>
    <row r="25" spans="2:7" x14ac:dyDescent="0.25">
      <c r="B25" s="80">
        <v>544</v>
      </c>
      <c r="C25" s="110" t="s">
        <v>279</v>
      </c>
      <c r="D25" s="104">
        <f>SUM(D26:D26)</f>
        <v>75</v>
      </c>
      <c r="E25" s="104">
        <f>SUM(E26:E26)</f>
        <v>0</v>
      </c>
      <c r="F25" s="104">
        <f>SUM(F26:F26)</f>
        <v>75</v>
      </c>
    </row>
    <row r="26" spans="2:7" x14ac:dyDescent="0.25">
      <c r="B26" s="94">
        <v>54401</v>
      </c>
      <c r="C26" s="109" t="s">
        <v>280</v>
      </c>
      <c r="D26" s="108">
        <v>75</v>
      </c>
      <c r="E26" s="108"/>
      <c r="F26" s="108">
        <f>SUM(D26:E26)</f>
        <v>75</v>
      </c>
    </row>
    <row r="27" spans="2:7" x14ac:dyDescent="0.25">
      <c r="B27" s="85">
        <v>545</v>
      </c>
      <c r="C27" s="111" t="s">
        <v>323</v>
      </c>
      <c r="D27" s="106">
        <f>SUM(D28:D28)</f>
        <v>1500</v>
      </c>
      <c r="E27" s="106">
        <f>SUM(E28:E28)</f>
        <v>0</v>
      </c>
      <c r="F27" s="106">
        <f>SUM(F28:F28)</f>
        <v>1500</v>
      </c>
    </row>
    <row r="28" spans="2:7" x14ac:dyDescent="0.25">
      <c r="B28" s="94">
        <v>54503</v>
      </c>
      <c r="C28" s="109" t="s">
        <v>316</v>
      </c>
      <c r="D28" s="108">
        <v>1500</v>
      </c>
      <c r="E28" s="108"/>
      <c r="F28" s="108">
        <f>SUM(D28:E28)</f>
        <v>1500</v>
      </c>
    </row>
    <row r="29" spans="2:7" x14ac:dyDescent="0.25">
      <c r="B29" s="85">
        <v>61</v>
      </c>
      <c r="C29" s="113" t="s">
        <v>295</v>
      </c>
      <c r="D29" s="114">
        <f>SUM(D30)</f>
        <v>500</v>
      </c>
      <c r="E29" s="114">
        <f t="shared" ref="E29" si="1">SUM(E30)</f>
        <v>0</v>
      </c>
      <c r="F29" s="114">
        <f>SUM(F30)</f>
        <v>500</v>
      </c>
      <c r="G29" s="45"/>
    </row>
    <row r="30" spans="2:7" x14ac:dyDescent="0.25">
      <c r="B30" s="85">
        <v>611</v>
      </c>
      <c r="C30" s="113" t="s">
        <v>296</v>
      </c>
      <c r="D30" s="114">
        <f>SUM(D31:D33)</f>
        <v>500</v>
      </c>
      <c r="E30" s="114">
        <f>SUM(E31:E33)</f>
        <v>0</v>
      </c>
      <c r="F30" s="114">
        <f>SUM(F31:F33)</f>
        <v>500</v>
      </c>
      <c r="G30" s="45"/>
    </row>
    <row r="31" spans="2:7" x14ac:dyDescent="0.25">
      <c r="B31" s="94">
        <v>61101</v>
      </c>
      <c r="C31" s="116" t="s">
        <v>297</v>
      </c>
      <c r="D31" s="117">
        <v>300</v>
      </c>
      <c r="E31" s="117">
        <v>0</v>
      </c>
      <c r="F31" s="117">
        <f>SUM(D31:E31)</f>
        <v>300</v>
      </c>
      <c r="G31" s="45"/>
    </row>
    <row r="32" spans="2:7" x14ac:dyDescent="0.25">
      <c r="B32" s="115">
        <v>61104</v>
      </c>
      <c r="C32" s="116" t="s">
        <v>337</v>
      </c>
      <c r="D32" s="117">
        <v>200</v>
      </c>
      <c r="E32" s="117">
        <v>0</v>
      </c>
      <c r="F32" s="117">
        <f>SUM(D32:E32)</f>
        <v>200</v>
      </c>
      <c r="G32" s="45"/>
    </row>
    <row r="33" spans="2:7" x14ac:dyDescent="0.25">
      <c r="B33" s="94"/>
      <c r="C33" s="116"/>
      <c r="D33" s="117"/>
      <c r="E33" s="117"/>
      <c r="F33" s="117"/>
      <c r="G33" s="45"/>
    </row>
    <row r="34" spans="2:7" x14ac:dyDescent="0.25">
      <c r="B34" s="94"/>
      <c r="C34" s="113" t="s">
        <v>75</v>
      </c>
      <c r="D34" s="114">
        <f>SUM(D11+D19+D29)</f>
        <v>9540</v>
      </c>
      <c r="E34" s="114">
        <f>SUM(E11+E19+E29)</f>
        <v>4650</v>
      </c>
      <c r="F34" s="114">
        <f>SUM(D34:E34)</f>
        <v>14190</v>
      </c>
      <c r="G34" s="45"/>
    </row>
    <row r="35" spans="2:7" x14ac:dyDescent="0.25">
      <c r="B35" s="94"/>
      <c r="C35" s="116"/>
      <c r="D35" s="117"/>
      <c r="E35" s="117"/>
      <c r="F35" s="117"/>
      <c r="G35" s="45"/>
    </row>
    <row r="36" spans="2:7" x14ac:dyDescent="0.25">
      <c r="B36" s="85"/>
      <c r="C36" s="268" t="s">
        <v>65</v>
      </c>
      <c r="D36" s="269">
        <f>SUM(D11++D19+D29)</f>
        <v>9540</v>
      </c>
      <c r="E36" s="269">
        <f>SUM(E11++E19+E29)</f>
        <v>4650</v>
      </c>
      <c r="F36" s="269">
        <f>SUM(F11++F19+F29)</f>
        <v>14190</v>
      </c>
      <c r="G36" s="45"/>
    </row>
    <row r="37" spans="2:7" x14ac:dyDescent="0.25">
      <c r="B37" s="85"/>
      <c r="C37" s="268" t="s">
        <v>66</v>
      </c>
      <c r="D37" s="269">
        <f>SUM(D12+D15+D17+D20+D25+D27+D30)</f>
        <v>9540</v>
      </c>
      <c r="E37" s="269">
        <f>SUM(E12+E15+E17+E20+E25+E27+E31)</f>
        <v>4650</v>
      </c>
      <c r="F37" s="269">
        <f>SUM(F12+F15+F17+F20+F25+F27+F30)</f>
        <v>14190</v>
      </c>
      <c r="G37" s="45"/>
    </row>
    <row r="38" spans="2:7" x14ac:dyDescent="0.25">
      <c r="B38" s="85"/>
      <c r="C38" s="268" t="s">
        <v>67</v>
      </c>
      <c r="D38" s="269">
        <f>SUM(D13+D14+D16+D18+D21+D22+D23+D24+D26+D28+D31+D32)</f>
        <v>9540</v>
      </c>
      <c r="E38" s="269">
        <f>SUM(E13+E14+E16+E18+E21+E22+E23+E26+E28+E31)</f>
        <v>4650</v>
      </c>
      <c r="F38" s="269">
        <f>SUM(F13+F14+F16+F18+F21+F22+F23+F24+F26+F28+F31+F32)</f>
        <v>14190</v>
      </c>
      <c r="G38" s="45"/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72"/>
  <sheetViews>
    <sheetView workbookViewId="0">
      <pane ySplit="7" topLeftCell="A47" activePane="bottomLeft" state="frozen"/>
      <selection pane="bottomLeft" activeCell="C84" sqref="C84"/>
    </sheetView>
  </sheetViews>
  <sheetFormatPr baseColWidth="10" defaultRowHeight="15.75" x14ac:dyDescent="0.25"/>
  <cols>
    <col min="1" max="1" width="10.140625" style="299" customWidth="1"/>
    <col min="2" max="2" width="12.5703125" style="299" customWidth="1"/>
    <col min="3" max="3" width="55.28515625" style="299" customWidth="1"/>
    <col min="4" max="4" width="18.85546875" style="299" customWidth="1"/>
    <col min="5" max="5" width="21.5703125" style="299" customWidth="1"/>
    <col min="6" max="6" width="22.5703125" style="299" customWidth="1"/>
    <col min="7" max="7" width="11.42578125" style="299"/>
    <col min="8" max="8" width="12" style="299" bestFit="1" customWidth="1"/>
    <col min="9" max="16384" width="11.42578125" style="299"/>
  </cols>
  <sheetData>
    <row r="1" spans="2:6" ht="16.5" thickBot="1" x14ac:dyDescent="0.3">
      <c r="B1" s="318"/>
      <c r="C1" s="319"/>
      <c r="D1" s="318"/>
      <c r="E1" s="318"/>
      <c r="F1" s="318"/>
    </row>
    <row r="2" spans="2:6" ht="17.25" thickTop="1" thickBot="1" x14ac:dyDescent="0.3">
      <c r="B2" s="369" t="s">
        <v>68</v>
      </c>
      <c r="C2" s="369"/>
      <c r="D2" s="369"/>
      <c r="E2" s="369"/>
      <c r="F2" s="370"/>
    </row>
    <row r="3" spans="2:6" ht="17.25" thickTop="1" thickBot="1" x14ac:dyDescent="0.3">
      <c r="B3" s="371" t="s">
        <v>69</v>
      </c>
      <c r="C3" s="369"/>
      <c r="D3" s="369"/>
      <c r="E3" s="369"/>
      <c r="F3" s="370"/>
    </row>
    <row r="4" spans="2:6" ht="17.25" thickTop="1" thickBot="1" x14ac:dyDescent="0.3">
      <c r="B4" s="371" t="s">
        <v>70</v>
      </c>
      <c r="C4" s="369"/>
      <c r="D4" s="369"/>
      <c r="E4" s="369"/>
      <c r="F4" s="370"/>
    </row>
    <row r="5" spans="2:6" ht="17.25" thickTop="1" thickBot="1" x14ac:dyDescent="0.3">
      <c r="B5" s="371" t="s">
        <v>136</v>
      </c>
      <c r="C5" s="369"/>
      <c r="D5" s="369"/>
      <c r="E5" s="369"/>
      <c r="F5" s="370"/>
    </row>
    <row r="6" spans="2:6" ht="16.5" thickTop="1" x14ac:dyDescent="0.25">
      <c r="B6" s="191"/>
      <c r="C6" s="192"/>
      <c r="D6" s="193"/>
      <c r="E6" s="193"/>
      <c r="F6" s="194"/>
    </row>
    <row r="7" spans="2:6" ht="42" customHeight="1" x14ac:dyDescent="0.25">
      <c r="B7" s="320" t="s">
        <v>71</v>
      </c>
      <c r="C7" s="320" t="s">
        <v>72</v>
      </c>
      <c r="D7" s="320" t="s">
        <v>73</v>
      </c>
      <c r="E7" s="320" t="s">
        <v>74</v>
      </c>
      <c r="F7" s="320" t="s">
        <v>75</v>
      </c>
    </row>
    <row r="8" spans="2:6" x14ac:dyDescent="0.25">
      <c r="B8" s="321">
        <v>11</v>
      </c>
      <c r="C8" s="322" t="s">
        <v>76</v>
      </c>
      <c r="D8" s="323"/>
      <c r="E8" s="324">
        <f>SUM(E9)</f>
        <v>70472.47</v>
      </c>
      <c r="F8" s="323"/>
    </row>
    <row r="9" spans="2:6" x14ac:dyDescent="0.25">
      <c r="B9" s="321">
        <v>118</v>
      </c>
      <c r="C9" s="322" t="s">
        <v>77</v>
      </c>
      <c r="D9" s="323"/>
      <c r="E9" s="324">
        <f>SUM(E10:E16)</f>
        <v>70472.47</v>
      </c>
      <c r="F9" s="323"/>
    </row>
    <row r="10" spans="2:6" x14ac:dyDescent="0.25">
      <c r="B10" s="325">
        <v>11801</v>
      </c>
      <c r="C10" s="326" t="s">
        <v>78</v>
      </c>
      <c r="D10" s="323"/>
      <c r="E10" s="327">
        <f>+'formato de ingresos'!P10</f>
        <v>10100</v>
      </c>
      <c r="F10" s="323"/>
    </row>
    <row r="11" spans="2:6" x14ac:dyDescent="0.25">
      <c r="B11" s="325">
        <v>11802</v>
      </c>
      <c r="C11" s="326" t="s">
        <v>79</v>
      </c>
      <c r="D11" s="323"/>
      <c r="E11" s="323">
        <f>+'formato de ingresos'!P11</f>
        <v>10800</v>
      </c>
      <c r="F11" s="323"/>
    </row>
    <row r="12" spans="2:6" x14ac:dyDescent="0.25">
      <c r="B12" s="325">
        <v>11804</v>
      </c>
      <c r="C12" s="326" t="s">
        <v>80</v>
      </c>
      <c r="D12" s="323"/>
      <c r="E12" s="323">
        <f>+'formato de ingresos'!P12</f>
        <v>46500</v>
      </c>
      <c r="F12" s="323"/>
    </row>
    <row r="13" spans="2:6" x14ac:dyDescent="0.25">
      <c r="B13" s="325">
        <v>11810</v>
      </c>
      <c r="C13" s="326" t="s">
        <v>81</v>
      </c>
      <c r="D13" s="323"/>
      <c r="E13" s="323">
        <f>+'formato de ingresos'!P13</f>
        <v>126</v>
      </c>
      <c r="F13" s="323"/>
    </row>
    <row r="14" spans="2:6" x14ac:dyDescent="0.25">
      <c r="B14" s="325">
        <v>11817</v>
      </c>
      <c r="C14" s="326" t="s">
        <v>35</v>
      </c>
      <c r="D14" s="323"/>
      <c r="E14" s="323">
        <f>+'formato de ingresos'!P14</f>
        <v>1200</v>
      </c>
      <c r="F14" s="323"/>
    </row>
    <row r="15" spans="2:6" x14ac:dyDescent="0.25">
      <c r="B15" s="325">
        <v>11818</v>
      </c>
      <c r="C15" s="326" t="s">
        <v>82</v>
      </c>
      <c r="D15" s="323"/>
      <c r="E15" s="323">
        <f>+'formato de ingresos'!P15</f>
        <v>1664.15</v>
      </c>
      <c r="F15" s="323"/>
    </row>
    <row r="16" spans="2:6" x14ac:dyDescent="0.25">
      <c r="B16" s="325">
        <v>11899</v>
      </c>
      <c r="C16" s="326" t="s">
        <v>83</v>
      </c>
      <c r="D16" s="323"/>
      <c r="E16" s="323">
        <f>+'formato de ingresos'!P16</f>
        <v>82.320000000000007</v>
      </c>
      <c r="F16" s="323"/>
    </row>
    <row r="17" spans="2:6" x14ac:dyDescent="0.25">
      <c r="B17" s="321">
        <v>12</v>
      </c>
      <c r="C17" s="322" t="s">
        <v>84</v>
      </c>
      <c r="D17" s="323"/>
      <c r="E17" s="324">
        <f>SUM(E18+E34)</f>
        <v>1103305.8899999999</v>
      </c>
      <c r="F17" s="323"/>
    </row>
    <row r="18" spans="2:6" x14ac:dyDescent="0.25">
      <c r="B18" s="321">
        <v>121</v>
      </c>
      <c r="C18" s="322" t="s">
        <v>85</v>
      </c>
      <c r="D18" s="323"/>
      <c r="E18" s="324">
        <f>SUM(E19:E33)</f>
        <v>1079905.8899999999</v>
      </c>
      <c r="F18" s="323"/>
    </row>
    <row r="19" spans="2:6" x14ac:dyDescent="0.25">
      <c r="B19" s="325">
        <v>12105</v>
      </c>
      <c r="C19" s="326" t="s">
        <v>86</v>
      </c>
      <c r="D19" s="323"/>
      <c r="E19" s="323">
        <f>+'formato de ingresos'!P19</f>
        <v>19297.599999999995</v>
      </c>
      <c r="F19" s="323"/>
    </row>
    <row r="20" spans="2:6" ht="15" customHeight="1" x14ac:dyDescent="0.25">
      <c r="B20" s="325">
        <v>12106</v>
      </c>
      <c r="C20" s="326" t="s">
        <v>87</v>
      </c>
      <c r="D20" s="323"/>
      <c r="E20" s="323">
        <f>+'formato de ingresos'!P20</f>
        <v>540</v>
      </c>
      <c r="F20" s="323"/>
    </row>
    <row r="21" spans="2:6" x14ac:dyDescent="0.25">
      <c r="B21" s="325">
        <v>12107</v>
      </c>
      <c r="C21" s="326" t="s">
        <v>88</v>
      </c>
      <c r="D21" s="323"/>
      <c r="E21" s="323">
        <f>+'formato de ingresos'!P21</f>
        <v>8000</v>
      </c>
      <c r="F21" s="323"/>
    </row>
    <row r="22" spans="2:6" x14ac:dyDescent="0.25">
      <c r="B22" s="325">
        <v>12108</v>
      </c>
      <c r="C22" s="326" t="s">
        <v>89</v>
      </c>
      <c r="D22" s="323"/>
      <c r="E22" s="323">
        <f>+'formato de ingresos'!P22</f>
        <v>64500</v>
      </c>
      <c r="F22" s="323"/>
    </row>
    <row r="23" spans="2:6" x14ac:dyDescent="0.25">
      <c r="B23" s="325">
        <v>1210901</v>
      </c>
      <c r="C23" s="326" t="s">
        <v>90</v>
      </c>
      <c r="D23" s="323"/>
      <c r="E23" s="323">
        <f>+'formato de ingresos'!P23</f>
        <v>359475</v>
      </c>
      <c r="F23" s="323"/>
    </row>
    <row r="24" spans="2:6" x14ac:dyDescent="0.25">
      <c r="B24" s="325">
        <v>1210902</v>
      </c>
      <c r="C24" s="326" t="s">
        <v>60</v>
      </c>
      <c r="D24" s="323"/>
      <c r="E24" s="323">
        <f>+'formato de ingresos'!P24</f>
        <v>15525</v>
      </c>
      <c r="F24" s="323"/>
    </row>
    <row r="25" spans="2:6" x14ac:dyDescent="0.25">
      <c r="B25" s="325">
        <v>1210903</v>
      </c>
      <c r="C25" s="326" t="s">
        <v>61</v>
      </c>
      <c r="D25" s="323"/>
      <c r="E25" s="323">
        <f>+'formato de ingresos'!P25</f>
        <v>1470</v>
      </c>
      <c r="F25" s="323"/>
    </row>
    <row r="26" spans="2:6" x14ac:dyDescent="0.25">
      <c r="B26" s="325">
        <v>12110</v>
      </c>
      <c r="C26" s="326" t="s">
        <v>91</v>
      </c>
      <c r="D26" s="323"/>
      <c r="E26" s="323">
        <f>+'formato de ingresos'!P26</f>
        <v>274.32000000000005</v>
      </c>
      <c r="F26" s="323"/>
    </row>
    <row r="27" spans="2:6" x14ac:dyDescent="0.25">
      <c r="B27" s="325">
        <v>12111</v>
      </c>
      <c r="C27" s="326" t="s">
        <v>92</v>
      </c>
      <c r="D27" s="323"/>
      <c r="E27" s="323">
        <f>+'formato de ingresos'!P27</f>
        <v>6900</v>
      </c>
      <c r="F27" s="323"/>
    </row>
    <row r="28" spans="2:6" x14ac:dyDescent="0.25">
      <c r="B28" s="325">
        <v>12112</v>
      </c>
      <c r="C28" s="326" t="s">
        <v>93</v>
      </c>
      <c r="D28" s="323"/>
      <c r="E28" s="323">
        <f>+'formato de ingresos'!P28</f>
        <v>105000</v>
      </c>
      <c r="F28" s="323"/>
    </row>
    <row r="29" spans="2:6" x14ac:dyDescent="0.25">
      <c r="B29" s="325">
        <v>12114</v>
      </c>
      <c r="C29" s="326" t="s">
        <v>94</v>
      </c>
      <c r="D29" s="323"/>
      <c r="E29" s="323">
        <f>+'formato de ingresos'!P29</f>
        <v>53939.97</v>
      </c>
      <c r="F29" s="323"/>
    </row>
    <row r="30" spans="2:6" x14ac:dyDescent="0.25">
      <c r="B30" s="325">
        <v>12115</v>
      </c>
      <c r="C30" s="326" t="s">
        <v>95</v>
      </c>
      <c r="D30" s="323"/>
      <c r="E30" s="323">
        <f>+'formato de ingresos'!P30</f>
        <v>5760</v>
      </c>
      <c r="F30" s="323"/>
    </row>
    <row r="31" spans="2:6" x14ac:dyDescent="0.25">
      <c r="B31" s="325">
        <v>12117</v>
      </c>
      <c r="C31" s="326" t="s">
        <v>96</v>
      </c>
      <c r="D31" s="323"/>
      <c r="E31" s="323">
        <f>+'formato de ingresos'!P31</f>
        <v>34800</v>
      </c>
      <c r="F31" s="323"/>
    </row>
    <row r="32" spans="2:6" x14ac:dyDescent="0.25">
      <c r="B32" s="325">
        <v>12118</v>
      </c>
      <c r="C32" s="326" t="s">
        <v>97</v>
      </c>
      <c r="D32" s="323"/>
      <c r="E32" s="323">
        <f>+'formato de ingresos'!P32</f>
        <v>403764</v>
      </c>
      <c r="F32" s="323"/>
    </row>
    <row r="33" spans="2:6" x14ac:dyDescent="0.25">
      <c r="B33" s="328">
        <v>12119</v>
      </c>
      <c r="C33" s="329" t="s">
        <v>18</v>
      </c>
      <c r="D33" s="323"/>
      <c r="E33" s="323">
        <f>+'formato de ingresos'!P33</f>
        <v>660</v>
      </c>
      <c r="F33" s="323"/>
    </row>
    <row r="34" spans="2:6" x14ac:dyDescent="0.25">
      <c r="B34" s="321">
        <v>122</v>
      </c>
      <c r="C34" s="322" t="s">
        <v>98</v>
      </c>
      <c r="D34" s="323"/>
      <c r="E34" s="324">
        <f>SUM(E35)</f>
        <v>23400</v>
      </c>
      <c r="F34" s="323"/>
    </row>
    <row r="35" spans="2:6" x14ac:dyDescent="0.25">
      <c r="B35" s="325">
        <v>12210</v>
      </c>
      <c r="C35" s="326" t="s">
        <v>99</v>
      </c>
      <c r="D35" s="323"/>
      <c r="E35" s="323">
        <f>+'formato de ingresos'!P35</f>
        <v>23400</v>
      </c>
      <c r="F35" s="323"/>
    </row>
    <row r="36" spans="2:6" x14ac:dyDescent="0.25">
      <c r="B36" s="321">
        <v>14</v>
      </c>
      <c r="C36" s="322" t="s">
        <v>64</v>
      </c>
      <c r="D36" s="324"/>
      <c r="E36" s="324">
        <f>SUM(E37)</f>
        <v>930</v>
      </c>
      <c r="F36" s="324"/>
    </row>
    <row r="37" spans="2:6" x14ac:dyDescent="0.25">
      <c r="B37" s="321">
        <v>142</v>
      </c>
      <c r="C37" s="322" t="s">
        <v>62</v>
      </c>
      <c r="D37" s="324"/>
      <c r="E37" s="324">
        <f>SUM(E38)</f>
        <v>930</v>
      </c>
      <c r="F37" s="324"/>
    </row>
    <row r="38" spans="2:6" x14ac:dyDescent="0.25">
      <c r="B38" s="325">
        <v>14201</v>
      </c>
      <c r="C38" s="326" t="s">
        <v>63</v>
      </c>
      <c r="D38" s="323"/>
      <c r="E38" s="323">
        <f>+'formato de ingresos'!P38</f>
        <v>930</v>
      </c>
      <c r="F38" s="323"/>
    </row>
    <row r="39" spans="2:6" x14ac:dyDescent="0.25">
      <c r="B39" s="321">
        <v>15</v>
      </c>
      <c r="C39" s="322" t="s">
        <v>100</v>
      </c>
      <c r="D39" s="323"/>
      <c r="E39" s="324">
        <f>SUM(E40+E47+E49)</f>
        <v>75729.87</v>
      </c>
      <c r="F39" s="323"/>
    </row>
    <row r="40" spans="2:6" x14ac:dyDescent="0.25">
      <c r="B40" s="321">
        <v>153</v>
      </c>
      <c r="C40" s="322" t="s">
        <v>101</v>
      </c>
      <c r="D40" s="323"/>
      <c r="E40" s="324">
        <f>SUM(E41:E46)</f>
        <v>8154.87</v>
      </c>
      <c r="F40" s="323"/>
    </row>
    <row r="41" spans="2:6" x14ac:dyDescent="0.25">
      <c r="B41" s="325">
        <v>15301</v>
      </c>
      <c r="C41" s="326" t="s">
        <v>102</v>
      </c>
      <c r="D41" s="323"/>
      <c r="E41" s="323">
        <f>+'formato de ingresos'!P41</f>
        <v>2850</v>
      </c>
      <c r="F41" s="323"/>
    </row>
    <row r="42" spans="2:6" x14ac:dyDescent="0.25">
      <c r="B42" s="325">
        <v>15302</v>
      </c>
      <c r="C42" s="326" t="s">
        <v>103</v>
      </c>
      <c r="D42" s="323"/>
      <c r="E42" s="323">
        <f>+'formato de ingresos'!P42</f>
        <v>3225</v>
      </c>
      <c r="F42" s="323"/>
    </row>
    <row r="43" spans="2:6" x14ac:dyDescent="0.25">
      <c r="B43" s="325">
        <v>15310</v>
      </c>
      <c r="C43" s="326" t="s">
        <v>104</v>
      </c>
      <c r="D43" s="323"/>
      <c r="E43" s="323">
        <f>+'formato de ingresos'!P43</f>
        <v>200</v>
      </c>
      <c r="F43" s="323"/>
    </row>
    <row r="44" spans="2:6" x14ac:dyDescent="0.25">
      <c r="B44" s="325">
        <v>15312</v>
      </c>
      <c r="C44" s="326" t="s">
        <v>105</v>
      </c>
      <c r="D44" s="323"/>
      <c r="E44" s="323">
        <f>+'formato de ingresos'!P44</f>
        <v>300</v>
      </c>
      <c r="F44" s="323"/>
    </row>
    <row r="45" spans="2:6" x14ac:dyDescent="0.25">
      <c r="B45" s="325">
        <v>15313</v>
      </c>
      <c r="C45" s="326" t="s">
        <v>106</v>
      </c>
      <c r="D45" s="323"/>
      <c r="E45" s="323">
        <f>+'formato de ingresos'!P45</f>
        <v>225</v>
      </c>
      <c r="F45" s="323"/>
    </row>
    <row r="46" spans="2:6" x14ac:dyDescent="0.25">
      <c r="B46" s="325">
        <v>15314</v>
      </c>
      <c r="C46" s="326" t="s">
        <v>107</v>
      </c>
      <c r="D46" s="323"/>
      <c r="E46" s="323">
        <f>+'formato de ingresos'!P46</f>
        <v>1354.87</v>
      </c>
      <c r="F46" s="323"/>
    </row>
    <row r="47" spans="2:6" x14ac:dyDescent="0.25">
      <c r="B47" s="321">
        <v>154</v>
      </c>
      <c r="C47" s="322" t="s">
        <v>108</v>
      </c>
      <c r="D47" s="323"/>
      <c r="E47" s="324">
        <f>SUM(E48)</f>
        <v>44100</v>
      </c>
      <c r="F47" s="323"/>
    </row>
    <row r="48" spans="2:6" x14ac:dyDescent="0.25">
      <c r="B48" s="325">
        <v>15402</v>
      </c>
      <c r="C48" s="326" t="s">
        <v>109</v>
      </c>
      <c r="D48" s="323"/>
      <c r="E48" s="323">
        <f>+'formato de ingresos'!P48</f>
        <v>44100</v>
      </c>
      <c r="F48" s="323"/>
    </row>
    <row r="49" spans="2:6" x14ac:dyDescent="0.25">
      <c r="B49" s="321">
        <v>157</v>
      </c>
      <c r="C49" s="322" t="s">
        <v>110</v>
      </c>
      <c r="D49" s="323"/>
      <c r="E49" s="324">
        <f>SUM(E50)</f>
        <v>23475</v>
      </c>
      <c r="F49" s="323"/>
    </row>
    <row r="50" spans="2:6" ht="16.5" thickBot="1" x14ac:dyDescent="0.3">
      <c r="B50" s="330">
        <v>15799</v>
      </c>
      <c r="C50" s="331" t="s">
        <v>111</v>
      </c>
      <c r="D50" s="332"/>
      <c r="E50" s="332">
        <f>+'formato de ingresos'!P50</f>
        <v>23475</v>
      </c>
      <c r="F50" s="332"/>
    </row>
    <row r="51" spans="2:6" ht="17.25" thickTop="1" thickBot="1" x14ac:dyDescent="0.3">
      <c r="B51" s="333"/>
      <c r="C51" s="334" t="s">
        <v>112</v>
      </c>
      <c r="D51" s="335"/>
      <c r="E51" s="336">
        <f>+E8+E17+E36+E39</f>
        <v>1250438.23</v>
      </c>
      <c r="F51" s="337">
        <f>SUM(D51:E51)</f>
        <v>1250438.23</v>
      </c>
    </row>
    <row r="52" spans="2:6" ht="16.5" thickTop="1" x14ac:dyDescent="0.25">
      <c r="B52" s="338">
        <v>16</v>
      </c>
      <c r="C52" s="339" t="s">
        <v>113</v>
      </c>
      <c r="D52" s="340">
        <f>SUM(D54)</f>
        <v>666624.24</v>
      </c>
      <c r="E52" s="340">
        <f>E53</f>
        <v>0</v>
      </c>
      <c r="F52" s="340">
        <f>SUM(D52:E52)</f>
        <v>666624.24</v>
      </c>
    </row>
    <row r="53" spans="2:6" ht="31.5" x14ac:dyDescent="0.25">
      <c r="B53" s="338">
        <v>162</v>
      </c>
      <c r="C53" s="339" t="s">
        <v>114</v>
      </c>
      <c r="D53" s="340">
        <f>SUM(D54)</f>
        <v>666624.24</v>
      </c>
      <c r="E53" s="340"/>
      <c r="F53" s="340"/>
    </row>
    <row r="54" spans="2:6" ht="30.75" x14ac:dyDescent="0.25">
      <c r="B54" s="325">
        <v>16201</v>
      </c>
      <c r="C54" s="326" t="s">
        <v>115</v>
      </c>
      <c r="D54" s="323">
        <f>(55552.02*11)+55552.02</f>
        <v>666624.24</v>
      </c>
      <c r="E54" s="323"/>
      <c r="F54" s="323"/>
    </row>
    <row r="55" spans="2:6" x14ac:dyDescent="0.25">
      <c r="B55" s="321">
        <v>22</v>
      </c>
      <c r="C55" s="322" t="s">
        <v>116</v>
      </c>
      <c r="D55" s="324">
        <f>SUM(D56)</f>
        <v>1999872.5999999999</v>
      </c>
      <c r="E55" s="324">
        <f>SUM(E56)</f>
        <v>0</v>
      </c>
      <c r="F55" s="340">
        <f>SUM(D55:E55)</f>
        <v>1999872.5999999999</v>
      </c>
    </row>
    <row r="56" spans="2:6" ht="31.5" x14ac:dyDescent="0.25">
      <c r="B56" s="321">
        <v>222</v>
      </c>
      <c r="C56" s="322" t="s">
        <v>117</v>
      </c>
      <c r="D56" s="324">
        <f>SUM(D57)</f>
        <v>1999872.5999999999</v>
      </c>
      <c r="E56" s="324">
        <f>SUM(E57)</f>
        <v>0</v>
      </c>
      <c r="F56" s="324"/>
    </row>
    <row r="57" spans="2:6" ht="30.75" x14ac:dyDescent="0.25">
      <c r="B57" s="325">
        <v>22201</v>
      </c>
      <c r="C57" s="326" t="s">
        <v>118</v>
      </c>
      <c r="D57" s="323">
        <f>(166656.05*11)+166656.05</f>
        <v>1999872.5999999999</v>
      </c>
      <c r="E57" s="323"/>
      <c r="F57" s="323"/>
    </row>
    <row r="58" spans="2:6" x14ac:dyDescent="0.25">
      <c r="B58" s="321">
        <v>32</v>
      </c>
      <c r="C58" s="322" t="s">
        <v>3</v>
      </c>
      <c r="D58" s="324">
        <f>SUM(D59+D67)</f>
        <v>220748.47</v>
      </c>
      <c r="E58" s="324">
        <f>SUM(E59+E67)</f>
        <v>234041.52</v>
      </c>
      <c r="F58" s="324">
        <f>SUM(D58:E58)</f>
        <v>454789.99</v>
      </c>
    </row>
    <row r="59" spans="2:6" x14ac:dyDescent="0.25">
      <c r="B59" s="321">
        <v>321</v>
      </c>
      <c r="C59" s="322" t="s">
        <v>119</v>
      </c>
      <c r="D59" s="324">
        <f>SUM(D60:D66)</f>
        <v>14643.98</v>
      </c>
      <c r="E59" s="324">
        <f>SUM(E60:E66)</f>
        <v>9041.52</v>
      </c>
      <c r="F59" s="324"/>
    </row>
    <row r="60" spans="2:6" x14ac:dyDescent="0.25">
      <c r="B60" s="325">
        <v>32101</v>
      </c>
      <c r="C60" s="326" t="s">
        <v>120</v>
      </c>
      <c r="D60" s="323">
        <v>0</v>
      </c>
      <c r="E60" s="323">
        <v>200</v>
      </c>
      <c r="F60" s="323"/>
    </row>
    <row r="61" spans="2:6" ht="30.75" customHeight="1" x14ac:dyDescent="0.25">
      <c r="B61" s="325">
        <v>32102</v>
      </c>
      <c r="C61" s="326" t="s">
        <v>121</v>
      </c>
      <c r="D61" s="323">
        <v>0</v>
      </c>
      <c r="E61" s="327">
        <v>5099.62</v>
      </c>
      <c r="F61" s="323"/>
    </row>
    <row r="62" spans="2:6" ht="18.75" customHeight="1" x14ac:dyDescent="0.25">
      <c r="B62" s="325">
        <v>32102</v>
      </c>
      <c r="C62" s="326" t="s">
        <v>427</v>
      </c>
      <c r="D62" s="323">
        <v>0</v>
      </c>
      <c r="E62" s="327">
        <v>3741.9</v>
      </c>
      <c r="F62" s="323"/>
    </row>
    <row r="63" spans="2:6" x14ac:dyDescent="0.25">
      <c r="B63" s="325">
        <v>32102</v>
      </c>
      <c r="C63" s="326" t="s">
        <v>122</v>
      </c>
      <c r="D63" s="327">
        <v>11.67</v>
      </c>
      <c r="E63" s="323">
        <v>0</v>
      </c>
      <c r="F63" s="324"/>
    </row>
    <row r="64" spans="2:6" x14ac:dyDescent="0.25">
      <c r="B64" s="325">
        <v>32102</v>
      </c>
      <c r="C64" s="326" t="s">
        <v>123</v>
      </c>
      <c r="D64" s="327">
        <v>10095.24</v>
      </c>
      <c r="E64" s="323">
        <v>0</v>
      </c>
      <c r="F64" s="324"/>
    </row>
    <row r="65" spans="2:8" x14ac:dyDescent="0.25">
      <c r="B65" s="325">
        <v>32102</v>
      </c>
      <c r="C65" s="326" t="s">
        <v>124</v>
      </c>
      <c r="D65" s="327">
        <v>2306.5</v>
      </c>
      <c r="E65" s="323">
        <v>0</v>
      </c>
      <c r="F65" s="323"/>
    </row>
    <row r="66" spans="2:8" ht="18" customHeight="1" x14ac:dyDescent="0.25">
      <c r="B66" s="325">
        <v>32102</v>
      </c>
      <c r="C66" s="326" t="s">
        <v>125</v>
      </c>
      <c r="D66" s="327">
        <v>2230.5700000000002</v>
      </c>
      <c r="E66" s="323">
        <v>0</v>
      </c>
      <c r="F66" s="323"/>
    </row>
    <row r="67" spans="2:8" ht="17.25" customHeight="1" x14ac:dyDescent="0.25">
      <c r="B67" s="321">
        <v>322</v>
      </c>
      <c r="C67" s="322" t="s">
        <v>2</v>
      </c>
      <c r="D67" s="324">
        <f>+D68</f>
        <v>206104.49</v>
      </c>
      <c r="E67" s="324">
        <f>SUM(E68)</f>
        <v>225000</v>
      </c>
      <c r="F67" s="324"/>
    </row>
    <row r="68" spans="2:8" ht="20.25" customHeight="1" x14ac:dyDescent="0.25">
      <c r="B68" s="325">
        <v>32201</v>
      </c>
      <c r="C68" s="326" t="s">
        <v>2</v>
      </c>
      <c r="D68" s="327">
        <f>51526.12+154578.37</f>
        <v>206104.49</v>
      </c>
      <c r="E68" s="323">
        <f>+'formato de ingresos'!P53</f>
        <v>225000</v>
      </c>
      <c r="F68" s="323"/>
    </row>
    <row r="69" spans="2:8" ht="16.5" customHeight="1" x14ac:dyDescent="0.25">
      <c r="B69" s="345"/>
      <c r="C69" s="346"/>
      <c r="D69" s="327"/>
      <c r="E69" s="323"/>
      <c r="F69" s="323"/>
    </row>
    <row r="70" spans="2:8" ht="15.75" customHeight="1" x14ac:dyDescent="0.25">
      <c r="B70" s="372" t="s">
        <v>126</v>
      </c>
      <c r="C70" s="373"/>
      <c r="D70" s="324">
        <f>D52+D55+D58</f>
        <v>2887245.31</v>
      </c>
      <c r="E70" s="324">
        <f>SUM(E8+E17+E39+E36+E52+E55+E58)</f>
        <v>1484479.75</v>
      </c>
      <c r="F70" s="324">
        <f>F51+F52+F55+F58</f>
        <v>4371725.0599999996</v>
      </c>
    </row>
    <row r="71" spans="2:8" x14ac:dyDescent="0.25">
      <c r="B71" s="341"/>
      <c r="C71" s="342" t="s">
        <v>127</v>
      </c>
      <c r="D71" s="324">
        <f>D52+D55+D58</f>
        <v>2887245.31</v>
      </c>
      <c r="E71" s="324">
        <f>+E9+E18+E37+E34+E40+E47+E49+E53+E56+E59+E67</f>
        <v>1484479.75</v>
      </c>
      <c r="F71" s="324">
        <f>F51+F52+F55+F58+F67</f>
        <v>4371725.0599999996</v>
      </c>
      <c r="H71" s="343"/>
    </row>
    <row r="72" spans="2:8" x14ac:dyDescent="0.25">
      <c r="B72" s="366"/>
      <c r="C72" s="367"/>
      <c r="D72" s="368"/>
      <c r="E72" s="344">
        <f>+E10+E11+E12+E13+E14+E15+E16+E19+E20+E21+E22+E23+E24+E25+E26+E27+E28+E29+E30+E31+E32+E33+E35+E38+E41+E42+E43+E44+E45+E46+E48+E54+E50+E57+E60+E61+E62+E63+E64+E65+E66+E68</f>
        <v>1484479.75</v>
      </c>
      <c r="F72" s="324">
        <f>F71</f>
        <v>4371725.0599999996</v>
      </c>
    </row>
  </sheetData>
  <mergeCells count="6">
    <mergeCell ref="B72:D72"/>
    <mergeCell ref="B2:F2"/>
    <mergeCell ref="B3:F3"/>
    <mergeCell ref="B4:F4"/>
    <mergeCell ref="B5:F5"/>
    <mergeCell ref="B70:C70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F42"/>
  <sheetViews>
    <sheetView topLeftCell="A4" workbookViewId="0">
      <selection activeCell="I18" sqref="I18"/>
    </sheetView>
  </sheetViews>
  <sheetFormatPr baseColWidth="10" defaultRowHeight="15" x14ac:dyDescent="0.25"/>
  <cols>
    <col min="1" max="1" width="8.140625" style="20" customWidth="1"/>
    <col min="2" max="2" width="7.7109375" style="20" customWidth="1"/>
    <col min="3" max="3" width="45.85546875" style="20" customWidth="1"/>
    <col min="4" max="4" width="14.5703125" style="20" customWidth="1"/>
    <col min="5" max="5" width="16.42578125" style="20" customWidth="1"/>
    <col min="6" max="16384" width="11.42578125" style="20"/>
  </cols>
  <sheetData>
    <row r="2" spans="2:6" ht="15.75" x14ac:dyDescent="0.25">
      <c r="B2" s="362" t="s">
        <v>298</v>
      </c>
      <c r="C2" s="362"/>
      <c r="D2" s="362"/>
      <c r="E2" s="362"/>
      <c r="F2" s="362"/>
    </row>
    <row r="3" spans="2:6" ht="15.75" x14ac:dyDescent="0.25">
      <c r="B3" s="362" t="s">
        <v>238</v>
      </c>
      <c r="C3" s="362"/>
      <c r="D3" s="362"/>
      <c r="E3" s="362"/>
      <c r="F3" s="362"/>
    </row>
    <row r="4" spans="2:6" ht="15.75" x14ac:dyDescent="0.25">
      <c r="B4" s="425" t="s">
        <v>239</v>
      </c>
      <c r="C4" s="425"/>
      <c r="D4" s="425"/>
      <c r="E4" s="425"/>
      <c r="F4" s="425"/>
    </row>
    <row r="5" spans="2:6" ht="15.75" x14ac:dyDescent="0.25">
      <c r="B5" s="425" t="s">
        <v>240</v>
      </c>
      <c r="C5" s="425"/>
      <c r="D5" s="425"/>
      <c r="E5" s="425"/>
      <c r="F5" s="425"/>
    </row>
    <row r="6" spans="2:6" ht="15.75" x14ac:dyDescent="0.25">
      <c r="B6" s="425" t="s">
        <v>241</v>
      </c>
      <c r="C6" s="425"/>
      <c r="D6" s="425"/>
      <c r="E6" s="425"/>
      <c r="F6" s="425"/>
    </row>
    <row r="7" spans="2:6" ht="15.75" x14ac:dyDescent="0.25">
      <c r="B7" s="426" t="s">
        <v>324</v>
      </c>
      <c r="C7" s="426"/>
      <c r="D7" s="426"/>
      <c r="E7" s="426"/>
      <c r="F7" s="426"/>
    </row>
    <row r="8" spans="2:6" ht="15.75" thickBot="1" x14ac:dyDescent="0.3">
      <c r="B8" s="36"/>
      <c r="C8" s="36"/>
      <c r="D8" s="36"/>
      <c r="E8" s="37"/>
      <c r="F8" s="36"/>
    </row>
    <row r="9" spans="2:6" x14ac:dyDescent="0.25">
      <c r="B9" s="419" t="s">
        <v>243</v>
      </c>
      <c r="C9" s="421" t="s">
        <v>244</v>
      </c>
      <c r="D9" s="61" t="s">
        <v>245</v>
      </c>
      <c r="E9" s="349" t="s">
        <v>246</v>
      </c>
      <c r="F9" s="423" t="s">
        <v>0</v>
      </c>
    </row>
    <row r="10" spans="2:6" ht="26.25" thickBot="1" x14ac:dyDescent="0.3">
      <c r="B10" s="420"/>
      <c r="C10" s="422"/>
      <c r="D10" s="62" t="s">
        <v>247</v>
      </c>
      <c r="E10" s="350" t="s">
        <v>248</v>
      </c>
      <c r="F10" s="424"/>
    </row>
    <row r="11" spans="2:6" x14ac:dyDescent="0.25">
      <c r="B11" s="63">
        <v>51</v>
      </c>
      <c r="C11" s="64" t="s">
        <v>140</v>
      </c>
      <c r="D11" s="65">
        <f>SUM(D12+D15+D17)</f>
        <v>18257.5</v>
      </c>
      <c r="E11" s="65">
        <f>SUM(E12+E15+E17)</f>
        <v>5161.5</v>
      </c>
      <c r="F11" s="65">
        <f>SUM(F12+F15+F17)</f>
        <v>23419</v>
      </c>
    </row>
    <row r="12" spans="2:6" x14ac:dyDescent="0.25">
      <c r="B12" s="67">
        <v>511</v>
      </c>
      <c r="C12" s="68" t="s">
        <v>249</v>
      </c>
      <c r="D12" s="66">
        <f>SUM(D13:D14)</f>
        <v>15820</v>
      </c>
      <c r="E12" s="66">
        <f>SUM(E13:E14)</f>
        <v>4440</v>
      </c>
      <c r="F12" s="66">
        <f>SUM(F13:F14)</f>
        <v>20260</v>
      </c>
    </row>
    <row r="13" spans="2:6" x14ac:dyDescent="0.25">
      <c r="B13" s="69">
        <v>51101</v>
      </c>
      <c r="C13" s="70" t="s">
        <v>250</v>
      </c>
      <c r="D13" s="71">
        <v>15000</v>
      </c>
      <c r="E13" s="71">
        <v>4440</v>
      </c>
      <c r="F13" s="71">
        <f>SUM(D13:E13)</f>
        <v>19440</v>
      </c>
    </row>
    <row r="14" spans="2:6" x14ac:dyDescent="0.25">
      <c r="B14" s="69">
        <v>51103</v>
      </c>
      <c r="C14" s="72" t="s">
        <v>251</v>
      </c>
      <c r="D14" s="71">
        <v>820</v>
      </c>
      <c r="E14" s="71">
        <v>0</v>
      </c>
      <c r="F14" s="71">
        <f>SUM(D14:E14)</f>
        <v>820</v>
      </c>
    </row>
    <row r="15" spans="2:6" x14ac:dyDescent="0.25">
      <c r="B15" s="67">
        <v>514</v>
      </c>
      <c r="C15" s="64" t="s">
        <v>254</v>
      </c>
      <c r="D15" s="66">
        <f>SUM(D16:D16)</f>
        <v>1275</v>
      </c>
      <c r="E15" s="66">
        <f>SUM(E16:E16)</f>
        <v>377.4</v>
      </c>
      <c r="F15" s="66">
        <f>SUM(F16:F16)</f>
        <v>1652.4</v>
      </c>
    </row>
    <row r="16" spans="2:6" x14ac:dyDescent="0.25">
      <c r="B16" s="73">
        <v>51401</v>
      </c>
      <c r="C16" s="72" t="s">
        <v>255</v>
      </c>
      <c r="D16" s="71">
        <v>1275</v>
      </c>
      <c r="E16" s="71">
        <v>377.4</v>
      </c>
      <c r="F16" s="71">
        <f>SUM(D16:E16)</f>
        <v>1652.4</v>
      </c>
    </row>
    <row r="17" spans="2:6" x14ac:dyDescent="0.25">
      <c r="B17" s="67">
        <v>515</v>
      </c>
      <c r="C17" s="74" t="s">
        <v>256</v>
      </c>
      <c r="D17" s="66">
        <f>SUM(D18:D18)</f>
        <v>1162.5</v>
      </c>
      <c r="E17" s="66">
        <f>SUM(E18:E18)</f>
        <v>344.1</v>
      </c>
      <c r="F17" s="66">
        <f>SUM(F18:F18)</f>
        <v>1506.6</v>
      </c>
    </row>
    <row r="18" spans="2:6" x14ac:dyDescent="0.25">
      <c r="B18" s="73">
        <v>51501</v>
      </c>
      <c r="C18" s="72" t="s">
        <v>255</v>
      </c>
      <c r="D18" s="71">
        <v>1162.5</v>
      </c>
      <c r="E18" s="71">
        <v>344.1</v>
      </c>
      <c r="F18" s="71">
        <f>SUM(D18:E18)</f>
        <v>1506.6</v>
      </c>
    </row>
    <row r="19" spans="2:6" x14ac:dyDescent="0.25">
      <c r="B19" s="67">
        <v>54</v>
      </c>
      <c r="C19" s="270" t="s">
        <v>301</v>
      </c>
      <c r="D19" s="271">
        <f>SUM(D20+D28+D30+D32)</f>
        <v>1875</v>
      </c>
      <c r="E19" s="271">
        <f>SUM(E20+E28+E30+E32)</f>
        <v>2500</v>
      </c>
      <c r="F19" s="66">
        <f>SUM(F20+F28+F30+F32)</f>
        <v>4375</v>
      </c>
    </row>
    <row r="20" spans="2:6" x14ac:dyDescent="0.25">
      <c r="B20" s="67">
        <v>541</v>
      </c>
      <c r="C20" s="270" t="s">
        <v>260</v>
      </c>
      <c r="D20" s="271">
        <f>SUM(D21:D27)</f>
        <v>1250</v>
      </c>
      <c r="E20" s="271">
        <f>SUM(E21:E27)</f>
        <v>2000</v>
      </c>
      <c r="F20" s="66">
        <f>SUM(F21:F27)</f>
        <v>3250</v>
      </c>
    </row>
    <row r="21" spans="2:6" x14ac:dyDescent="0.25">
      <c r="B21" s="73">
        <v>54101</v>
      </c>
      <c r="C21" s="272" t="s">
        <v>307</v>
      </c>
      <c r="D21" s="273">
        <v>500</v>
      </c>
      <c r="E21" s="273">
        <v>800</v>
      </c>
      <c r="F21" s="71">
        <f t="shared" ref="F21:F27" si="0">SUM(D21:E21)</f>
        <v>1300</v>
      </c>
    </row>
    <row r="22" spans="2:6" x14ac:dyDescent="0.25">
      <c r="B22" s="73">
        <v>54105</v>
      </c>
      <c r="C22" s="272" t="s">
        <v>264</v>
      </c>
      <c r="D22" s="273">
        <v>200</v>
      </c>
      <c r="E22" s="273">
        <v>0</v>
      </c>
      <c r="F22" s="71">
        <f t="shared" si="0"/>
        <v>200</v>
      </c>
    </row>
    <row r="23" spans="2:6" x14ac:dyDescent="0.25">
      <c r="B23" s="73">
        <v>54114</v>
      </c>
      <c r="C23" s="272" t="s">
        <v>268</v>
      </c>
      <c r="D23" s="273">
        <v>300</v>
      </c>
      <c r="E23" s="273">
        <v>0</v>
      </c>
      <c r="F23" s="71">
        <f t="shared" si="0"/>
        <v>300</v>
      </c>
    </row>
    <row r="24" spans="2:6" x14ac:dyDescent="0.25">
      <c r="B24" s="73">
        <v>54115</v>
      </c>
      <c r="C24" s="272" t="s">
        <v>269</v>
      </c>
      <c r="D24" s="273">
        <v>100</v>
      </c>
      <c r="E24" s="273">
        <v>100</v>
      </c>
      <c r="F24" s="71">
        <f t="shared" si="0"/>
        <v>200</v>
      </c>
    </row>
    <row r="25" spans="2:6" x14ac:dyDescent="0.25">
      <c r="B25" s="73">
        <v>54116</v>
      </c>
      <c r="C25" s="272" t="s">
        <v>325</v>
      </c>
      <c r="D25" s="273">
        <v>0</v>
      </c>
      <c r="E25" s="273">
        <v>100</v>
      </c>
      <c r="F25" s="71">
        <f t="shared" si="0"/>
        <v>100</v>
      </c>
    </row>
    <row r="26" spans="2:6" x14ac:dyDescent="0.25">
      <c r="B26" s="73">
        <v>54118</v>
      </c>
      <c r="C26" s="272" t="s">
        <v>310</v>
      </c>
      <c r="D26" s="273">
        <v>50</v>
      </c>
      <c r="E26" s="273">
        <v>500</v>
      </c>
      <c r="F26" s="71">
        <f t="shared" si="0"/>
        <v>550</v>
      </c>
    </row>
    <row r="27" spans="2:6" x14ac:dyDescent="0.25">
      <c r="B27" s="73">
        <v>54199</v>
      </c>
      <c r="C27" s="272" t="s">
        <v>271</v>
      </c>
      <c r="D27" s="273">
        <v>100</v>
      </c>
      <c r="E27" s="273">
        <v>500</v>
      </c>
      <c r="F27" s="71">
        <f t="shared" si="0"/>
        <v>600</v>
      </c>
    </row>
    <row r="28" spans="2:6" x14ac:dyDescent="0.25">
      <c r="B28" s="67">
        <v>543</v>
      </c>
      <c r="C28" s="270" t="s">
        <v>272</v>
      </c>
      <c r="D28" s="271">
        <f>SUM(D29:D29)</f>
        <v>25</v>
      </c>
      <c r="E28" s="271">
        <f>SUM(E29:E29)</f>
        <v>500</v>
      </c>
      <c r="F28" s="66">
        <f>SUM(F29:F29)</f>
        <v>525</v>
      </c>
    </row>
    <row r="29" spans="2:6" x14ac:dyDescent="0.25">
      <c r="B29" s="73">
        <v>54304</v>
      </c>
      <c r="C29" s="272" t="s">
        <v>312</v>
      </c>
      <c r="D29" s="273">
        <v>25</v>
      </c>
      <c r="E29" s="273">
        <v>500</v>
      </c>
      <c r="F29" s="71">
        <f>SUM(D29:E29)</f>
        <v>525</v>
      </c>
    </row>
    <row r="30" spans="2:6" x14ac:dyDescent="0.25">
      <c r="B30" s="63">
        <v>544</v>
      </c>
      <c r="C30" s="274" t="s">
        <v>279</v>
      </c>
      <c r="D30" s="275">
        <f>SUM(D31:D31)</f>
        <v>100</v>
      </c>
      <c r="E30" s="275">
        <f>SUM(E31:E31)</f>
        <v>0</v>
      </c>
      <c r="F30" s="65">
        <f>SUM(F31:F31)</f>
        <v>100</v>
      </c>
    </row>
    <row r="31" spans="2:6" x14ac:dyDescent="0.25">
      <c r="B31" s="73">
        <v>54401</v>
      </c>
      <c r="C31" s="272" t="s">
        <v>280</v>
      </c>
      <c r="D31" s="273">
        <v>100</v>
      </c>
      <c r="E31" s="273">
        <v>0</v>
      </c>
      <c r="F31" s="71">
        <f>SUM(D31:E31)</f>
        <v>100</v>
      </c>
    </row>
    <row r="32" spans="2:6" ht="16.5" customHeight="1" x14ac:dyDescent="0.25">
      <c r="B32" s="67">
        <v>545</v>
      </c>
      <c r="C32" s="270" t="s">
        <v>323</v>
      </c>
      <c r="D32" s="271">
        <f>SUM(D33:D33)</f>
        <v>500</v>
      </c>
      <c r="E32" s="271">
        <f>SUM(E33:E33)</f>
        <v>0</v>
      </c>
      <c r="F32" s="66">
        <f>SUM(F33:F33)</f>
        <v>500</v>
      </c>
    </row>
    <row r="33" spans="2:6" x14ac:dyDescent="0.25">
      <c r="B33" s="73">
        <v>54503</v>
      </c>
      <c r="C33" s="272" t="s">
        <v>316</v>
      </c>
      <c r="D33" s="273">
        <v>500</v>
      </c>
      <c r="E33" s="273">
        <v>0</v>
      </c>
      <c r="F33" s="71">
        <f>SUM(D33:E33)</f>
        <v>500</v>
      </c>
    </row>
    <row r="34" spans="2:6" x14ac:dyDescent="0.25">
      <c r="B34" s="67">
        <v>61</v>
      </c>
      <c r="C34" s="270" t="s">
        <v>295</v>
      </c>
      <c r="D34" s="271">
        <f t="shared" ref="D34:F35" si="1">SUM(D35:D35)</f>
        <v>200</v>
      </c>
      <c r="E34" s="271">
        <f t="shared" si="1"/>
        <v>0</v>
      </c>
      <c r="F34" s="66">
        <f t="shared" si="1"/>
        <v>200</v>
      </c>
    </row>
    <row r="35" spans="2:6" x14ac:dyDescent="0.25">
      <c r="B35" s="67">
        <v>611</v>
      </c>
      <c r="C35" s="270" t="s">
        <v>327</v>
      </c>
      <c r="D35" s="271">
        <f t="shared" si="1"/>
        <v>200</v>
      </c>
      <c r="E35" s="271">
        <f t="shared" si="1"/>
        <v>0</v>
      </c>
      <c r="F35" s="66">
        <f t="shared" si="1"/>
        <v>200</v>
      </c>
    </row>
    <row r="36" spans="2:6" x14ac:dyDescent="0.25">
      <c r="B36" s="73">
        <v>61101</v>
      </c>
      <c r="C36" s="272" t="s">
        <v>297</v>
      </c>
      <c r="D36" s="273">
        <v>200</v>
      </c>
      <c r="E36" s="273"/>
      <c r="F36" s="71">
        <f>SUM(D36:E36)</f>
        <v>200</v>
      </c>
    </row>
    <row r="37" spans="2:6" x14ac:dyDescent="0.25">
      <c r="B37" s="73"/>
      <c r="C37" s="272"/>
      <c r="D37" s="273"/>
      <c r="E37" s="273"/>
      <c r="F37" s="71"/>
    </row>
    <row r="38" spans="2:6" x14ac:dyDescent="0.25">
      <c r="B38" s="73"/>
      <c r="C38" s="270" t="s">
        <v>75</v>
      </c>
      <c r="D38" s="271">
        <f>SUM(D11+D19+D34)</f>
        <v>20332.5</v>
      </c>
      <c r="E38" s="271">
        <f>SUM(E11+E19+E34)</f>
        <v>7661.5</v>
      </c>
      <c r="F38" s="66">
        <f>SUM(D38:E38)</f>
        <v>27994</v>
      </c>
    </row>
    <row r="39" spans="2:6" x14ac:dyDescent="0.25">
      <c r="B39" s="73"/>
      <c r="C39" s="272"/>
      <c r="D39" s="273"/>
      <c r="E39" s="273"/>
      <c r="F39" s="71"/>
    </row>
    <row r="40" spans="2:6" x14ac:dyDescent="0.25">
      <c r="B40" s="67"/>
      <c r="C40" s="74" t="s">
        <v>65</v>
      </c>
      <c r="D40" s="66">
        <f>SUM(D11+D19+D34)</f>
        <v>20332.5</v>
      </c>
      <c r="E40" s="66">
        <f>SUM(E11+E19+E34)</f>
        <v>7661.5</v>
      </c>
      <c r="F40" s="66">
        <f>SUM(F11+F19+F34)</f>
        <v>27994</v>
      </c>
    </row>
    <row r="41" spans="2:6" x14ac:dyDescent="0.25">
      <c r="B41" s="67"/>
      <c r="C41" s="74" t="s">
        <v>66</v>
      </c>
      <c r="D41" s="66">
        <f>SUM(D12+D15+D17+D20+D28+D30+D32+D35)</f>
        <v>20332.5</v>
      </c>
      <c r="E41" s="66">
        <f>SUM(E12+E15+E17+E20+E28+E30+E32+E35)</f>
        <v>7661.5</v>
      </c>
      <c r="F41" s="66">
        <f>SUM(F12+F15+F17+F20+F28+F30+F32+F35)</f>
        <v>27994</v>
      </c>
    </row>
    <row r="42" spans="2:6" x14ac:dyDescent="0.25">
      <c r="B42" s="67"/>
      <c r="C42" s="74" t="s">
        <v>67</v>
      </c>
      <c r="D42" s="66">
        <f>SUM(D13+D14+D16+D18+D21+D22+D23+D24+D25+D26+D27+D29+D31+D33+D36)</f>
        <v>20332.5</v>
      </c>
      <c r="E42" s="66">
        <f>SUM(E13+E14+E16+E18+E21+E22+E23+E24+E25+E26+E27+E29+E31+E33+E36)</f>
        <v>7661.5</v>
      </c>
      <c r="F42" s="66">
        <f>SUM(F13+F14+F16+F18+F21+F22+F23+F24+F25+F26+F27+F29+F31+F33+F36)</f>
        <v>27994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F39"/>
  <sheetViews>
    <sheetView workbookViewId="0">
      <pane ySplit="10" topLeftCell="A11" activePane="bottomLeft" state="frozen"/>
      <selection pane="bottomLeft" activeCell="H18" sqref="H18"/>
    </sheetView>
  </sheetViews>
  <sheetFormatPr baseColWidth="10" defaultRowHeight="15" x14ac:dyDescent="0.25"/>
  <cols>
    <col min="1" max="1" width="5" style="75" customWidth="1"/>
    <col min="2" max="2" width="8.28515625" style="75" customWidth="1"/>
    <col min="3" max="3" width="49.7109375" style="75" customWidth="1"/>
    <col min="4" max="4" width="13.5703125" style="75" customWidth="1"/>
    <col min="5" max="5" width="16.140625" style="75" customWidth="1"/>
    <col min="6" max="16384" width="11.42578125" style="75"/>
  </cols>
  <sheetData>
    <row r="2" spans="2:6" ht="15.75" x14ac:dyDescent="0.25">
      <c r="B2" s="428" t="s">
        <v>400</v>
      </c>
      <c r="C2" s="428"/>
      <c r="D2" s="428"/>
      <c r="E2" s="428"/>
      <c r="F2" s="428"/>
    </row>
    <row r="3" spans="2:6" ht="15.75" customHeight="1" x14ac:dyDescent="0.25">
      <c r="B3" s="428" t="s">
        <v>238</v>
      </c>
      <c r="C3" s="428"/>
      <c r="D3" s="428"/>
      <c r="E3" s="428"/>
      <c r="F3" s="428"/>
    </row>
    <row r="4" spans="2:6" ht="15.75" x14ac:dyDescent="0.25">
      <c r="B4" s="429" t="s">
        <v>328</v>
      </c>
      <c r="C4" s="429"/>
      <c r="D4" s="429"/>
      <c r="E4" s="429"/>
      <c r="F4" s="429"/>
    </row>
    <row r="5" spans="2:6" ht="15.75" x14ac:dyDescent="0.25">
      <c r="B5" s="429" t="s">
        <v>329</v>
      </c>
      <c r="C5" s="429"/>
      <c r="D5" s="429"/>
      <c r="E5" s="429"/>
      <c r="F5" s="429"/>
    </row>
    <row r="6" spans="2:6" ht="15.75" x14ac:dyDescent="0.25">
      <c r="B6" s="429" t="s">
        <v>330</v>
      </c>
      <c r="C6" s="429"/>
      <c r="D6" s="429"/>
      <c r="E6" s="429"/>
      <c r="F6" s="429"/>
    </row>
    <row r="7" spans="2:6" ht="15.75" x14ac:dyDescent="0.25">
      <c r="B7" s="430" t="s">
        <v>331</v>
      </c>
      <c r="C7" s="430"/>
      <c r="D7" s="430"/>
      <c r="E7" s="430"/>
      <c r="F7" s="430"/>
    </row>
    <row r="8" spans="2:6" x14ac:dyDescent="0.25">
      <c r="B8" s="154"/>
      <c r="C8" s="154"/>
      <c r="D8" s="154"/>
      <c r="E8" s="154"/>
      <c r="F8" s="154"/>
    </row>
    <row r="9" spans="2:6" x14ac:dyDescent="0.25">
      <c r="B9" s="427" t="s">
        <v>243</v>
      </c>
      <c r="C9" s="427" t="s">
        <v>244</v>
      </c>
      <c r="D9" s="155" t="s">
        <v>245</v>
      </c>
      <c r="E9" s="155" t="s">
        <v>246</v>
      </c>
      <c r="F9" s="427" t="s">
        <v>0</v>
      </c>
    </row>
    <row r="10" spans="2:6" x14ac:dyDescent="0.25">
      <c r="B10" s="427"/>
      <c r="C10" s="427"/>
      <c r="D10" s="155" t="s">
        <v>247</v>
      </c>
      <c r="E10" s="155" t="s">
        <v>248</v>
      </c>
      <c r="F10" s="427"/>
    </row>
    <row r="11" spans="2:6" x14ac:dyDescent="0.25">
      <c r="B11" s="156">
        <v>51</v>
      </c>
      <c r="C11" s="157" t="s">
        <v>140</v>
      </c>
      <c r="D11" s="158">
        <f>SUM(D12+D15+D17)</f>
        <v>5681.25</v>
      </c>
      <c r="E11" s="158">
        <f>SUM(E12+E15+E17)</f>
        <v>5231.25</v>
      </c>
      <c r="F11" s="158">
        <f>SUM(F12+F15+F17)</f>
        <v>10912.5</v>
      </c>
    </row>
    <row r="12" spans="2:6" x14ac:dyDescent="0.25">
      <c r="B12" s="159">
        <v>511</v>
      </c>
      <c r="C12" s="160" t="s">
        <v>249</v>
      </c>
      <c r="D12" s="161">
        <f>SUM(D13:D14)</f>
        <v>4950</v>
      </c>
      <c r="E12" s="161">
        <f>SUM(E13:E14)</f>
        <v>4500</v>
      </c>
      <c r="F12" s="161">
        <f>SUM(F13:F14)</f>
        <v>9450</v>
      </c>
    </row>
    <row r="13" spans="2:6" x14ac:dyDescent="0.25">
      <c r="B13" s="162">
        <v>51101</v>
      </c>
      <c r="C13" s="163" t="s">
        <v>250</v>
      </c>
      <c r="D13" s="164">
        <v>4500</v>
      </c>
      <c r="E13" s="164">
        <v>4500</v>
      </c>
      <c r="F13" s="164">
        <f>SUM(D13:E13)</f>
        <v>9000</v>
      </c>
    </row>
    <row r="14" spans="2:6" x14ac:dyDescent="0.25">
      <c r="B14" s="162">
        <v>51103</v>
      </c>
      <c r="C14" s="165" t="s">
        <v>251</v>
      </c>
      <c r="D14" s="164">
        <v>450</v>
      </c>
      <c r="E14" s="166"/>
      <c r="F14" s="167">
        <f>SUM(D14:E14)</f>
        <v>450</v>
      </c>
    </row>
    <row r="15" spans="2:6" x14ac:dyDescent="0.25">
      <c r="B15" s="168">
        <v>514</v>
      </c>
      <c r="C15" s="169" t="s">
        <v>254</v>
      </c>
      <c r="D15" s="170">
        <f>SUM(D16:D16)</f>
        <v>382.5</v>
      </c>
      <c r="E15" s="170">
        <f>SUM(E16:E16)</f>
        <v>382.5</v>
      </c>
      <c r="F15" s="170">
        <f>SUM(F16:F16)</f>
        <v>765</v>
      </c>
    </row>
    <row r="16" spans="2:6" x14ac:dyDescent="0.25">
      <c r="B16" s="171">
        <v>51401</v>
      </c>
      <c r="C16" s="172" t="s">
        <v>255</v>
      </c>
      <c r="D16" s="173">
        <v>382.5</v>
      </c>
      <c r="E16" s="173">
        <v>382.5</v>
      </c>
      <c r="F16" s="173">
        <f>SUM(D16:E16)</f>
        <v>765</v>
      </c>
    </row>
    <row r="17" spans="2:6" x14ac:dyDescent="0.25">
      <c r="B17" s="168">
        <v>515</v>
      </c>
      <c r="C17" s="174" t="s">
        <v>256</v>
      </c>
      <c r="D17" s="170">
        <f>SUM(D18:D18)</f>
        <v>348.75</v>
      </c>
      <c r="E17" s="170">
        <f>SUM(E18:E18)</f>
        <v>348.75</v>
      </c>
      <c r="F17" s="170">
        <f>SUM(F18:F18)</f>
        <v>697.5</v>
      </c>
    </row>
    <row r="18" spans="2:6" x14ac:dyDescent="0.25">
      <c r="B18" s="171">
        <v>51501</v>
      </c>
      <c r="C18" s="172" t="s">
        <v>255</v>
      </c>
      <c r="D18" s="173">
        <v>348.75</v>
      </c>
      <c r="E18" s="173">
        <v>348.75</v>
      </c>
      <c r="F18" s="173">
        <f>SUM(D18:E18)</f>
        <v>697.5</v>
      </c>
    </row>
    <row r="19" spans="2:6" x14ac:dyDescent="0.25">
      <c r="B19" s="159">
        <v>54</v>
      </c>
      <c r="C19" s="175" t="s">
        <v>301</v>
      </c>
      <c r="D19" s="158">
        <f>+D20+D25+D29</f>
        <v>697</v>
      </c>
      <c r="E19" s="158">
        <f t="shared" ref="E19:F19" si="0">+E20+E25+E29</f>
        <v>0</v>
      </c>
      <c r="F19" s="158">
        <f t="shared" si="0"/>
        <v>697</v>
      </c>
    </row>
    <row r="20" spans="2:6" x14ac:dyDescent="0.25">
      <c r="B20" s="159">
        <v>541</v>
      </c>
      <c r="C20" s="175" t="s">
        <v>260</v>
      </c>
      <c r="D20" s="161">
        <f>SUM(D21:D24)</f>
        <v>525</v>
      </c>
      <c r="E20" s="161">
        <f t="shared" ref="E20:F20" si="1">SUM(E21:E24)</f>
        <v>0</v>
      </c>
      <c r="F20" s="161">
        <f t="shared" si="1"/>
        <v>525</v>
      </c>
    </row>
    <row r="21" spans="2:6" x14ac:dyDescent="0.25">
      <c r="B21" s="176">
        <v>54105</v>
      </c>
      <c r="C21" s="165" t="s">
        <v>264</v>
      </c>
      <c r="D21" s="164">
        <v>150</v>
      </c>
      <c r="E21" s="164"/>
      <c r="F21" s="164">
        <f>SUM(D21:E21)</f>
        <v>150</v>
      </c>
    </row>
    <row r="22" spans="2:6" x14ac:dyDescent="0.25">
      <c r="B22" s="176">
        <v>54114</v>
      </c>
      <c r="C22" s="165" t="s">
        <v>268</v>
      </c>
      <c r="D22" s="164">
        <v>150</v>
      </c>
      <c r="E22" s="164"/>
      <c r="F22" s="164">
        <f>SUM(D22:E22)</f>
        <v>150</v>
      </c>
    </row>
    <row r="23" spans="2:6" x14ac:dyDescent="0.25">
      <c r="B23" s="176">
        <v>54115</v>
      </c>
      <c r="C23" s="165" t="s">
        <v>269</v>
      </c>
      <c r="D23" s="164">
        <v>125</v>
      </c>
      <c r="E23" s="164"/>
      <c r="F23" s="164">
        <f>SUM(D23:E23)</f>
        <v>125</v>
      </c>
    </row>
    <row r="24" spans="2:6" x14ac:dyDescent="0.25">
      <c r="B24" s="176">
        <v>54199</v>
      </c>
      <c r="C24" s="165" t="s">
        <v>271</v>
      </c>
      <c r="D24" s="164">
        <v>100</v>
      </c>
      <c r="E24" s="164"/>
      <c r="F24" s="164">
        <f>SUM(D24:E24)</f>
        <v>100</v>
      </c>
    </row>
    <row r="25" spans="2:6" x14ac:dyDescent="0.25">
      <c r="B25" s="159">
        <v>543</v>
      </c>
      <c r="C25" s="175" t="s">
        <v>272</v>
      </c>
      <c r="D25" s="161">
        <f>SUM(D26:D28)</f>
        <v>150</v>
      </c>
      <c r="E25" s="161">
        <f>SUM(E26:E28)</f>
        <v>0</v>
      </c>
      <c r="F25" s="161">
        <f t="shared" ref="F25" si="2">SUM(F26:F28)</f>
        <v>150</v>
      </c>
    </row>
    <row r="26" spans="2:6" x14ac:dyDescent="0.25">
      <c r="B26" s="176">
        <v>54301</v>
      </c>
      <c r="C26" s="165" t="s">
        <v>273</v>
      </c>
      <c r="D26" s="164">
        <v>50</v>
      </c>
      <c r="E26" s="164"/>
      <c r="F26" s="164">
        <f t="shared" ref="F26:F30" si="3">SUM(D26:E26)</f>
        <v>50</v>
      </c>
    </row>
    <row r="27" spans="2:6" x14ac:dyDescent="0.25">
      <c r="B27" s="176">
        <v>54313</v>
      </c>
      <c r="C27" s="165" t="s">
        <v>332</v>
      </c>
      <c r="D27" s="164">
        <v>50</v>
      </c>
      <c r="E27" s="164"/>
      <c r="F27" s="164">
        <f t="shared" si="3"/>
        <v>50</v>
      </c>
    </row>
    <row r="28" spans="2:6" x14ac:dyDescent="0.25">
      <c r="B28" s="176">
        <v>54399</v>
      </c>
      <c r="C28" s="165" t="s">
        <v>333</v>
      </c>
      <c r="D28" s="164">
        <v>50</v>
      </c>
      <c r="E28" s="164"/>
      <c r="F28" s="164">
        <f t="shared" si="3"/>
        <v>50</v>
      </c>
    </row>
    <row r="29" spans="2:6" x14ac:dyDescent="0.25">
      <c r="B29" s="156">
        <v>544</v>
      </c>
      <c r="C29" s="157" t="s">
        <v>279</v>
      </c>
      <c r="D29" s="161">
        <f>SUM(D30)</f>
        <v>22</v>
      </c>
      <c r="E29" s="161">
        <v>0</v>
      </c>
      <c r="F29" s="158">
        <f t="shared" si="3"/>
        <v>22</v>
      </c>
    </row>
    <row r="30" spans="2:6" x14ac:dyDescent="0.25">
      <c r="B30" s="176">
        <v>54401</v>
      </c>
      <c r="C30" s="165" t="s">
        <v>280</v>
      </c>
      <c r="D30" s="177">
        <v>22</v>
      </c>
      <c r="E30" s="177"/>
      <c r="F30" s="178">
        <f t="shared" si="3"/>
        <v>22</v>
      </c>
    </row>
    <row r="31" spans="2:6" x14ac:dyDescent="0.25">
      <c r="B31" s="156">
        <v>61</v>
      </c>
      <c r="C31" s="157" t="s">
        <v>295</v>
      </c>
      <c r="D31" s="158">
        <f>SUM(D32)</f>
        <v>200</v>
      </c>
      <c r="E31" s="158">
        <f>SUM(E32)</f>
        <v>0</v>
      </c>
      <c r="F31" s="179">
        <f>SUM(F32)</f>
        <v>200</v>
      </c>
    </row>
    <row r="32" spans="2:6" x14ac:dyDescent="0.25">
      <c r="B32" s="156">
        <v>611</v>
      </c>
      <c r="C32" s="157" t="s">
        <v>373</v>
      </c>
      <c r="D32" s="276">
        <f>SUM(D33:D34)</f>
        <v>200</v>
      </c>
      <c r="E32" s="276">
        <f>SUM(E33:E34)</f>
        <v>0</v>
      </c>
      <c r="F32" s="179">
        <f>SUM(D32:E32)</f>
        <v>200</v>
      </c>
    </row>
    <row r="33" spans="2:6" x14ac:dyDescent="0.25">
      <c r="B33" s="176">
        <v>61101</v>
      </c>
      <c r="C33" s="165" t="s">
        <v>297</v>
      </c>
      <c r="D33" s="277">
        <v>200</v>
      </c>
      <c r="E33" s="277">
        <v>0</v>
      </c>
      <c r="F33" s="178">
        <f>SUM(D33:E33)</f>
        <v>200</v>
      </c>
    </row>
    <row r="34" spans="2:6" x14ac:dyDescent="0.25">
      <c r="B34" s="176"/>
      <c r="C34" s="165"/>
      <c r="D34" s="278"/>
      <c r="E34" s="278"/>
      <c r="F34" s="164"/>
    </row>
    <row r="35" spans="2:6" x14ac:dyDescent="0.25">
      <c r="B35" s="176"/>
      <c r="C35" s="175" t="s">
        <v>75</v>
      </c>
      <c r="D35" s="180">
        <f>SUM(D11+D19+D31)</f>
        <v>6578.25</v>
      </c>
      <c r="E35" s="180">
        <f>SUM(E11+E19)</f>
        <v>5231.25</v>
      </c>
      <c r="F35" s="180">
        <f>SUM(D35:E35)</f>
        <v>11809.5</v>
      </c>
    </row>
    <row r="36" spans="2:6" x14ac:dyDescent="0.25">
      <c r="B36" s="176"/>
      <c r="C36" s="175"/>
      <c r="D36" s="180"/>
      <c r="E36" s="180"/>
      <c r="F36" s="180"/>
    </row>
    <row r="37" spans="2:6" x14ac:dyDescent="0.25">
      <c r="B37" s="159"/>
      <c r="C37" s="175" t="s">
        <v>65</v>
      </c>
      <c r="D37" s="180">
        <f>SUM(D11+D19+D31)</f>
        <v>6578.25</v>
      </c>
      <c r="E37" s="180">
        <f>SUM(E11+E19)</f>
        <v>5231.25</v>
      </c>
      <c r="F37" s="180">
        <f>SUM(F11+F19+F31)</f>
        <v>11809.5</v>
      </c>
    </row>
    <row r="38" spans="2:6" x14ac:dyDescent="0.25">
      <c r="B38" s="159"/>
      <c r="C38" s="175" t="s">
        <v>66</v>
      </c>
      <c r="D38" s="180">
        <f>SUM(D12+D15+D17+D20+D25+D29+D32)</f>
        <v>6578.25</v>
      </c>
      <c r="E38" s="180">
        <f>SUM(E12+E15+E17+E20+E25+E29)</f>
        <v>5231.25</v>
      </c>
      <c r="F38" s="180">
        <f>SUM(F12+F15+F17+F20+F25+F29+F32)</f>
        <v>11809.5</v>
      </c>
    </row>
    <row r="39" spans="2:6" x14ac:dyDescent="0.25">
      <c r="B39" s="159"/>
      <c r="C39" s="175" t="s">
        <v>67</v>
      </c>
      <c r="D39" s="180">
        <f>SUM(D13+D14+D16+D18+D21+D22+D23+D24+D26+D27+D28+D30+D33)</f>
        <v>6578.25</v>
      </c>
      <c r="E39" s="180">
        <f>SUM(E13+E14+E16+E18+E21+E22+E23+E24+E26+E27+E28+E30)</f>
        <v>5231.25</v>
      </c>
      <c r="F39" s="180">
        <f>SUM(F13+F14+F16+F18+F21+F22+F23+F24+F26+F27+F28+F30+F33)</f>
        <v>11809.5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41"/>
  <sheetViews>
    <sheetView workbookViewId="0">
      <pane ySplit="10" topLeftCell="A95" activePane="bottomLeft" state="frozen"/>
      <selection pane="bottomLeft" activeCell="K19" sqref="K19"/>
    </sheetView>
  </sheetViews>
  <sheetFormatPr baseColWidth="10" defaultRowHeight="15" x14ac:dyDescent="0.25"/>
  <cols>
    <col min="1" max="1" width="5.42578125" style="33" customWidth="1"/>
    <col min="2" max="2" width="9.140625" style="33" customWidth="1"/>
    <col min="3" max="3" width="42.7109375" style="33" customWidth="1"/>
    <col min="4" max="4" width="13.42578125" style="33" customWidth="1"/>
    <col min="5" max="5" width="15.85546875" style="33" customWidth="1"/>
    <col min="6" max="6" width="11.28515625" style="33" bestFit="1" customWidth="1"/>
    <col min="7" max="16384" width="11.42578125" style="33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240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3" t="s">
        <v>156</v>
      </c>
      <c r="C7" s="403"/>
      <c r="D7" s="403"/>
      <c r="E7" s="403"/>
      <c r="F7" s="403"/>
    </row>
    <row r="8" spans="2:6" x14ac:dyDescent="0.25">
      <c r="B8" s="34"/>
      <c r="C8" s="34"/>
      <c r="D8" s="34"/>
      <c r="E8" s="35"/>
      <c r="F8" s="34"/>
    </row>
    <row r="9" spans="2:6" x14ac:dyDescent="0.25">
      <c r="B9" s="431" t="s">
        <v>243</v>
      </c>
      <c r="C9" s="431" t="s">
        <v>244</v>
      </c>
      <c r="D9" s="279" t="s">
        <v>245</v>
      </c>
      <c r="E9" s="279" t="s">
        <v>246</v>
      </c>
      <c r="F9" s="432" t="s">
        <v>0</v>
      </c>
    </row>
    <row r="10" spans="2:6" x14ac:dyDescent="0.25">
      <c r="B10" s="431"/>
      <c r="C10" s="431"/>
      <c r="D10" s="279" t="s">
        <v>247</v>
      </c>
      <c r="E10" s="279" t="s">
        <v>248</v>
      </c>
      <c r="F10" s="432"/>
    </row>
    <row r="11" spans="2:6" x14ac:dyDescent="0.25">
      <c r="B11" s="80">
        <v>51</v>
      </c>
      <c r="C11" s="81" t="s">
        <v>140</v>
      </c>
      <c r="D11" s="262">
        <f>SUM(D12+D15+D17+D19)</f>
        <v>44451.5</v>
      </c>
      <c r="E11" s="262">
        <f>SUM(E12+E15+E17+E19)</f>
        <v>9765</v>
      </c>
      <c r="F11" s="257">
        <f>SUM(F12+F15+F17+F19)</f>
        <v>54216.5</v>
      </c>
    </row>
    <row r="12" spans="2:6" x14ac:dyDescent="0.25">
      <c r="B12" s="85">
        <v>511</v>
      </c>
      <c r="C12" s="86" t="s">
        <v>249</v>
      </c>
      <c r="D12" s="257">
        <f>SUM(D13:D14)</f>
        <v>12560</v>
      </c>
      <c r="E12" s="257">
        <f>SUM(E13:E14)</f>
        <v>8400</v>
      </c>
      <c r="F12" s="257">
        <f>SUM(F13:F14)</f>
        <v>20960</v>
      </c>
    </row>
    <row r="13" spans="2:6" x14ac:dyDescent="0.25">
      <c r="B13" s="88">
        <v>51101</v>
      </c>
      <c r="C13" s="89" t="s">
        <v>250</v>
      </c>
      <c r="D13" s="260">
        <v>11040</v>
      </c>
      <c r="E13" s="260">
        <v>8400</v>
      </c>
      <c r="F13" s="260">
        <f>SUM(D13:E13)</f>
        <v>19440</v>
      </c>
    </row>
    <row r="14" spans="2:6" x14ac:dyDescent="0.25">
      <c r="B14" s="88">
        <v>51103</v>
      </c>
      <c r="C14" s="91" t="s">
        <v>251</v>
      </c>
      <c r="D14" s="260">
        <v>1520</v>
      </c>
      <c r="E14" s="260">
        <v>0</v>
      </c>
      <c r="F14" s="260">
        <f>SUM(D14:E14)</f>
        <v>1520</v>
      </c>
    </row>
    <row r="15" spans="2:6" x14ac:dyDescent="0.25">
      <c r="B15" s="119">
        <v>512</v>
      </c>
      <c r="C15" s="81" t="s">
        <v>334</v>
      </c>
      <c r="D15" s="257">
        <f>SUM(D16:D16)</f>
        <v>30000</v>
      </c>
      <c r="E15" s="257">
        <f>SUM(E16:E16)</f>
        <v>0</v>
      </c>
      <c r="F15" s="257">
        <f>SUM(F16:F16)</f>
        <v>30000</v>
      </c>
    </row>
    <row r="16" spans="2:6" x14ac:dyDescent="0.25">
      <c r="B16" s="88">
        <v>51201</v>
      </c>
      <c r="C16" s="97" t="s">
        <v>250</v>
      </c>
      <c r="D16" s="260">
        <v>30000</v>
      </c>
      <c r="E16" s="260">
        <v>0</v>
      </c>
      <c r="F16" s="260">
        <f>SUM(D16:E16)</f>
        <v>30000</v>
      </c>
    </row>
    <row r="17" spans="2:6" x14ac:dyDescent="0.25">
      <c r="B17" s="85">
        <v>514</v>
      </c>
      <c r="C17" s="81" t="s">
        <v>254</v>
      </c>
      <c r="D17" s="257">
        <f>SUM(D18:D18)</f>
        <v>989.4</v>
      </c>
      <c r="E17" s="257">
        <f>SUM(E18:E18)</f>
        <v>714</v>
      </c>
      <c r="F17" s="257">
        <f>SUM(F18:F18)</f>
        <v>1703.4</v>
      </c>
    </row>
    <row r="18" spans="2:6" x14ac:dyDescent="0.25">
      <c r="B18" s="94">
        <v>51401</v>
      </c>
      <c r="C18" s="91" t="s">
        <v>255</v>
      </c>
      <c r="D18" s="260">
        <v>989.4</v>
      </c>
      <c r="E18" s="260">
        <v>714</v>
      </c>
      <c r="F18" s="260">
        <f>SUM(D18:E18)</f>
        <v>1703.4</v>
      </c>
    </row>
    <row r="19" spans="2:6" x14ac:dyDescent="0.25">
      <c r="B19" s="85">
        <v>515</v>
      </c>
      <c r="C19" s="95" t="s">
        <v>256</v>
      </c>
      <c r="D19" s="257">
        <f>SUM(D20:D20)</f>
        <v>902.1</v>
      </c>
      <c r="E19" s="257">
        <f>SUM(E20:E20)</f>
        <v>651</v>
      </c>
      <c r="F19" s="257">
        <f>SUM(F20:F20)</f>
        <v>1553.1</v>
      </c>
    </row>
    <row r="20" spans="2:6" x14ac:dyDescent="0.25">
      <c r="B20" s="94">
        <v>51501</v>
      </c>
      <c r="C20" s="91" t="s">
        <v>255</v>
      </c>
      <c r="D20" s="260">
        <v>902.1</v>
      </c>
      <c r="E20" s="260">
        <v>651</v>
      </c>
      <c r="F20" s="260">
        <f>SUM(D20:E20)</f>
        <v>1553.1</v>
      </c>
    </row>
    <row r="21" spans="2:6" x14ac:dyDescent="0.25">
      <c r="B21" s="85">
        <v>54</v>
      </c>
      <c r="C21" s="95" t="s">
        <v>301</v>
      </c>
      <c r="D21" s="257">
        <f>SUM(D22+D30)</f>
        <v>8925.1</v>
      </c>
      <c r="E21" s="257">
        <f>SUM(E22)</f>
        <v>0</v>
      </c>
      <c r="F21" s="257">
        <f>SUM(F22+F30)</f>
        <v>8925.1</v>
      </c>
    </row>
    <row r="22" spans="2:6" x14ac:dyDescent="0.25">
      <c r="B22" s="85">
        <v>541</v>
      </c>
      <c r="C22" s="95" t="s">
        <v>260</v>
      </c>
      <c r="D22" s="257">
        <f>SUM(D23:D29)</f>
        <v>7625.1</v>
      </c>
      <c r="E22" s="257">
        <f>SUM(E23:E29)</f>
        <v>0</v>
      </c>
      <c r="F22" s="257">
        <f>SUM(F23:F29)</f>
        <v>7625.1</v>
      </c>
    </row>
    <row r="23" spans="2:6" x14ac:dyDescent="0.25">
      <c r="B23" s="94">
        <v>54101</v>
      </c>
      <c r="C23" s="91" t="s">
        <v>261</v>
      </c>
      <c r="D23" s="260">
        <v>3000</v>
      </c>
      <c r="E23" s="260"/>
      <c r="F23" s="260">
        <f t="shared" ref="F23:F29" si="0">SUM(D23:E23)</f>
        <v>3000</v>
      </c>
    </row>
    <row r="24" spans="2:6" x14ac:dyDescent="0.25">
      <c r="B24" s="94">
        <v>54104</v>
      </c>
      <c r="C24" s="109" t="s">
        <v>402</v>
      </c>
      <c r="D24" s="117">
        <v>37.44</v>
      </c>
      <c r="E24" s="114"/>
      <c r="F24" s="117">
        <f>D24</f>
        <v>37.44</v>
      </c>
    </row>
    <row r="25" spans="2:6" x14ac:dyDescent="0.25">
      <c r="B25" s="112">
        <v>54105</v>
      </c>
      <c r="C25" s="120" t="s">
        <v>264</v>
      </c>
      <c r="D25" s="280">
        <v>1000</v>
      </c>
      <c r="E25" s="280"/>
      <c r="F25" s="260">
        <f t="shared" si="0"/>
        <v>1000</v>
      </c>
    </row>
    <row r="26" spans="2:6" x14ac:dyDescent="0.25">
      <c r="B26" s="94">
        <v>54107</v>
      </c>
      <c r="C26" s="91" t="s">
        <v>335</v>
      </c>
      <c r="D26" s="260">
        <v>1742.83</v>
      </c>
      <c r="E26" s="260"/>
      <c r="F26" s="260">
        <f t="shared" si="0"/>
        <v>1742.83</v>
      </c>
    </row>
    <row r="27" spans="2:6" x14ac:dyDescent="0.25">
      <c r="B27" s="112">
        <v>54114</v>
      </c>
      <c r="C27" s="120" t="s">
        <v>268</v>
      </c>
      <c r="D27" s="280">
        <v>144.83000000000001</v>
      </c>
      <c r="E27" s="280"/>
      <c r="F27" s="260">
        <f t="shared" si="0"/>
        <v>144.83000000000001</v>
      </c>
    </row>
    <row r="28" spans="2:6" x14ac:dyDescent="0.25">
      <c r="B28" s="112">
        <v>54115</v>
      </c>
      <c r="C28" s="120" t="s">
        <v>336</v>
      </c>
      <c r="D28" s="280">
        <v>500</v>
      </c>
      <c r="E28" s="280"/>
      <c r="F28" s="260">
        <f t="shared" si="0"/>
        <v>500</v>
      </c>
    </row>
    <row r="29" spans="2:6" x14ac:dyDescent="0.25">
      <c r="B29" s="94">
        <v>54199</v>
      </c>
      <c r="C29" s="91" t="s">
        <v>271</v>
      </c>
      <c r="D29" s="260">
        <v>1200</v>
      </c>
      <c r="E29" s="260"/>
      <c r="F29" s="260">
        <f t="shared" si="0"/>
        <v>1200</v>
      </c>
    </row>
    <row r="30" spans="2:6" x14ac:dyDescent="0.25">
      <c r="B30" s="85">
        <v>543</v>
      </c>
      <c r="C30" s="111" t="s">
        <v>272</v>
      </c>
      <c r="D30" s="114">
        <f>SUM(D31:D32)</f>
        <v>1300</v>
      </c>
      <c r="E30" s="114">
        <f>SUM(E32:E32)</f>
        <v>0</v>
      </c>
      <c r="F30" s="114">
        <f>SUM(F31:F32)</f>
        <v>1300</v>
      </c>
    </row>
    <row r="31" spans="2:6" x14ac:dyDescent="0.25">
      <c r="B31" s="94">
        <v>54301</v>
      </c>
      <c r="C31" s="109" t="s">
        <v>403</v>
      </c>
      <c r="D31" s="117">
        <v>800</v>
      </c>
      <c r="E31" s="117"/>
      <c r="F31" s="117">
        <f>SUM(D31:E31)</f>
        <v>800</v>
      </c>
    </row>
    <row r="32" spans="2:6" x14ac:dyDescent="0.25">
      <c r="B32" s="94">
        <v>54313</v>
      </c>
      <c r="C32" s="109" t="s">
        <v>276</v>
      </c>
      <c r="D32" s="117">
        <v>500</v>
      </c>
      <c r="E32" s="117"/>
      <c r="F32" s="117">
        <f>SUM(D32:E32)</f>
        <v>500</v>
      </c>
    </row>
    <row r="33" spans="2:6" x14ac:dyDescent="0.25">
      <c r="B33" s="85">
        <v>61</v>
      </c>
      <c r="C33" s="95" t="s">
        <v>295</v>
      </c>
      <c r="D33" s="257">
        <f>SUM(D34)</f>
        <v>500</v>
      </c>
      <c r="E33" s="257">
        <f t="shared" ref="E33:F33" si="1">SUM(E34)</f>
        <v>0</v>
      </c>
      <c r="F33" s="257">
        <f t="shared" si="1"/>
        <v>500</v>
      </c>
    </row>
    <row r="34" spans="2:6" x14ac:dyDescent="0.25">
      <c r="B34" s="85">
        <v>611</v>
      </c>
      <c r="C34" s="95" t="s">
        <v>296</v>
      </c>
      <c r="D34" s="257">
        <f>SUM(D35:D35)</f>
        <v>500</v>
      </c>
      <c r="E34" s="257">
        <f>SUM(E35)</f>
        <v>0</v>
      </c>
      <c r="F34" s="257">
        <f>SUM(F35:F35)</f>
        <v>500</v>
      </c>
    </row>
    <row r="35" spans="2:6" x14ac:dyDescent="0.25">
      <c r="B35" s="94">
        <v>61101</v>
      </c>
      <c r="C35" s="91" t="s">
        <v>297</v>
      </c>
      <c r="D35" s="260">
        <v>500</v>
      </c>
      <c r="E35" s="260">
        <v>0</v>
      </c>
      <c r="F35" s="260">
        <f>SUM(D35:E35)</f>
        <v>500</v>
      </c>
    </row>
    <row r="36" spans="2:6" x14ac:dyDescent="0.25">
      <c r="B36" s="94"/>
      <c r="C36" s="91"/>
      <c r="D36" s="260"/>
      <c r="E36" s="260"/>
      <c r="F36" s="260"/>
    </row>
    <row r="37" spans="2:6" x14ac:dyDescent="0.25">
      <c r="B37" s="94"/>
      <c r="C37" s="95" t="s">
        <v>75</v>
      </c>
      <c r="D37" s="257">
        <f>SUM(D11+D21+D33)</f>
        <v>53876.6</v>
      </c>
      <c r="E37" s="257">
        <f>SUM(E11+E21+E33)</f>
        <v>9765</v>
      </c>
      <c r="F37" s="257">
        <f>SUM(D37:E37)</f>
        <v>63641.599999999999</v>
      </c>
    </row>
    <row r="38" spans="2:6" x14ac:dyDescent="0.25">
      <c r="B38" s="94"/>
      <c r="C38" s="91"/>
      <c r="D38" s="260"/>
      <c r="E38" s="260"/>
      <c r="F38" s="260"/>
    </row>
    <row r="39" spans="2:6" x14ac:dyDescent="0.25">
      <c r="B39" s="85"/>
      <c r="C39" s="95" t="s">
        <v>65</v>
      </c>
      <c r="D39" s="257">
        <f>SUM(D11+D21+D33)</f>
        <v>53876.6</v>
      </c>
      <c r="E39" s="257">
        <f>SUM(E11+E21+E33)</f>
        <v>9765</v>
      </c>
      <c r="F39" s="257">
        <f>SUM(F11+F21+F33)</f>
        <v>63641.599999999999</v>
      </c>
    </row>
    <row r="40" spans="2:6" x14ac:dyDescent="0.25">
      <c r="B40" s="85"/>
      <c r="C40" s="95" t="s">
        <v>66</v>
      </c>
      <c r="D40" s="84">
        <f>SUM(D12+D15+D17+D19+D22+D30+D34)</f>
        <v>53876.6</v>
      </c>
      <c r="E40" s="84">
        <f>SUM(E12+E17+E19+E22+E34)</f>
        <v>9765</v>
      </c>
      <c r="F40" s="84">
        <f>SUM(F12+F15+F17+F19+F22+F30+F34)</f>
        <v>63641.599999999999</v>
      </c>
    </row>
    <row r="41" spans="2:6" x14ac:dyDescent="0.25">
      <c r="B41" s="85"/>
      <c r="C41" s="95" t="s">
        <v>67</v>
      </c>
      <c r="D41" s="84">
        <f>SUM(D13+D14++D16+D18+D20+D23+D24+D25+D26+D27+D28+D29+D31+D32+D35)</f>
        <v>53876.600000000006</v>
      </c>
      <c r="E41" s="84">
        <f>SUM(E13+E14+E18+E20+E23+E25+E26+E27+E29)</f>
        <v>9765</v>
      </c>
      <c r="F41" s="84">
        <f>SUM(F13+F14+F16+F18+F20+F23+F24+F25+F26+F27+F28+F29+F31+F32+F35)</f>
        <v>63641.600000000006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F43"/>
  <sheetViews>
    <sheetView workbookViewId="0">
      <pane ySplit="10" topLeftCell="A11" activePane="bottomLeft" state="frozen"/>
      <selection pane="bottomLeft" activeCell="G31" sqref="G31"/>
    </sheetView>
  </sheetViews>
  <sheetFormatPr baseColWidth="10" defaultRowHeight="15" x14ac:dyDescent="0.25"/>
  <cols>
    <col min="1" max="1" width="3.85546875" style="33" customWidth="1"/>
    <col min="2" max="2" width="11.42578125" style="33"/>
    <col min="3" max="3" width="45.140625" style="33" customWidth="1"/>
    <col min="4" max="4" width="13.28515625" style="33" customWidth="1"/>
    <col min="5" max="5" width="15.140625" style="33" customWidth="1"/>
    <col min="6" max="6" width="13.42578125" style="33" customWidth="1"/>
    <col min="7" max="16384" width="11.42578125" style="33"/>
  </cols>
  <sheetData>
    <row r="2" spans="2:6" ht="15.75" x14ac:dyDescent="0.25">
      <c r="B2" s="403" t="s">
        <v>298</v>
      </c>
      <c r="C2" s="403"/>
      <c r="D2" s="403"/>
      <c r="E2" s="403"/>
      <c r="F2" s="403"/>
    </row>
    <row r="3" spans="2:6" ht="15.75" x14ac:dyDescent="0.25">
      <c r="B3" s="403" t="s">
        <v>238</v>
      </c>
      <c r="C3" s="403"/>
      <c r="D3" s="403"/>
      <c r="E3" s="403"/>
      <c r="F3" s="403"/>
    </row>
    <row r="4" spans="2:6" ht="15.75" x14ac:dyDescent="0.25">
      <c r="B4" s="434" t="s">
        <v>239</v>
      </c>
      <c r="C4" s="434"/>
      <c r="D4" s="434"/>
      <c r="E4" s="434"/>
      <c r="F4" s="434"/>
    </row>
    <row r="5" spans="2:6" ht="15.75" x14ac:dyDescent="0.25">
      <c r="B5" s="434" t="s">
        <v>338</v>
      </c>
      <c r="C5" s="434"/>
      <c r="D5" s="434"/>
      <c r="E5" s="434"/>
      <c r="F5" s="434"/>
    </row>
    <row r="6" spans="2:6" ht="15.75" x14ac:dyDescent="0.25">
      <c r="B6" s="434" t="s">
        <v>241</v>
      </c>
      <c r="C6" s="434"/>
      <c r="D6" s="434"/>
      <c r="E6" s="434"/>
      <c r="F6" s="434"/>
    </row>
    <row r="7" spans="2:6" ht="15.75" x14ac:dyDescent="0.25">
      <c r="B7" s="403" t="s">
        <v>339</v>
      </c>
      <c r="C7" s="403"/>
      <c r="D7" s="403"/>
      <c r="E7" s="403"/>
      <c r="F7" s="403"/>
    </row>
    <row r="8" spans="2:6" x14ac:dyDescent="0.25">
      <c r="B8" s="40"/>
      <c r="C8" s="40"/>
      <c r="D8" s="40"/>
      <c r="E8" s="41"/>
      <c r="F8" s="40"/>
    </row>
    <row r="9" spans="2:6" x14ac:dyDescent="0.25">
      <c r="B9" s="433" t="s">
        <v>243</v>
      </c>
      <c r="C9" s="433" t="s">
        <v>244</v>
      </c>
      <c r="D9" s="121" t="s">
        <v>245</v>
      </c>
      <c r="E9" s="121" t="s">
        <v>246</v>
      </c>
      <c r="F9" s="433" t="s">
        <v>0</v>
      </c>
    </row>
    <row r="10" spans="2:6" x14ac:dyDescent="0.25">
      <c r="B10" s="433"/>
      <c r="C10" s="433"/>
      <c r="D10" s="121" t="s">
        <v>247</v>
      </c>
      <c r="E10" s="121" t="s">
        <v>436</v>
      </c>
      <c r="F10" s="433"/>
    </row>
    <row r="11" spans="2:6" x14ac:dyDescent="0.25">
      <c r="B11" s="122">
        <v>51</v>
      </c>
      <c r="C11" s="123" t="s">
        <v>140</v>
      </c>
      <c r="D11" s="124">
        <f>SUM(D12+D154+D15+D17)</f>
        <v>55818.25</v>
      </c>
      <c r="E11" s="124">
        <f>SUM(E12+E15+E17)</f>
        <v>30271.5</v>
      </c>
      <c r="F11" s="124">
        <f>SUM(F12+F15+F17)</f>
        <v>86089.75</v>
      </c>
    </row>
    <row r="12" spans="2:6" x14ac:dyDescent="0.25">
      <c r="B12" s="125">
        <v>511</v>
      </c>
      <c r="C12" s="126" t="s">
        <v>249</v>
      </c>
      <c r="D12" s="127">
        <f>SUM(D13:D14)</f>
        <v>48730</v>
      </c>
      <c r="E12" s="127">
        <f>SUM(E13:E14)</f>
        <v>26040</v>
      </c>
      <c r="F12" s="127">
        <f>SUM(F13:F14)</f>
        <v>74770</v>
      </c>
    </row>
    <row r="13" spans="2:6" x14ac:dyDescent="0.25">
      <c r="B13" s="128">
        <v>51101</v>
      </c>
      <c r="C13" s="129" t="s">
        <v>250</v>
      </c>
      <c r="D13" s="130">
        <f>+PRESUPUESTO!D13+TESORERIA!D13+CONTABILIDAD!D13</f>
        <v>43620</v>
      </c>
      <c r="E13" s="130">
        <f>+PRESUPUESTO!E13+TESORERIA!E13+CONTABILIDAD!E13</f>
        <v>26040</v>
      </c>
      <c r="F13" s="130">
        <f>SUM(D13:E13)</f>
        <v>69660</v>
      </c>
    </row>
    <row r="14" spans="2:6" x14ac:dyDescent="0.25">
      <c r="B14" s="128">
        <v>51103</v>
      </c>
      <c r="C14" s="131" t="s">
        <v>251</v>
      </c>
      <c r="D14" s="130">
        <f>+PRESUPUESTO!D14+TESORERIA!D14+CONTABILIDAD!D14</f>
        <v>5110</v>
      </c>
      <c r="E14" s="130">
        <v>0</v>
      </c>
      <c r="F14" s="130">
        <f>SUM(D14:E14)</f>
        <v>5110</v>
      </c>
    </row>
    <row r="15" spans="2:6" x14ac:dyDescent="0.25">
      <c r="B15" s="125">
        <v>514</v>
      </c>
      <c r="C15" s="123" t="s">
        <v>254</v>
      </c>
      <c r="D15" s="127">
        <f>SUM(D16)</f>
        <v>3707.7000000000003</v>
      </c>
      <c r="E15" s="127">
        <f t="shared" ref="E15:F15" si="0">SUM(E16)</f>
        <v>2213.4</v>
      </c>
      <c r="F15" s="127">
        <f t="shared" si="0"/>
        <v>5921.1</v>
      </c>
    </row>
    <row r="16" spans="2:6" x14ac:dyDescent="0.25">
      <c r="B16" s="132">
        <v>51401</v>
      </c>
      <c r="C16" s="131" t="s">
        <v>255</v>
      </c>
      <c r="D16" s="130">
        <f>+PRESUPUESTO!D16+TESORERIA!D16+CONTABILIDAD!D16</f>
        <v>3707.7000000000003</v>
      </c>
      <c r="E16" s="130">
        <f>+PRESUPUESTO!E16+TESORERIA!E16+CONTABILIDAD!E16</f>
        <v>2213.4</v>
      </c>
      <c r="F16" s="130">
        <f>SUM(D16:E16)</f>
        <v>5921.1</v>
      </c>
    </row>
    <row r="17" spans="2:6" x14ac:dyDescent="0.25">
      <c r="B17" s="125">
        <v>515</v>
      </c>
      <c r="C17" s="133" t="s">
        <v>256</v>
      </c>
      <c r="D17" s="127">
        <f>SUM(D18:D18)</f>
        <v>3380.5499999999997</v>
      </c>
      <c r="E17" s="127">
        <f>SUM(E18:E18)</f>
        <v>2018.1</v>
      </c>
      <c r="F17" s="127">
        <f>SUM(F18:F18)</f>
        <v>5398.65</v>
      </c>
    </row>
    <row r="18" spans="2:6" x14ac:dyDescent="0.25">
      <c r="B18" s="132">
        <v>51501</v>
      </c>
      <c r="C18" s="131" t="s">
        <v>255</v>
      </c>
      <c r="D18" s="130">
        <f>+PRESUPUESTO!D18+TESORERIA!D18+CONTABILIDAD!D18</f>
        <v>3380.5499999999997</v>
      </c>
      <c r="E18" s="130">
        <f>+PRESUPUESTO!E18+TESORERIA!E18+CONTABILIDAD!E18</f>
        <v>2018.1</v>
      </c>
      <c r="F18" s="130">
        <f>SUM(D18:E18)</f>
        <v>5398.65</v>
      </c>
    </row>
    <row r="19" spans="2:6" x14ac:dyDescent="0.25">
      <c r="B19" s="125">
        <v>54</v>
      </c>
      <c r="C19" s="133" t="s">
        <v>301</v>
      </c>
      <c r="D19" s="127">
        <f>SUM(D20+D27+D30)</f>
        <v>7369.8</v>
      </c>
      <c r="E19" s="127">
        <f>SUM(E20+E27+E30)</f>
        <v>8000</v>
      </c>
      <c r="F19" s="127">
        <f>SUM(F20+F27+F30)</f>
        <v>15369.8</v>
      </c>
    </row>
    <row r="20" spans="2:6" x14ac:dyDescent="0.25">
      <c r="B20" s="125">
        <v>541</v>
      </c>
      <c r="C20" s="133" t="s">
        <v>302</v>
      </c>
      <c r="D20" s="127">
        <f>SUM(D21:D26)</f>
        <v>3148.8</v>
      </c>
      <c r="E20" s="127">
        <f>SUM(E21:E26)</f>
        <v>8000</v>
      </c>
      <c r="F20" s="127">
        <f>SUM(F21:F26)</f>
        <v>11148.8</v>
      </c>
    </row>
    <row r="21" spans="2:6" x14ac:dyDescent="0.25">
      <c r="B21" s="132">
        <v>54105</v>
      </c>
      <c r="C21" s="131" t="s">
        <v>264</v>
      </c>
      <c r="D21" s="130">
        <f>+PRESUPUESTO!D21+TESORERIA!D21+CONTABILIDAD!D21</f>
        <v>1205.8</v>
      </c>
      <c r="E21" s="130">
        <f>+PRESUPUESTO!E21+TESORERIA!E21+CONTABILIDAD!E21</f>
        <v>0</v>
      </c>
      <c r="F21" s="130">
        <f t="shared" ref="F21:F26" si="1">SUM(D21:E21)</f>
        <v>1205.8</v>
      </c>
    </row>
    <row r="22" spans="2:6" x14ac:dyDescent="0.25">
      <c r="B22" s="132">
        <v>54114</v>
      </c>
      <c r="C22" s="131" t="s">
        <v>268</v>
      </c>
      <c r="D22" s="130">
        <f>+PRESUPUESTO!D22+TESORERIA!D22+CONTABILIDAD!D22</f>
        <v>693</v>
      </c>
      <c r="E22" s="130">
        <f>+PRESUPUESTO!E22+TESORERIA!E22+CONTABILIDAD!E22</f>
        <v>0</v>
      </c>
      <c r="F22" s="130">
        <f t="shared" si="1"/>
        <v>693</v>
      </c>
    </row>
    <row r="23" spans="2:6" x14ac:dyDescent="0.25">
      <c r="B23" s="132">
        <v>54115</v>
      </c>
      <c r="C23" s="131" t="s">
        <v>269</v>
      </c>
      <c r="D23" s="130">
        <f>+PRESUPUESTO!D23+TESORERIA!D23+CONTABILIDAD!D23</f>
        <v>950</v>
      </c>
      <c r="E23" s="130">
        <f>+PRESUPUESTO!E23+TESORERIA!E23+CONTABILIDAD!E23</f>
        <v>0</v>
      </c>
      <c r="F23" s="130">
        <f t="shared" si="1"/>
        <v>950</v>
      </c>
    </row>
    <row r="24" spans="2:6" x14ac:dyDescent="0.25">
      <c r="B24" s="132">
        <v>54118</v>
      </c>
      <c r="C24" s="131" t="s">
        <v>340</v>
      </c>
      <c r="D24" s="130">
        <f>+TESORERIA!D24</f>
        <v>200</v>
      </c>
      <c r="E24" s="130">
        <f>+TESORERIA!E24</f>
        <v>0</v>
      </c>
      <c r="F24" s="130">
        <f t="shared" si="1"/>
        <v>200</v>
      </c>
    </row>
    <row r="25" spans="2:6" x14ac:dyDescent="0.25">
      <c r="B25" s="132">
        <v>54121</v>
      </c>
      <c r="C25" s="131" t="s">
        <v>341</v>
      </c>
      <c r="D25" s="130">
        <f>+TESORERIA!D25</f>
        <v>0</v>
      </c>
      <c r="E25" s="130">
        <f>+TESORERIA!E25</f>
        <v>8000</v>
      </c>
      <c r="F25" s="130">
        <f t="shared" si="1"/>
        <v>8000</v>
      </c>
    </row>
    <row r="26" spans="2:6" x14ac:dyDescent="0.25">
      <c r="B26" s="132">
        <v>54199</v>
      </c>
      <c r="C26" s="131" t="s">
        <v>271</v>
      </c>
      <c r="D26" s="130">
        <f>+PRESUPUESTO!D24</f>
        <v>100</v>
      </c>
      <c r="E26" s="130">
        <f>+PRESUPUESTO!E24</f>
        <v>0</v>
      </c>
      <c r="F26" s="130">
        <f t="shared" si="1"/>
        <v>100</v>
      </c>
    </row>
    <row r="27" spans="2:6" x14ac:dyDescent="0.25">
      <c r="B27" s="125">
        <v>543</v>
      </c>
      <c r="C27" s="133" t="s">
        <v>272</v>
      </c>
      <c r="D27" s="144">
        <f>SUM(D28:D29)</f>
        <v>3000</v>
      </c>
      <c r="E27" s="144">
        <f>SUM(E29:E29)</f>
        <v>0</v>
      </c>
      <c r="F27" s="127">
        <f>SUM(F28:F29)</f>
        <v>3000</v>
      </c>
    </row>
    <row r="28" spans="2:6" x14ac:dyDescent="0.25">
      <c r="B28" s="132">
        <v>54301</v>
      </c>
      <c r="C28" s="131" t="s">
        <v>273</v>
      </c>
      <c r="D28" s="145">
        <f>+CONTABILIDAD!D25</f>
        <v>2000</v>
      </c>
      <c r="E28" s="145">
        <f>+CONTABILIDAD!E25</f>
        <v>0</v>
      </c>
      <c r="F28" s="130">
        <f>SUM(D28:E28)</f>
        <v>2000</v>
      </c>
    </row>
    <row r="29" spans="2:6" x14ac:dyDescent="0.25">
      <c r="B29" s="132">
        <v>54313</v>
      </c>
      <c r="C29" s="131" t="s">
        <v>276</v>
      </c>
      <c r="D29" s="145">
        <f>+TESORERIA!D27</f>
        <v>1000</v>
      </c>
      <c r="E29" s="145">
        <f>+TESORERIA!E27</f>
        <v>0</v>
      </c>
      <c r="F29" s="130">
        <f>SUM(D29:E29)</f>
        <v>1000</v>
      </c>
    </row>
    <row r="30" spans="2:6" x14ac:dyDescent="0.25">
      <c r="B30" s="122">
        <v>544</v>
      </c>
      <c r="C30" s="123" t="s">
        <v>279</v>
      </c>
      <c r="D30" s="281">
        <f>SUM(D31:D31)</f>
        <v>1221</v>
      </c>
      <c r="E30" s="281">
        <f>SUM(E31:E31)</f>
        <v>0</v>
      </c>
      <c r="F30" s="124">
        <f>SUM(F31:F31)</f>
        <v>1221</v>
      </c>
    </row>
    <row r="31" spans="2:6" x14ac:dyDescent="0.25">
      <c r="B31" s="132">
        <v>54401</v>
      </c>
      <c r="C31" s="131" t="s">
        <v>280</v>
      </c>
      <c r="D31" s="145">
        <f>+TESORERIA!D29+CONTABILIDAD!D27</f>
        <v>1221</v>
      </c>
      <c r="E31" s="145">
        <f>+TESORERIA!E29+CONTABILIDAD!E27</f>
        <v>0</v>
      </c>
      <c r="F31" s="130">
        <f>SUM(D31:E31)</f>
        <v>1221</v>
      </c>
    </row>
    <row r="32" spans="2:6" x14ac:dyDescent="0.25">
      <c r="B32" s="125">
        <v>55</v>
      </c>
      <c r="C32" s="133" t="s">
        <v>142</v>
      </c>
      <c r="D32" s="144">
        <f>SUM(D33)</f>
        <v>900</v>
      </c>
      <c r="E32" s="144">
        <f t="shared" ref="E32:F32" si="2">SUM(E33)</f>
        <v>900</v>
      </c>
      <c r="F32" s="127">
        <f t="shared" si="2"/>
        <v>1800</v>
      </c>
    </row>
    <row r="33" spans="2:6" x14ac:dyDescent="0.25">
      <c r="B33" s="125">
        <v>556</v>
      </c>
      <c r="C33" s="133" t="s">
        <v>286</v>
      </c>
      <c r="D33" s="144">
        <f>SUM(D34:D34)</f>
        <v>900</v>
      </c>
      <c r="E33" s="144">
        <f>SUM(E34:E34)</f>
        <v>900</v>
      </c>
      <c r="F33" s="127">
        <f>SUM(F34:F34)</f>
        <v>1800</v>
      </c>
    </row>
    <row r="34" spans="2:6" x14ac:dyDescent="0.25">
      <c r="B34" s="132">
        <v>55603</v>
      </c>
      <c r="C34" s="131" t="s">
        <v>342</v>
      </c>
      <c r="D34" s="145">
        <f>+TESORERIA!D32</f>
        <v>900</v>
      </c>
      <c r="E34" s="145">
        <f>+TESORERIA!E32</f>
        <v>900</v>
      </c>
      <c r="F34" s="130">
        <f>SUM(D34:E34)</f>
        <v>1800</v>
      </c>
    </row>
    <row r="35" spans="2:6" x14ac:dyDescent="0.25">
      <c r="B35" s="101">
        <v>61</v>
      </c>
      <c r="C35" s="113" t="s">
        <v>295</v>
      </c>
      <c r="D35" s="114">
        <f>SUM(D36)</f>
        <v>800</v>
      </c>
      <c r="E35" s="114">
        <f t="shared" ref="E35:F35" si="3">SUM(E36)</f>
        <v>0</v>
      </c>
      <c r="F35" s="114">
        <f t="shared" si="3"/>
        <v>800</v>
      </c>
    </row>
    <row r="36" spans="2:6" x14ac:dyDescent="0.25">
      <c r="B36" s="101">
        <v>611</v>
      </c>
      <c r="C36" s="113" t="s">
        <v>348</v>
      </c>
      <c r="D36" s="114">
        <f>SUM(D37:D37)</f>
        <v>800</v>
      </c>
      <c r="E36" s="114">
        <f>SUM(E37:E37)</f>
        <v>0</v>
      </c>
      <c r="F36" s="114">
        <f>SUM(F37:F37)</f>
        <v>800</v>
      </c>
    </row>
    <row r="37" spans="2:6" x14ac:dyDescent="0.25">
      <c r="B37" s="115">
        <v>61104</v>
      </c>
      <c r="C37" s="116" t="s">
        <v>349</v>
      </c>
      <c r="D37" s="117">
        <f>+PRESUPUESTO!D27</f>
        <v>800</v>
      </c>
      <c r="E37" s="117">
        <f>+PRESUPUESTO!E27</f>
        <v>0</v>
      </c>
      <c r="F37" s="117">
        <f>SUM(D37:E37)</f>
        <v>800</v>
      </c>
    </row>
    <row r="38" spans="2:6" x14ac:dyDescent="0.25">
      <c r="B38" s="132"/>
      <c r="C38" s="131"/>
      <c r="D38" s="145"/>
      <c r="E38" s="145"/>
      <c r="F38" s="130"/>
    </row>
    <row r="39" spans="2:6" x14ac:dyDescent="0.25">
      <c r="B39" s="132"/>
      <c r="C39" s="133" t="s">
        <v>75</v>
      </c>
      <c r="D39" s="144">
        <f>SUM(D11+D19+D32+D35)</f>
        <v>64888.05</v>
      </c>
      <c r="E39" s="144">
        <f>SUM(E11+E19+E32)</f>
        <v>39171.5</v>
      </c>
      <c r="F39" s="127">
        <f>SUM(D39:E39)</f>
        <v>104059.55</v>
      </c>
    </row>
    <row r="40" spans="2:6" x14ac:dyDescent="0.25">
      <c r="B40" s="132"/>
      <c r="C40" s="131"/>
      <c r="D40" s="130"/>
      <c r="E40" s="130"/>
      <c r="F40" s="130"/>
    </row>
    <row r="41" spans="2:6" x14ac:dyDescent="0.25">
      <c r="B41" s="125"/>
      <c r="C41" s="133" t="s">
        <v>65</v>
      </c>
      <c r="D41" s="127">
        <f>SUM(D11+D19+D32)</f>
        <v>64088.05</v>
      </c>
      <c r="E41" s="127">
        <f>SUM(E11+E19+E32)</f>
        <v>39171.5</v>
      </c>
      <c r="F41" s="127">
        <f>SUM(F11+F19+F32+F35)</f>
        <v>104059.55</v>
      </c>
    </row>
    <row r="42" spans="2:6" x14ac:dyDescent="0.25">
      <c r="B42" s="125"/>
      <c r="C42" s="133" t="s">
        <v>66</v>
      </c>
      <c r="D42" s="127">
        <f>SUM(D12+D15+D17+D20+D27+D30+D33)</f>
        <v>64088.05</v>
      </c>
      <c r="E42" s="127">
        <f>SUM(E12+E15+E17+E20+E27+E30+E33)</f>
        <v>39171.5</v>
      </c>
      <c r="F42" s="127">
        <f>SUM(F12+F15+F17+F20+F27+F30+F33)</f>
        <v>103259.55</v>
      </c>
    </row>
    <row r="43" spans="2:6" x14ac:dyDescent="0.25">
      <c r="B43" s="125"/>
      <c r="C43" s="133" t="s">
        <v>67</v>
      </c>
      <c r="D43" s="127">
        <f>SUM(D13+D14+D16+D18+D21+D22+D23+D24+D25+D26+D28+D29+D31+D34)</f>
        <v>64088.05</v>
      </c>
      <c r="E43" s="127">
        <f>SUM(E13+E14+E16+E18+E21+E22+E23+E24+E25+E26+E28+E29+E31+E34)</f>
        <v>39171.5</v>
      </c>
      <c r="F43" s="127">
        <f>SUM(F13+F14+F16+F18+F21+F22+F23+F24+F25+F26+F29+F31+F34)</f>
        <v>101259.55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F33"/>
  <sheetViews>
    <sheetView workbookViewId="0">
      <pane ySplit="10" topLeftCell="A11" activePane="bottomLeft" state="frozen"/>
      <selection pane="bottomLeft" activeCell="J23" sqref="J23"/>
    </sheetView>
  </sheetViews>
  <sheetFormatPr baseColWidth="10" defaultRowHeight="15" x14ac:dyDescent="0.25"/>
  <cols>
    <col min="1" max="1" width="5" customWidth="1"/>
    <col min="2" max="2" width="8.42578125" customWidth="1"/>
    <col min="3" max="3" width="42.85546875" customWidth="1"/>
    <col min="4" max="4" width="13" customWidth="1"/>
    <col min="5" max="5" width="17" customWidth="1"/>
  </cols>
  <sheetData>
    <row r="2" spans="2:6" ht="15.75" x14ac:dyDescent="0.25">
      <c r="B2" s="436" t="s">
        <v>298</v>
      </c>
      <c r="C2" s="436"/>
      <c r="D2" s="436"/>
      <c r="E2" s="436"/>
      <c r="F2" s="436"/>
    </row>
    <row r="3" spans="2:6" ht="15.75" x14ac:dyDescent="0.25">
      <c r="B3" s="416" t="s">
        <v>238</v>
      </c>
      <c r="C3" s="416"/>
      <c r="D3" s="416"/>
      <c r="E3" s="416"/>
      <c r="F3" s="416"/>
    </row>
    <row r="4" spans="2:6" ht="15.75" x14ac:dyDescent="0.25">
      <c r="B4" s="437" t="s">
        <v>239</v>
      </c>
      <c r="C4" s="437"/>
      <c r="D4" s="437"/>
      <c r="E4" s="437"/>
      <c r="F4" s="437"/>
    </row>
    <row r="5" spans="2:6" ht="15.75" x14ac:dyDescent="0.25">
      <c r="B5" s="437" t="s">
        <v>338</v>
      </c>
      <c r="C5" s="437"/>
      <c r="D5" s="437"/>
      <c r="E5" s="437"/>
      <c r="F5" s="437"/>
    </row>
    <row r="6" spans="2:6" ht="15.75" x14ac:dyDescent="0.25">
      <c r="B6" s="437" t="s">
        <v>241</v>
      </c>
      <c r="C6" s="437"/>
      <c r="D6" s="437"/>
      <c r="E6" s="437"/>
      <c r="F6" s="437"/>
    </row>
    <row r="7" spans="2:6" ht="15.75" x14ac:dyDescent="0.25">
      <c r="B7" s="416" t="s">
        <v>343</v>
      </c>
      <c r="C7" s="416"/>
      <c r="D7" s="416"/>
      <c r="E7" s="416"/>
      <c r="F7" s="416"/>
    </row>
    <row r="8" spans="2:6" x14ac:dyDescent="0.25">
      <c r="B8" s="38"/>
      <c r="C8" s="38"/>
      <c r="D8" s="38"/>
      <c r="E8" s="39"/>
      <c r="F8" s="38"/>
    </row>
    <row r="9" spans="2:6" x14ac:dyDescent="0.25">
      <c r="B9" s="435" t="s">
        <v>243</v>
      </c>
      <c r="C9" s="435" t="s">
        <v>244</v>
      </c>
      <c r="D9" s="134" t="s">
        <v>245</v>
      </c>
      <c r="E9" s="134" t="s">
        <v>246</v>
      </c>
      <c r="F9" s="435" t="s">
        <v>0</v>
      </c>
    </row>
    <row r="10" spans="2:6" x14ac:dyDescent="0.25">
      <c r="B10" s="435"/>
      <c r="C10" s="435"/>
      <c r="D10" s="134" t="s">
        <v>247</v>
      </c>
      <c r="E10" s="134" t="s">
        <v>248</v>
      </c>
      <c r="F10" s="435"/>
    </row>
    <row r="11" spans="2:6" x14ac:dyDescent="0.25">
      <c r="B11" s="135">
        <v>51</v>
      </c>
      <c r="C11" s="136" t="s">
        <v>140</v>
      </c>
      <c r="D11" s="124">
        <f>SUM(D12+D15+D17)</f>
        <v>7109</v>
      </c>
      <c r="E11" s="124">
        <f>SUM(E12+E15+E17)</f>
        <v>11160</v>
      </c>
      <c r="F11" s="124">
        <f>SUM(F12+F15+F17)</f>
        <v>18189</v>
      </c>
    </row>
    <row r="12" spans="2:6" x14ac:dyDescent="0.25">
      <c r="B12" s="137">
        <v>511</v>
      </c>
      <c r="C12" s="138" t="s">
        <v>249</v>
      </c>
      <c r="D12" s="127">
        <f>SUM(D13:D14)</f>
        <v>6290</v>
      </c>
      <c r="E12" s="127">
        <f>SUM(E13:E14)</f>
        <v>9600</v>
      </c>
      <c r="F12" s="127">
        <f>SUM(F13:F14)</f>
        <v>15810</v>
      </c>
    </row>
    <row r="13" spans="2:6" x14ac:dyDescent="0.25">
      <c r="B13" s="139">
        <v>51101</v>
      </c>
      <c r="C13" s="140" t="s">
        <v>250</v>
      </c>
      <c r="D13" s="130">
        <v>5040</v>
      </c>
      <c r="E13" s="130">
        <v>9600</v>
      </c>
      <c r="F13" s="130">
        <f>SUM(D13:E13)</f>
        <v>14640</v>
      </c>
    </row>
    <row r="14" spans="2:6" x14ac:dyDescent="0.25">
      <c r="B14" s="139">
        <v>51103</v>
      </c>
      <c r="C14" s="141" t="s">
        <v>251</v>
      </c>
      <c r="D14" s="130">
        <v>1250</v>
      </c>
      <c r="E14" s="130">
        <v>0</v>
      </c>
      <c r="F14" s="130">
        <v>1170</v>
      </c>
    </row>
    <row r="15" spans="2:6" x14ac:dyDescent="0.25">
      <c r="B15" s="137">
        <v>514</v>
      </c>
      <c r="C15" s="136" t="s">
        <v>254</v>
      </c>
      <c r="D15" s="127">
        <f>SUM(D16)</f>
        <v>428.4</v>
      </c>
      <c r="E15" s="127">
        <f>SUM(E16)</f>
        <v>816</v>
      </c>
      <c r="F15" s="127">
        <f t="shared" ref="F15" si="0">SUM(F16)</f>
        <v>1244.4000000000001</v>
      </c>
    </row>
    <row r="16" spans="2:6" x14ac:dyDescent="0.25">
      <c r="B16" s="142">
        <v>51401</v>
      </c>
      <c r="C16" s="141" t="s">
        <v>255</v>
      </c>
      <c r="D16" s="130">
        <v>428.4</v>
      </c>
      <c r="E16" s="130">
        <v>816</v>
      </c>
      <c r="F16" s="130">
        <f>SUM(D16:E16)</f>
        <v>1244.4000000000001</v>
      </c>
    </row>
    <row r="17" spans="2:6" x14ac:dyDescent="0.25">
      <c r="B17" s="137">
        <v>515</v>
      </c>
      <c r="C17" s="143" t="s">
        <v>256</v>
      </c>
      <c r="D17" s="127">
        <f>SUM(D18:D18)</f>
        <v>390.6</v>
      </c>
      <c r="E17" s="127">
        <f>SUM(E18:E18)</f>
        <v>744</v>
      </c>
      <c r="F17" s="127">
        <f>SUM(F18:F18)</f>
        <v>1134.5999999999999</v>
      </c>
    </row>
    <row r="18" spans="2:6" x14ac:dyDescent="0.25">
      <c r="B18" s="142">
        <v>51501</v>
      </c>
      <c r="C18" s="141" t="s">
        <v>255</v>
      </c>
      <c r="D18" s="130">
        <v>390.6</v>
      </c>
      <c r="E18" s="130">
        <v>744</v>
      </c>
      <c r="F18" s="130">
        <f>SUM(D18:E18)</f>
        <v>1134.5999999999999</v>
      </c>
    </row>
    <row r="19" spans="2:6" x14ac:dyDescent="0.25">
      <c r="B19" s="137">
        <v>54</v>
      </c>
      <c r="C19" s="143" t="s">
        <v>301</v>
      </c>
      <c r="D19" s="144">
        <f>SUM(D20)</f>
        <v>443</v>
      </c>
      <c r="E19" s="144">
        <f>SUM(E20)</f>
        <v>0</v>
      </c>
      <c r="F19" s="144">
        <f>SUM(F20)</f>
        <v>443</v>
      </c>
    </row>
    <row r="20" spans="2:6" x14ac:dyDescent="0.25">
      <c r="B20" s="137">
        <v>541</v>
      </c>
      <c r="C20" s="143" t="s">
        <v>302</v>
      </c>
      <c r="D20" s="144">
        <f>SUM(D21:D24)</f>
        <v>443</v>
      </c>
      <c r="E20" s="144">
        <f>SUM(E21:E24)</f>
        <v>0</v>
      </c>
      <c r="F20" s="144">
        <f>SUM(F21:F24)</f>
        <v>443</v>
      </c>
    </row>
    <row r="21" spans="2:6" x14ac:dyDescent="0.25">
      <c r="B21" s="142">
        <v>54105</v>
      </c>
      <c r="C21" s="141" t="s">
        <v>264</v>
      </c>
      <c r="D21" s="145">
        <v>100</v>
      </c>
      <c r="E21" s="145">
        <v>0</v>
      </c>
      <c r="F21" s="145">
        <f>SUM(D21:E21)</f>
        <v>100</v>
      </c>
    </row>
    <row r="22" spans="2:6" x14ac:dyDescent="0.25">
      <c r="B22" s="142">
        <v>54114</v>
      </c>
      <c r="C22" s="141" t="s">
        <v>268</v>
      </c>
      <c r="D22" s="145">
        <v>93</v>
      </c>
      <c r="E22" s="145">
        <v>0</v>
      </c>
      <c r="F22" s="145">
        <f>SUM(D22:E22)</f>
        <v>93</v>
      </c>
    </row>
    <row r="23" spans="2:6" x14ac:dyDescent="0.25">
      <c r="B23" s="142">
        <v>54115</v>
      </c>
      <c r="C23" s="141" t="s">
        <v>269</v>
      </c>
      <c r="D23" s="145">
        <v>150</v>
      </c>
      <c r="E23" s="145">
        <v>0</v>
      </c>
      <c r="F23" s="145">
        <f>SUM(D23:E23)</f>
        <v>150</v>
      </c>
    </row>
    <row r="24" spans="2:6" x14ac:dyDescent="0.25">
      <c r="B24" s="142">
        <v>54199</v>
      </c>
      <c r="C24" s="141" t="s">
        <v>271</v>
      </c>
      <c r="D24" s="145">
        <v>100</v>
      </c>
      <c r="E24" s="145">
        <v>0</v>
      </c>
      <c r="F24" s="145">
        <f>SUM(D24:E24)</f>
        <v>100</v>
      </c>
    </row>
    <row r="25" spans="2:6" x14ac:dyDescent="0.25">
      <c r="B25" s="101">
        <v>61</v>
      </c>
      <c r="C25" s="113" t="s">
        <v>295</v>
      </c>
      <c r="D25" s="114">
        <f>SUM(D26)</f>
        <v>800</v>
      </c>
      <c r="E25" s="114">
        <f t="shared" ref="E25:F25" si="1">SUM(E26)</f>
        <v>0</v>
      </c>
      <c r="F25" s="114">
        <f t="shared" si="1"/>
        <v>800</v>
      </c>
    </row>
    <row r="26" spans="2:6" x14ac:dyDescent="0.25">
      <c r="B26" s="101">
        <v>611</v>
      </c>
      <c r="C26" s="113" t="s">
        <v>348</v>
      </c>
      <c r="D26" s="114">
        <f>SUM(D27:D27)</f>
        <v>800</v>
      </c>
      <c r="E26" s="114">
        <f>SUM(E27:E27)</f>
        <v>0</v>
      </c>
      <c r="F26" s="114">
        <f>SUM(F27:F27)</f>
        <v>800</v>
      </c>
    </row>
    <row r="27" spans="2:6" x14ac:dyDescent="0.25">
      <c r="B27" s="115">
        <v>61104</v>
      </c>
      <c r="C27" s="116" t="s">
        <v>349</v>
      </c>
      <c r="D27" s="117">
        <v>800</v>
      </c>
      <c r="E27" s="117"/>
      <c r="F27" s="117">
        <f>SUM(D27:E27)</f>
        <v>800</v>
      </c>
    </row>
    <row r="28" spans="2:6" x14ac:dyDescent="0.25">
      <c r="B28" s="142"/>
      <c r="C28" s="131"/>
      <c r="D28" s="130"/>
      <c r="E28" s="145"/>
      <c r="F28" s="145"/>
    </row>
    <row r="29" spans="2:6" x14ac:dyDescent="0.25">
      <c r="B29" s="142"/>
      <c r="C29" s="143" t="s">
        <v>75</v>
      </c>
      <c r="D29" s="144">
        <f>SUM(D11+D19+D25)</f>
        <v>8352</v>
      </c>
      <c r="E29" s="144">
        <f>SUM(E11+E19+E25)</f>
        <v>11160</v>
      </c>
      <c r="F29" s="144">
        <f>SUM(D29:E29)</f>
        <v>19512</v>
      </c>
    </row>
    <row r="30" spans="2:6" x14ac:dyDescent="0.25">
      <c r="B30" s="142"/>
      <c r="C30" s="141"/>
      <c r="D30" s="145"/>
      <c r="E30" s="145"/>
      <c r="F30" s="145"/>
    </row>
    <row r="31" spans="2:6" x14ac:dyDescent="0.25">
      <c r="B31" s="137"/>
      <c r="C31" s="143" t="s">
        <v>65</v>
      </c>
      <c r="D31" s="144">
        <f>SUM(D11+D19+D25)</f>
        <v>8352</v>
      </c>
      <c r="E31" s="144">
        <f>SUM(E11+E19+E25)</f>
        <v>11160</v>
      </c>
      <c r="F31" s="144">
        <f>SUM(F11+F19)</f>
        <v>18632</v>
      </c>
    </row>
    <row r="32" spans="2:6" x14ac:dyDescent="0.25">
      <c r="B32" s="137"/>
      <c r="C32" s="143" t="s">
        <v>66</v>
      </c>
      <c r="D32" s="144">
        <f>SUM(D12+D15+D17+D20+D26)</f>
        <v>8352</v>
      </c>
      <c r="E32" s="144">
        <f>SUM(E12+E15+E17+E20+E26)</f>
        <v>11160</v>
      </c>
      <c r="F32" s="144">
        <f>SUM(F12+F15+F17+F20)</f>
        <v>18632</v>
      </c>
    </row>
    <row r="33" spans="2:6" x14ac:dyDescent="0.25">
      <c r="B33" s="137"/>
      <c r="C33" s="143" t="s">
        <v>67</v>
      </c>
      <c r="D33" s="144">
        <f>SUM(D13+D14+D16+D18+D21+D22+D23+D24+D27)</f>
        <v>8352</v>
      </c>
      <c r="E33" s="144">
        <f>SUM(E13+E14+E16+E18+E21+E22+E23+E24+E27)</f>
        <v>11160</v>
      </c>
      <c r="F33" s="144">
        <f>SUM(F13+F14+F16+F18+F21+F22+F23+F24)</f>
        <v>18632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F38"/>
  <sheetViews>
    <sheetView workbookViewId="0">
      <pane ySplit="10" topLeftCell="A14" activePane="bottomLeft" state="frozen"/>
      <selection pane="bottomLeft" activeCell="J20" sqref="J20"/>
    </sheetView>
  </sheetViews>
  <sheetFormatPr baseColWidth="10" defaultRowHeight="15" x14ac:dyDescent="0.25"/>
  <cols>
    <col min="1" max="1" width="3.42578125" style="33" customWidth="1"/>
    <col min="2" max="2" width="9.7109375" style="33" customWidth="1"/>
    <col min="3" max="3" width="44.85546875" style="33" customWidth="1"/>
    <col min="4" max="4" width="13.42578125" style="33" customWidth="1"/>
    <col min="5" max="5" width="16" style="33" customWidth="1"/>
    <col min="6" max="16384" width="11.42578125" style="33"/>
  </cols>
  <sheetData>
    <row r="2" spans="2:6" ht="15.75" x14ac:dyDescent="0.25">
      <c r="B2" s="403" t="s">
        <v>298</v>
      </c>
      <c r="C2" s="403"/>
      <c r="D2" s="403"/>
      <c r="E2" s="403"/>
      <c r="F2" s="403"/>
    </row>
    <row r="3" spans="2:6" ht="15.75" x14ac:dyDescent="0.25">
      <c r="B3" s="403" t="s">
        <v>238</v>
      </c>
      <c r="C3" s="403"/>
      <c r="D3" s="403"/>
      <c r="E3" s="403"/>
      <c r="F3" s="403"/>
    </row>
    <row r="4" spans="2:6" ht="15.75" x14ac:dyDescent="0.25">
      <c r="B4" s="434" t="s">
        <v>239</v>
      </c>
      <c r="C4" s="434"/>
      <c r="D4" s="434"/>
      <c r="E4" s="434"/>
      <c r="F4" s="434"/>
    </row>
    <row r="5" spans="2:6" ht="15.75" x14ac:dyDescent="0.25">
      <c r="B5" s="434" t="s">
        <v>338</v>
      </c>
      <c r="C5" s="434"/>
      <c r="D5" s="434"/>
      <c r="E5" s="434"/>
      <c r="F5" s="434"/>
    </row>
    <row r="6" spans="2:6" ht="15.75" x14ac:dyDescent="0.25">
      <c r="B6" s="434" t="s">
        <v>241</v>
      </c>
      <c r="C6" s="434"/>
      <c r="D6" s="434"/>
      <c r="E6" s="434"/>
      <c r="F6" s="434"/>
    </row>
    <row r="7" spans="2:6" ht="15.75" x14ac:dyDescent="0.25">
      <c r="B7" s="403" t="s">
        <v>339</v>
      </c>
      <c r="C7" s="403"/>
      <c r="D7" s="403"/>
      <c r="E7" s="403"/>
      <c r="F7" s="403"/>
    </row>
    <row r="8" spans="2:6" x14ac:dyDescent="0.25">
      <c r="B8" s="40"/>
      <c r="C8" s="40"/>
      <c r="D8" s="40"/>
      <c r="E8" s="41"/>
      <c r="F8" s="40"/>
    </row>
    <row r="9" spans="2:6" x14ac:dyDescent="0.25">
      <c r="B9" s="433" t="s">
        <v>243</v>
      </c>
      <c r="C9" s="433" t="s">
        <v>244</v>
      </c>
      <c r="D9" s="121" t="s">
        <v>245</v>
      </c>
      <c r="E9" s="121" t="s">
        <v>246</v>
      </c>
      <c r="F9" s="433" t="s">
        <v>0</v>
      </c>
    </row>
    <row r="10" spans="2:6" x14ac:dyDescent="0.25">
      <c r="B10" s="433"/>
      <c r="C10" s="433"/>
      <c r="D10" s="121" t="s">
        <v>247</v>
      </c>
      <c r="E10" s="121" t="s">
        <v>248</v>
      </c>
      <c r="F10" s="433"/>
    </row>
    <row r="11" spans="2:6" x14ac:dyDescent="0.25">
      <c r="B11" s="122">
        <v>51</v>
      </c>
      <c r="C11" s="123" t="s">
        <v>140</v>
      </c>
      <c r="D11" s="124">
        <f>SUM(D12+D149+D15+D17)</f>
        <v>37725.5</v>
      </c>
      <c r="E11" s="124">
        <f>SUM(E12+E15+E17)</f>
        <v>13252.5</v>
      </c>
      <c r="F11" s="124">
        <f>SUM(F12+F15+F17)</f>
        <v>50978</v>
      </c>
    </row>
    <row r="12" spans="2:6" x14ac:dyDescent="0.25">
      <c r="B12" s="125">
        <v>511</v>
      </c>
      <c r="C12" s="126" t="s">
        <v>249</v>
      </c>
      <c r="D12" s="127">
        <f>SUM(D13:D14)</f>
        <v>32870</v>
      </c>
      <c r="E12" s="127">
        <f>SUM(E13:E14)</f>
        <v>11400</v>
      </c>
      <c r="F12" s="127">
        <f>SUM(F13:F14)</f>
        <v>44270</v>
      </c>
    </row>
    <row r="13" spans="2:6" x14ac:dyDescent="0.25">
      <c r="B13" s="128">
        <v>51101</v>
      </c>
      <c r="C13" s="129" t="s">
        <v>250</v>
      </c>
      <c r="D13" s="130">
        <v>29880</v>
      </c>
      <c r="E13" s="130">
        <v>11400</v>
      </c>
      <c r="F13" s="130">
        <f>SUM(D13:E13)</f>
        <v>41280</v>
      </c>
    </row>
    <row r="14" spans="2:6" x14ac:dyDescent="0.25">
      <c r="B14" s="128">
        <v>51103</v>
      </c>
      <c r="C14" s="131" t="s">
        <v>251</v>
      </c>
      <c r="D14" s="130">
        <v>2990</v>
      </c>
      <c r="E14" s="130">
        <v>0</v>
      </c>
      <c r="F14" s="130">
        <f>SUM(D14:E14)</f>
        <v>2990</v>
      </c>
    </row>
    <row r="15" spans="2:6" x14ac:dyDescent="0.25">
      <c r="B15" s="125">
        <v>514</v>
      </c>
      <c r="C15" s="123" t="s">
        <v>254</v>
      </c>
      <c r="D15" s="127">
        <f>SUM(D16)</f>
        <v>2539.8000000000002</v>
      </c>
      <c r="E15" s="127">
        <f t="shared" ref="E15:F15" si="0">SUM(E16)</f>
        <v>969</v>
      </c>
      <c r="F15" s="127">
        <f t="shared" si="0"/>
        <v>3508.8</v>
      </c>
    </row>
    <row r="16" spans="2:6" x14ac:dyDescent="0.25">
      <c r="B16" s="132">
        <v>51401</v>
      </c>
      <c r="C16" s="131" t="s">
        <v>255</v>
      </c>
      <c r="D16" s="130">
        <v>2539.8000000000002</v>
      </c>
      <c r="E16" s="130">
        <v>969</v>
      </c>
      <c r="F16" s="130">
        <f>SUM(D16:E16)</f>
        <v>3508.8</v>
      </c>
    </row>
    <row r="17" spans="2:6" x14ac:dyDescent="0.25">
      <c r="B17" s="125">
        <v>515</v>
      </c>
      <c r="C17" s="133" t="s">
        <v>256</v>
      </c>
      <c r="D17" s="127">
        <f>SUM(D18:D18)</f>
        <v>2315.6999999999998</v>
      </c>
      <c r="E17" s="127">
        <f>SUM(E18:E18)</f>
        <v>883.5</v>
      </c>
      <c r="F17" s="127">
        <f>SUM(F18:F18)</f>
        <v>3199.2</v>
      </c>
    </row>
    <row r="18" spans="2:6" x14ac:dyDescent="0.25">
      <c r="B18" s="132">
        <v>51501</v>
      </c>
      <c r="C18" s="131" t="s">
        <v>255</v>
      </c>
      <c r="D18" s="130">
        <v>2315.6999999999998</v>
      </c>
      <c r="E18" s="130">
        <v>883.5</v>
      </c>
      <c r="F18" s="130">
        <f>SUM(D18:E18)</f>
        <v>3199.2</v>
      </c>
    </row>
    <row r="19" spans="2:6" x14ac:dyDescent="0.25">
      <c r="B19" s="125">
        <v>54</v>
      </c>
      <c r="C19" s="133" t="s">
        <v>301</v>
      </c>
      <c r="D19" s="127">
        <f>SUM(D20+D26+D28)</f>
        <v>4100</v>
      </c>
      <c r="E19" s="127">
        <f>SUM(E20+E26+E28)</f>
        <v>8000</v>
      </c>
      <c r="F19" s="127">
        <f>SUM(F20+F26+F28)</f>
        <v>12100</v>
      </c>
    </row>
    <row r="20" spans="2:6" x14ac:dyDescent="0.25">
      <c r="B20" s="125">
        <v>541</v>
      </c>
      <c r="C20" s="133" t="s">
        <v>302</v>
      </c>
      <c r="D20" s="127">
        <f>SUM(D21:D25)</f>
        <v>1900</v>
      </c>
      <c r="E20" s="127">
        <f>SUM(E21:E25)</f>
        <v>8000</v>
      </c>
      <c r="F20" s="127">
        <f>SUM(F21:F25)</f>
        <v>9900</v>
      </c>
    </row>
    <row r="21" spans="2:6" x14ac:dyDescent="0.25">
      <c r="B21" s="132">
        <v>54105</v>
      </c>
      <c r="C21" s="131" t="s">
        <v>264</v>
      </c>
      <c r="D21" s="130">
        <v>900</v>
      </c>
      <c r="E21" s="130">
        <v>0</v>
      </c>
      <c r="F21" s="130">
        <f t="shared" ref="F21:F25" si="1">SUM(D21:E21)</f>
        <v>900</v>
      </c>
    </row>
    <row r="22" spans="2:6" x14ac:dyDescent="0.25">
      <c r="B22" s="132">
        <v>54114</v>
      </c>
      <c r="C22" s="131" t="s">
        <v>268</v>
      </c>
      <c r="D22" s="130">
        <v>300</v>
      </c>
      <c r="E22" s="130">
        <v>0</v>
      </c>
      <c r="F22" s="130">
        <f t="shared" si="1"/>
        <v>300</v>
      </c>
    </row>
    <row r="23" spans="2:6" x14ac:dyDescent="0.25">
      <c r="B23" s="132">
        <v>54115</v>
      </c>
      <c r="C23" s="131" t="s">
        <v>269</v>
      </c>
      <c r="D23" s="130">
        <v>500</v>
      </c>
      <c r="E23" s="130">
        <v>0</v>
      </c>
      <c r="F23" s="130">
        <f t="shared" si="1"/>
        <v>500</v>
      </c>
    </row>
    <row r="24" spans="2:6" x14ac:dyDescent="0.25">
      <c r="B24" s="132">
        <v>54118</v>
      </c>
      <c r="C24" s="131" t="s">
        <v>340</v>
      </c>
      <c r="D24" s="130">
        <v>200</v>
      </c>
      <c r="E24" s="130">
        <v>0</v>
      </c>
      <c r="F24" s="130">
        <f t="shared" si="1"/>
        <v>200</v>
      </c>
    </row>
    <row r="25" spans="2:6" x14ac:dyDescent="0.25">
      <c r="B25" s="132">
        <v>54121</v>
      </c>
      <c r="C25" s="131" t="s">
        <v>341</v>
      </c>
      <c r="D25" s="130">
        <v>0</v>
      </c>
      <c r="E25" s="130">
        <v>8000</v>
      </c>
      <c r="F25" s="130">
        <f t="shared" si="1"/>
        <v>8000</v>
      </c>
    </row>
    <row r="26" spans="2:6" x14ac:dyDescent="0.25">
      <c r="B26" s="125">
        <v>543</v>
      </c>
      <c r="C26" s="133" t="s">
        <v>272</v>
      </c>
      <c r="D26" s="127">
        <f>SUM(D27:D27)</f>
        <v>1000</v>
      </c>
      <c r="E26" s="127">
        <f>SUM(E27:E27)</f>
        <v>0</v>
      </c>
      <c r="F26" s="127">
        <f>SUM(F27:F27)</f>
        <v>1000</v>
      </c>
    </row>
    <row r="27" spans="2:6" x14ac:dyDescent="0.25">
      <c r="B27" s="132">
        <v>54313</v>
      </c>
      <c r="C27" s="131" t="s">
        <v>276</v>
      </c>
      <c r="D27" s="130">
        <v>1000</v>
      </c>
      <c r="E27" s="130">
        <v>0</v>
      </c>
      <c r="F27" s="130">
        <f>SUM(D27:E27)</f>
        <v>1000</v>
      </c>
    </row>
    <row r="28" spans="2:6" x14ac:dyDescent="0.25">
      <c r="B28" s="122">
        <v>544</v>
      </c>
      <c r="C28" s="123" t="s">
        <v>279</v>
      </c>
      <c r="D28" s="124">
        <f>SUM(D29:D29)</f>
        <v>1200</v>
      </c>
      <c r="E28" s="124">
        <f>SUM(E29:E29)</f>
        <v>0</v>
      </c>
      <c r="F28" s="124">
        <f>SUM(F29:F29)</f>
        <v>1200</v>
      </c>
    </row>
    <row r="29" spans="2:6" x14ac:dyDescent="0.25">
      <c r="B29" s="132">
        <v>54401</v>
      </c>
      <c r="C29" s="131" t="s">
        <v>280</v>
      </c>
      <c r="D29" s="145">
        <v>1200</v>
      </c>
      <c r="E29" s="130">
        <v>0</v>
      </c>
      <c r="F29" s="130">
        <f>SUM(D29:E29)</f>
        <v>1200</v>
      </c>
    </row>
    <row r="30" spans="2:6" x14ac:dyDescent="0.25">
      <c r="B30" s="125">
        <v>55</v>
      </c>
      <c r="C30" s="133" t="s">
        <v>142</v>
      </c>
      <c r="D30" s="127">
        <f>SUM(D31)</f>
        <v>900</v>
      </c>
      <c r="E30" s="127">
        <f t="shared" ref="E30:F30" si="2">SUM(E31)</f>
        <v>900</v>
      </c>
      <c r="F30" s="127">
        <f t="shared" si="2"/>
        <v>1800</v>
      </c>
    </row>
    <row r="31" spans="2:6" x14ac:dyDescent="0.25">
      <c r="B31" s="125">
        <v>556</v>
      </c>
      <c r="C31" s="133" t="s">
        <v>286</v>
      </c>
      <c r="D31" s="127">
        <f>SUM(D32:D32)</f>
        <v>900</v>
      </c>
      <c r="E31" s="127">
        <f>SUM(E32:E32)</f>
        <v>900</v>
      </c>
      <c r="F31" s="127">
        <f>SUM(F32:F32)</f>
        <v>1800</v>
      </c>
    </row>
    <row r="32" spans="2:6" x14ac:dyDescent="0.25">
      <c r="B32" s="132">
        <v>55603</v>
      </c>
      <c r="C32" s="131" t="s">
        <v>342</v>
      </c>
      <c r="D32" s="130">
        <v>900</v>
      </c>
      <c r="E32" s="130">
        <v>900</v>
      </c>
      <c r="F32" s="130">
        <f>SUM(D32:E32)</f>
        <v>1800</v>
      </c>
    </row>
    <row r="33" spans="2:6" x14ac:dyDescent="0.25">
      <c r="B33" s="132"/>
      <c r="C33" s="131"/>
      <c r="D33" s="130"/>
      <c r="E33" s="130"/>
      <c r="F33" s="130"/>
    </row>
    <row r="34" spans="2:6" x14ac:dyDescent="0.25">
      <c r="B34" s="132"/>
      <c r="C34" s="133" t="s">
        <v>75</v>
      </c>
      <c r="D34" s="127">
        <f>SUM(D11+D19+D30)</f>
        <v>42725.5</v>
      </c>
      <c r="E34" s="127">
        <f>SUM(E11+E19+E30)</f>
        <v>22152.5</v>
      </c>
      <c r="F34" s="127">
        <f>SUM(D34:E34)</f>
        <v>64878</v>
      </c>
    </row>
    <row r="35" spans="2:6" x14ac:dyDescent="0.25">
      <c r="B35" s="132"/>
      <c r="C35" s="131"/>
      <c r="D35" s="130"/>
      <c r="E35" s="130"/>
      <c r="F35" s="130"/>
    </row>
    <row r="36" spans="2:6" x14ac:dyDescent="0.25">
      <c r="B36" s="125"/>
      <c r="C36" s="133" t="s">
        <v>65</v>
      </c>
      <c r="D36" s="127">
        <f>SUM(D11+D19+D30)</f>
        <v>42725.5</v>
      </c>
      <c r="E36" s="127">
        <f>SUM(E11+E19+E30)</f>
        <v>22152.5</v>
      </c>
      <c r="F36" s="127">
        <f>SUM(F11+F19+F30)</f>
        <v>64878</v>
      </c>
    </row>
    <row r="37" spans="2:6" x14ac:dyDescent="0.25">
      <c r="B37" s="125"/>
      <c r="C37" s="133" t="s">
        <v>66</v>
      </c>
      <c r="D37" s="127">
        <f>SUM(D12+D15+D17+D20+D26+D28+D31)</f>
        <v>42725.5</v>
      </c>
      <c r="E37" s="127">
        <f>SUM(E12+E15+E17+E20+E26+E28+E31)</f>
        <v>22152.5</v>
      </c>
      <c r="F37" s="127">
        <f>SUM(F12+F15+F17+F20+F26+F28+F31)</f>
        <v>64878</v>
      </c>
    </row>
    <row r="38" spans="2:6" x14ac:dyDescent="0.25">
      <c r="B38" s="125"/>
      <c r="C38" s="133" t="s">
        <v>67</v>
      </c>
      <c r="D38" s="127">
        <f>SUM(D13+D14+D16+D18+D21+D22+D23+D24+D25+D27+D29+D32)</f>
        <v>42725.5</v>
      </c>
      <c r="E38" s="127">
        <f>SUM(E13+E14+E16+E18+E21+E22+E23+E24+E25+E27+E29+E32)</f>
        <v>22152.5</v>
      </c>
      <c r="F38" s="127">
        <f>SUM(F13+F14+F16+F18+F21+F22+F23+F24+F25+F27+F29+F32)</f>
        <v>64878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F36"/>
  <sheetViews>
    <sheetView workbookViewId="0">
      <pane ySplit="10" topLeftCell="A11" activePane="bottomLeft" state="frozen"/>
      <selection pane="bottomLeft" activeCell="L11" sqref="L11"/>
    </sheetView>
  </sheetViews>
  <sheetFormatPr baseColWidth="10" defaultRowHeight="15" x14ac:dyDescent="0.25"/>
  <cols>
    <col min="1" max="1" width="2.42578125" style="33" customWidth="1"/>
    <col min="2" max="2" width="8.140625" style="33" customWidth="1"/>
    <col min="3" max="3" width="42.7109375" style="33" customWidth="1"/>
    <col min="4" max="4" width="13.7109375" style="33" customWidth="1"/>
    <col min="5" max="5" width="16.28515625" style="33" customWidth="1"/>
    <col min="6" max="16384" width="11.42578125" style="33"/>
  </cols>
  <sheetData>
    <row r="2" spans="2:6" ht="15.75" x14ac:dyDescent="0.25">
      <c r="B2" s="403" t="s">
        <v>298</v>
      </c>
      <c r="C2" s="403"/>
      <c r="D2" s="403"/>
      <c r="E2" s="403"/>
      <c r="F2" s="403"/>
    </row>
    <row r="3" spans="2:6" ht="15.75" x14ac:dyDescent="0.25">
      <c r="B3" s="403" t="s">
        <v>238</v>
      </c>
      <c r="C3" s="403"/>
      <c r="D3" s="403"/>
      <c r="E3" s="403"/>
      <c r="F3" s="403"/>
    </row>
    <row r="4" spans="2:6" ht="15.75" x14ac:dyDescent="0.25">
      <c r="B4" s="434" t="s">
        <v>239</v>
      </c>
      <c r="C4" s="434"/>
      <c r="D4" s="434"/>
      <c r="E4" s="434"/>
      <c r="F4" s="434"/>
    </row>
    <row r="5" spans="2:6" ht="15.75" x14ac:dyDescent="0.25">
      <c r="B5" s="434" t="s">
        <v>338</v>
      </c>
      <c r="C5" s="434"/>
      <c r="D5" s="434"/>
      <c r="E5" s="434"/>
      <c r="F5" s="434"/>
    </row>
    <row r="6" spans="2:6" ht="15.75" x14ac:dyDescent="0.25">
      <c r="B6" s="434" t="s">
        <v>241</v>
      </c>
      <c r="C6" s="434"/>
      <c r="D6" s="434"/>
      <c r="E6" s="434"/>
      <c r="F6" s="434"/>
    </row>
    <row r="7" spans="2:6" ht="15.75" x14ac:dyDescent="0.25">
      <c r="B7" s="403" t="s">
        <v>344</v>
      </c>
      <c r="C7" s="403"/>
      <c r="D7" s="403"/>
      <c r="E7" s="403"/>
      <c r="F7" s="403"/>
    </row>
    <row r="8" spans="2:6" x14ac:dyDescent="0.25">
      <c r="B8" s="42"/>
      <c r="C8" s="42"/>
      <c r="D8" s="42"/>
      <c r="E8" s="43"/>
      <c r="F8" s="42"/>
    </row>
    <row r="9" spans="2:6" x14ac:dyDescent="0.25">
      <c r="B9" s="433" t="s">
        <v>243</v>
      </c>
      <c r="C9" s="433" t="s">
        <v>244</v>
      </c>
      <c r="D9" s="121" t="s">
        <v>245</v>
      </c>
      <c r="E9" s="121" t="s">
        <v>246</v>
      </c>
      <c r="F9" s="433" t="s">
        <v>0</v>
      </c>
    </row>
    <row r="10" spans="2:6" x14ac:dyDescent="0.25">
      <c r="B10" s="433"/>
      <c r="C10" s="433"/>
      <c r="D10" s="121" t="s">
        <v>247</v>
      </c>
      <c r="E10" s="121" t="s">
        <v>248</v>
      </c>
      <c r="F10" s="433"/>
    </row>
    <row r="11" spans="2:6" x14ac:dyDescent="0.25">
      <c r="B11" s="122">
        <v>51</v>
      </c>
      <c r="C11" s="123" t="s">
        <v>140</v>
      </c>
      <c r="D11" s="124">
        <f>SUM(D12+D15+D17)</f>
        <v>10983.75</v>
      </c>
      <c r="E11" s="124">
        <f>SUM(E12+E15+E17)</f>
        <v>5859</v>
      </c>
      <c r="F11" s="124">
        <f>SUM(F12+F15+F17)</f>
        <v>16842.75</v>
      </c>
    </row>
    <row r="12" spans="2:6" x14ac:dyDescent="0.25">
      <c r="B12" s="125">
        <v>511</v>
      </c>
      <c r="C12" s="126" t="s">
        <v>249</v>
      </c>
      <c r="D12" s="127">
        <f>SUM(D13:D14)</f>
        <v>9570</v>
      </c>
      <c r="E12" s="127">
        <f>SUM(E13:E14)</f>
        <v>5040</v>
      </c>
      <c r="F12" s="127">
        <f>SUM(F13:F14)</f>
        <v>14610</v>
      </c>
    </row>
    <row r="13" spans="2:6" x14ac:dyDescent="0.25">
      <c r="B13" s="128">
        <v>51101</v>
      </c>
      <c r="C13" s="129" t="s">
        <v>250</v>
      </c>
      <c r="D13" s="130">
        <v>8700</v>
      </c>
      <c r="E13" s="130">
        <v>5040</v>
      </c>
      <c r="F13" s="130">
        <f>SUM(D13:E13)</f>
        <v>13740</v>
      </c>
    </row>
    <row r="14" spans="2:6" x14ac:dyDescent="0.25">
      <c r="B14" s="128">
        <v>51103</v>
      </c>
      <c r="C14" s="131" t="s">
        <v>251</v>
      </c>
      <c r="D14" s="130">
        <v>870</v>
      </c>
      <c r="E14" s="130">
        <v>0</v>
      </c>
      <c r="F14" s="130">
        <f>SUM(D14:E14)</f>
        <v>870</v>
      </c>
    </row>
    <row r="15" spans="2:6" x14ac:dyDescent="0.25">
      <c r="B15" s="125">
        <v>514</v>
      </c>
      <c r="C15" s="123" t="s">
        <v>254</v>
      </c>
      <c r="D15" s="127">
        <f>SUM(D16)</f>
        <v>739.5</v>
      </c>
      <c r="E15" s="127">
        <f t="shared" ref="E15:F15" si="0">SUM(E16)</f>
        <v>428.4</v>
      </c>
      <c r="F15" s="127">
        <f t="shared" si="0"/>
        <v>1167.9000000000001</v>
      </c>
    </row>
    <row r="16" spans="2:6" x14ac:dyDescent="0.25">
      <c r="B16" s="132">
        <v>51401</v>
      </c>
      <c r="C16" s="131" t="s">
        <v>255</v>
      </c>
      <c r="D16" s="130">
        <v>739.5</v>
      </c>
      <c r="E16" s="130">
        <v>428.4</v>
      </c>
      <c r="F16" s="130">
        <f>SUM(D16:E16)</f>
        <v>1167.9000000000001</v>
      </c>
    </row>
    <row r="17" spans="2:6" x14ac:dyDescent="0.25">
      <c r="B17" s="125">
        <v>515</v>
      </c>
      <c r="C17" s="133" t="s">
        <v>256</v>
      </c>
      <c r="D17" s="127">
        <f>SUM(D18:D18)</f>
        <v>674.25</v>
      </c>
      <c r="E17" s="127">
        <f>SUM(E18:E18)</f>
        <v>390.6</v>
      </c>
      <c r="F17" s="127">
        <f>SUM(F18:F18)</f>
        <v>1064.8499999999999</v>
      </c>
    </row>
    <row r="18" spans="2:6" x14ac:dyDescent="0.25">
      <c r="B18" s="132">
        <v>51501</v>
      </c>
      <c r="C18" s="131" t="s">
        <v>255</v>
      </c>
      <c r="D18" s="130">
        <v>674.25</v>
      </c>
      <c r="E18" s="130">
        <v>390.6</v>
      </c>
      <c r="F18" s="130">
        <f>SUM(D18:E18)</f>
        <v>1064.8499999999999</v>
      </c>
    </row>
    <row r="19" spans="2:6" x14ac:dyDescent="0.25">
      <c r="B19" s="125">
        <v>54</v>
      </c>
      <c r="C19" s="133" t="s">
        <v>301</v>
      </c>
      <c r="D19" s="127">
        <f>SUM(D20+D24+D26)</f>
        <v>2826.8</v>
      </c>
      <c r="E19" s="127">
        <f>SUM(E20+E24+E26)</f>
        <v>0</v>
      </c>
      <c r="F19" s="127">
        <f>SUM(F20+F24+F26)</f>
        <v>2826.8</v>
      </c>
    </row>
    <row r="20" spans="2:6" x14ac:dyDescent="0.25">
      <c r="B20" s="125">
        <v>541</v>
      </c>
      <c r="C20" s="133" t="s">
        <v>345</v>
      </c>
      <c r="D20" s="127">
        <f>SUM(D21:D23)</f>
        <v>805.8</v>
      </c>
      <c r="E20" s="127">
        <f>SUM(E21:E23)</f>
        <v>0</v>
      </c>
      <c r="F20" s="127">
        <f>SUM(F21:F23)</f>
        <v>805.8</v>
      </c>
    </row>
    <row r="21" spans="2:6" x14ac:dyDescent="0.25">
      <c r="B21" s="132">
        <v>54105</v>
      </c>
      <c r="C21" s="131" t="s">
        <v>264</v>
      </c>
      <c r="D21" s="130">
        <v>205.8</v>
      </c>
      <c r="E21" s="130"/>
      <c r="F21" s="130">
        <f>D21+E21</f>
        <v>205.8</v>
      </c>
    </row>
    <row r="22" spans="2:6" x14ac:dyDescent="0.25">
      <c r="B22" s="132">
        <v>54114</v>
      </c>
      <c r="C22" s="131" t="s">
        <v>268</v>
      </c>
      <c r="D22" s="130">
        <v>300</v>
      </c>
      <c r="E22" s="130"/>
      <c r="F22" s="130">
        <f>SUM(D22:E22)</f>
        <v>300</v>
      </c>
    </row>
    <row r="23" spans="2:6" x14ac:dyDescent="0.25">
      <c r="B23" s="132">
        <v>54115</v>
      </c>
      <c r="C23" s="131" t="s">
        <v>269</v>
      </c>
      <c r="D23" s="130">
        <v>300</v>
      </c>
      <c r="E23" s="130"/>
      <c r="F23" s="130">
        <f>SUM(D23:E23)</f>
        <v>300</v>
      </c>
    </row>
    <row r="24" spans="2:6" x14ac:dyDescent="0.25">
      <c r="B24" s="125">
        <v>543</v>
      </c>
      <c r="C24" s="133" t="s">
        <v>272</v>
      </c>
      <c r="D24" s="127">
        <f>SUM(D25:D25)</f>
        <v>2000</v>
      </c>
      <c r="E24" s="127">
        <f>SUM(E25:E25)</f>
        <v>0</v>
      </c>
      <c r="F24" s="127">
        <f>SUM(F25:F25)</f>
        <v>2000</v>
      </c>
    </row>
    <row r="25" spans="2:6" x14ac:dyDescent="0.25">
      <c r="B25" s="132">
        <v>54301</v>
      </c>
      <c r="C25" s="131" t="s">
        <v>273</v>
      </c>
      <c r="D25" s="145">
        <v>2000</v>
      </c>
      <c r="E25" s="130"/>
      <c r="F25" s="130">
        <f>SUM(D25:E25)</f>
        <v>2000</v>
      </c>
    </row>
    <row r="26" spans="2:6" x14ac:dyDescent="0.25">
      <c r="B26" s="122">
        <v>544</v>
      </c>
      <c r="C26" s="123" t="s">
        <v>279</v>
      </c>
      <c r="D26" s="124">
        <f>SUM(D27:D27)</f>
        <v>21</v>
      </c>
      <c r="E26" s="124">
        <f>SUM(E27:E27)</f>
        <v>0</v>
      </c>
      <c r="F26" s="124">
        <f>SUM(F27:F27)</f>
        <v>21</v>
      </c>
    </row>
    <row r="27" spans="2:6" x14ac:dyDescent="0.25">
      <c r="B27" s="132">
        <v>54401</v>
      </c>
      <c r="C27" s="131" t="s">
        <v>280</v>
      </c>
      <c r="D27" s="130">
        <v>21</v>
      </c>
      <c r="E27" s="130"/>
      <c r="F27" s="130">
        <f>SUM(D27:E27)</f>
        <v>21</v>
      </c>
    </row>
    <row r="28" spans="2:6" x14ac:dyDescent="0.25">
      <c r="B28" s="101">
        <v>61</v>
      </c>
      <c r="C28" s="113" t="s">
        <v>295</v>
      </c>
      <c r="D28" s="114">
        <f>SUM(D29)</f>
        <v>150</v>
      </c>
      <c r="E28" s="114">
        <f t="shared" ref="E28:F28" si="1">SUM(E29)</f>
        <v>0</v>
      </c>
      <c r="F28" s="114">
        <f t="shared" si="1"/>
        <v>150</v>
      </c>
    </row>
    <row r="29" spans="2:6" x14ac:dyDescent="0.25">
      <c r="B29" s="101">
        <v>611</v>
      </c>
      <c r="C29" s="113" t="s">
        <v>348</v>
      </c>
      <c r="D29" s="114">
        <f>SUM(D30:D30)</f>
        <v>150</v>
      </c>
      <c r="E29" s="114">
        <f>SUM(E30:E30)</f>
        <v>0</v>
      </c>
      <c r="F29" s="114">
        <f>SUM(F30:F30)</f>
        <v>150</v>
      </c>
    </row>
    <row r="30" spans="2:6" x14ac:dyDescent="0.25">
      <c r="B30" s="115">
        <v>61104</v>
      </c>
      <c r="C30" s="116" t="s">
        <v>349</v>
      </c>
      <c r="D30" s="117">
        <v>150</v>
      </c>
      <c r="E30" s="117"/>
      <c r="F30" s="117">
        <f>SUM(D30:E30)</f>
        <v>150</v>
      </c>
    </row>
    <row r="31" spans="2:6" x14ac:dyDescent="0.25">
      <c r="B31" s="132"/>
      <c r="C31" s="131"/>
      <c r="D31" s="130"/>
      <c r="E31" s="130"/>
      <c r="F31" s="130"/>
    </row>
    <row r="32" spans="2:6" x14ac:dyDescent="0.25">
      <c r="B32" s="132"/>
      <c r="C32" s="133" t="s">
        <v>75</v>
      </c>
      <c r="D32" s="127">
        <f>SUM(D11+D19+D28)</f>
        <v>13960.55</v>
      </c>
      <c r="E32" s="127">
        <f>SUM(E11+E19)</f>
        <v>5859</v>
      </c>
      <c r="F32" s="127">
        <f>SUM(D32:E32)</f>
        <v>19819.55</v>
      </c>
    </row>
    <row r="33" spans="2:6" x14ac:dyDescent="0.25">
      <c r="B33" s="132"/>
      <c r="C33" s="131"/>
      <c r="D33" s="130"/>
      <c r="E33" s="130"/>
      <c r="F33" s="130"/>
    </row>
    <row r="34" spans="2:6" x14ac:dyDescent="0.25">
      <c r="B34" s="125"/>
      <c r="C34" s="133" t="s">
        <v>65</v>
      </c>
      <c r="D34" s="127">
        <f>SUM(D11+D19+D28)</f>
        <v>13960.55</v>
      </c>
      <c r="E34" s="127">
        <f>SUM(E11+E19)</f>
        <v>5859</v>
      </c>
      <c r="F34" s="127">
        <f>SUM(F11+F19)</f>
        <v>19669.55</v>
      </c>
    </row>
    <row r="35" spans="2:6" x14ac:dyDescent="0.25">
      <c r="B35" s="125"/>
      <c r="C35" s="133" t="s">
        <v>66</v>
      </c>
      <c r="D35" s="127">
        <f>SUM(D12+D15+D17+D20+D24+D26+D29)</f>
        <v>13960.55</v>
      </c>
      <c r="E35" s="127">
        <f>SUM(E12+E15+E17+E20+E24+E26)</f>
        <v>5859</v>
      </c>
      <c r="F35" s="127">
        <f>SUM(F12+F15+F17+F20+F24+F26)</f>
        <v>19669.55</v>
      </c>
    </row>
    <row r="36" spans="2:6" x14ac:dyDescent="0.25">
      <c r="B36" s="125"/>
      <c r="C36" s="133" t="s">
        <v>67</v>
      </c>
      <c r="D36" s="127">
        <f>SUM(D13+D14+D16+D18+D21+D22+D23+D25+D27+D30)</f>
        <v>13960.55</v>
      </c>
      <c r="E36" s="127">
        <f>SUM(E13+E14+E16+E18+E21+E22+E23+E25+E27)</f>
        <v>5859</v>
      </c>
      <c r="F36" s="127">
        <f>SUM(F13+F14+F16+F18+F21+F22+F23+F25+F27)</f>
        <v>19669.55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F47"/>
  <sheetViews>
    <sheetView workbookViewId="0">
      <pane ySplit="10" topLeftCell="A11" activePane="bottomLeft" state="frozen"/>
      <selection pane="bottomLeft" activeCell="H32" sqref="H32"/>
    </sheetView>
  </sheetViews>
  <sheetFormatPr baseColWidth="10" defaultRowHeight="15" x14ac:dyDescent="0.25"/>
  <cols>
    <col min="1" max="1" width="2.85546875" style="33" customWidth="1"/>
    <col min="2" max="2" width="8.140625" style="33" customWidth="1"/>
    <col min="3" max="3" width="42.85546875" style="33" customWidth="1"/>
    <col min="4" max="4" width="13.28515625" style="33" customWidth="1"/>
    <col min="5" max="5" width="16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338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4" t="s">
        <v>160</v>
      </c>
      <c r="C7" s="404"/>
      <c r="D7" s="404"/>
      <c r="E7" s="404"/>
      <c r="F7" s="404"/>
    </row>
    <row r="8" spans="2:6" x14ac:dyDescent="0.25">
      <c r="B8" s="34"/>
      <c r="C8" s="34"/>
      <c r="D8" s="34"/>
      <c r="E8" s="35"/>
      <c r="F8" s="34"/>
    </row>
    <row r="9" spans="2:6" x14ac:dyDescent="0.25">
      <c r="B9" s="400" t="s">
        <v>243</v>
      </c>
      <c r="C9" s="400" t="s">
        <v>244</v>
      </c>
      <c r="D9" s="102" t="s">
        <v>245</v>
      </c>
      <c r="E9" s="102" t="s">
        <v>246</v>
      </c>
      <c r="F9" s="400" t="s">
        <v>0</v>
      </c>
    </row>
    <row r="10" spans="2:6" x14ac:dyDescent="0.25">
      <c r="B10" s="400"/>
      <c r="C10" s="400"/>
      <c r="D10" s="102" t="s">
        <v>247</v>
      </c>
      <c r="E10" s="102" t="s">
        <v>248</v>
      </c>
      <c r="F10" s="400"/>
    </row>
    <row r="11" spans="2:6" x14ac:dyDescent="0.25">
      <c r="B11" s="80">
        <v>51</v>
      </c>
      <c r="C11" s="110" t="s">
        <v>140</v>
      </c>
      <c r="D11" s="104">
        <f>SUM(D12+D15+D17)</f>
        <v>35857.75</v>
      </c>
      <c r="E11" s="104">
        <f t="shared" ref="E11:F11" si="0">SUM(E12+E15+E17)</f>
        <v>19530</v>
      </c>
      <c r="F11" s="104">
        <f t="shared" si="0"/>
        <v>55387.75</v>
      </c>
    </row>
    <row r="12" spans="2:6" x14ac:dyDescent="0.25">
      <c r="B12" s="85">
        <v>511</v>
      </c>
      <c r="C12" s="118" t="s">
        <v>249</v>
      </c>
      <c r="D12" s="106">
        <f>SUM(D13:D14)</f>
        <v>31285</v>
      </c>
      <c r="E12" s="106">
        <f>SUM(E13:E14)</f>
        <v>16800</v>
      </c>
      <c r="F12" s="106">
        <f>SUM(F13:F14)</f>
        <v>48085</v>
      </c>
    </row>
    <row r="13" spans="2:6" x14ac:dyDescent="0.25">
      <c r="B13" s="88">
        <v>51101</v>
      </c>
      <c r="C13" s="107" t="s">
        <v>250</v>
      </c>
      <c r="D13" s="108">
        <v>28140</v>
      </c>
      <c r="E13" s="108">
        <v>16800</v>
      </c>
      <c r="F13" s="108">
        <f>SUM(D13:E13)</f>
        <v>44940</v>
      </c>
    </row>
    <row r="14" spans="2:6" x14ac:dyDescent="0.25">
      <c r="B14" s="88">
        <v>51103</v>
      </c>
      <c r="C14" s="109" t="s">
        <v>251</v>
      </c>
      <c r="D14" s="108">
        <v>3145</v>
      </c>
      <c r="E14" s="108">
        <v>0</v>
      </c>
      <c r="F14" s="108">
        <f>SUM(D14:E14)</f>
        <v>3145</v>
      </c>
    </row>
    <row r="15" spans="2:6" x14ac:dyDescent="0.25">
      <c r="B15" s="85">
        <v>514</v>
      </c>
      <c r="C15" s="110" t="s">
        <v>254</v>
      </c>
      <c r="D15" s="106">
        <f>SUM(D16)</f>
        <v>2391.9</v>
      </c>
      <c r="E15" s="106">
        <f t="shared" ref="E15:F15" si="1">SUM(E16)</f>
        <v>1428</v>
      </c>
      <c r="F15" s="106">
        <f t="shared" si="1"/>
        <v>3819.9</v>
      </c>
    </row>
    <row r="16" spans="2:6" x14ac:dyDescent="0.25">
      <c r="B16" s="94">
        <v>51401</v>
      </c>
      <c r="C16" s="109" t="s">
        <v>255</v>
      </c>
      <c r="D16" s="108">
        <v>2391.9</v>
      </c>
      <c r="E16" s="108">
        <v>1428</v>
      </c>
      <c r="F16" s="108">
        <f>SUM(D16:E16)</f>
        <v>3819.9</v>
      </c>
    </row>
    <row r="17" spans="2:6" x14ac:dyDescent="0.25">
      <c r="B17" s="85">
        <v>515</v>
      </c>
      <c r="C17" s="111" t="s">
        <v>256</v>
      </c>
      <c r="D17" s="106">
        <f>SUM(D18:D18)</f>
        <v>2180.85</v>
      </c>
      <c r="E17" s="106">
        <f>SUM(E18:E18)</f>
        <v>1302</v>
      </c>
      <c r="F17" s="106">
        <f>SUM(F18:F18)</f>
        <v>3482.85</v>
      </c>
    </row>
    <row r="18" spans="2:6" x14ac:dyDescent="0.25">
      <c r="B18" s="94">
        <v>51501</v>
      </c>
      <c r="C18" s="109" t="s">
        <v>255</v>
      </c>
      <c r="D18" s="108">
        <v>2180.85</v>
      </c>
      <c r="E18" s="108">
        <v>1302</v>
      </c>
      <c r="F18" s="108">
        <f>SUM(D18:E18)</f>
        <v>3482.85</v>
      </c>
    </row>
    <row r="19" spans="2:6" x14ac:dyDescent="0.25">
      <c r="B19" s="85">
        <v>54</v>
      </c>
      <c r="C19" s="111" t="s">
        <v>301</v>
      </c>
      <c r="D19" s="106">
        <f>SUM(D20+D28+D32)</f>
        <v>13488</v>
      </c>
      <c r="E19" s="106">
        <f>SUM(E20+E28+E32)</f>
        <v>161</v>
      </c>
      <c r="F19" s="106">
        <f>SUM(F20+F28+F32)</f>
        <v>13649</v>
      </c>
    </row>
    <row r="20" spans="2:6" x14ac:dyDescent="0.25">
      <c r="B20" s="85">
        <v>541</v>
      </c>
      <c r="C20" s="111" t="s">
        <v>302</v>
      </c>
      <c r="D20" s="106">
        <f>SUM(D21:D27)</f>
        <v>4388</v>
      </c>
      <c r="E20" s="106">
        <f>SUM(E21:E27)</f>
        <v>161</v>
      </c>
      <c r="F20" s="106">
        <f>SUM(F21:F27)</f>
        <v>4549</v>
      </c>
    </row>
    <row r="21" spans="2:6" x14ac:dyDescent="0.25">
      <c r="B21" s="94">
        <v>54105</v>
      </c>
      <c r="C21" s="109" t="s">
        <v>264</v>
      </c>
      <c r="D21" s="108">
        <v>1000</v>
      </c>
      <c r="E21" s="108">
        <v>0</v>
      </c>
      <c r="F21" s="108">
        <f t="shared" ref="F21:F27" si="2">SUM(D21:E21)</f>
        <v>1000</v>
      </c>
    </row>
    <row r="22" spans="2:6" x14ac:dyDescent="0.25">
      <c r="B22" s="94">
        <v>54106</v>
      </c>
      <c r="C22" s="109" t="s">
        <v>265</v>
      </c>
      <c r="D22" s="146">
        <v>822</v>
      </c>
      <c r="E22" s="146">
        <v>0</v>
      </c>
      <c r="F22" s="108">
        <f t="shared" si="2"/>
        <v>822</v>
      </c>
    </row>
    <row r="23" spans="2:6" x14ac:dyDescent="0.25">
      <c r="B23" s="94">
        <v>54114</v>
      </c>
      <c r="C23" s="109" t="s">
        <v>268</v>
      </c>
      <c r="D23" s="108">
        <v>700</v>
      </c>
      <c r="E23" s="108">
        <v>0</v>
      </c>
      <c r="F23" s="108">
        <f t="shared" si="2"/>
        <v>700</v>
      </c>
    </row>
    <row r="24" spans="2:6" x14ac:dyDescent="0.25">
      <c r="B24" s="94">
        <v>54115</v>
      </c>
      <c r="C24" s="109" t="s">
        <v>269</v>
      </c>
      <c r="D24" s="108">
        <v>1000</v>
      </c>
      <c r="E24" s="108">
        <v>0</v>
      </c>
      <c r="F24" s="108">
        <f t="shared" si="2"/>
        <v>1000</v>
      </c>
    </row>
    <row r="25" spans="2:6" x14ac:dyDescent="0.25">
      <c r="B25" s="94">
        <v>54116</v>
      </c>
      <c r="C25" s="109" t="s">
        <v>404</v>
      </c>
      <c r="D25" s="146">
        <v>0</v>
      </c>
      <c r="E25" s="146">
        <v>161</v>
      </c>
      <c r="F25" s="147">
        <f t="shared" si="2"/>
        <v>161</v>
      </c>
    </row>
    <row r="26" spans="2:6" x14ac:dyDescent="0.25">
      <c r="B26" s="94">
        <v>54118</v>
      </c>
      <c r="C26" s="109" t="s">
        <v>405</v>
      </c>
      <c r="D26" s="146">
        <v>800</v>
      </c>
      <c r="E26" s="146">
        <v>0</v>
      </c>
      <c r="F26" s="147">
        <f t="shared" si="2"/>
        <v>800</v>
      </c>
    </row>
    <row r="27" spans="2:6" x14ac:dyDescent="0.25">
      <c r="B27" s="94">
        <v>54199</v>
      </c>
      <c r="C27" s="109" t="s">
        <v>271</v>
      </c>
      <c r="D27" s="108">
        <v>66</v>
      </c>
      <c r="E27" s="108">
        <v>0</v>
      </c>
      <c r="F27" s="147">
        <f t="shared" si="2"/>
        <v>66</v>
      </c>
    </row>
    <row r="28" spans="2:6" x14ac:dyDescent="0.25">
      <c r="B28" s="85">
        <v>543</v>
      </c>
      <c r="C28" s="111" t="s">
        <v>272</v>
      </c>
      <c r="D28" s="106">
        <f>SUM(D29:D31)</f>
        <v>8500</v>
      </c>
      <c r="E28" s="106">
        <f>SUM(E29:E31)</f>
        <v>0</v>
      </c>
      <c r="F28" s="106">
        <f>SUM(F29:F31)</f>
        <v>8500</v>
      </c>
    </row>
    <row r="29" spans="2:6" x14ac:dyDescent="0.25">
      <c r="B29" s="94">
        <v>54301</v>
      </c>
      <c r="C29" s="109" t="s">
        <v>346</v>
      </c>
      <c r="D29" s="117">
        <v>500</v>
      </c>
      <c r="E29" s="108">
        <v>0</v>
      </c>
      <c r="F29" s="108">
        <f>SUM(D29:E29)</f>
        <v>500</v>
      </c>
    </row>
    <row r="30" spans="2:6" x14ac:dyDescent="0.25">
      <c r="B30" s="94">
        <v>54313</v>
      </c>
      <c r="C30" s="109" t="s">
        <v>276</v>
      </c>
      <c r="D30" s="117">
        <v>1000</v>
      </c>
      <c r="E30" s="108">
        <v>0</v>
      </c>
      <c r="F30" s="108">
        <f>SUM(D30:E30)</f>
        <v>1000</v>
      </c>
    </row>
    <row r="31" spans="2:6" x14ac:dyDescent="0.25">
      <c r="B31" s="94">
        <v>54318</v>
      </c>
      <c r="C31" s="109" t="s">
        <v>347</v>
      </c>
      <c r="D31" s="108">
        <v>7000</v>
      </c>
      <c r="E31" s="108">
        <v>0</v>
      </c>
      <c r="F31" s="108">
        <f>SUM(D31:E31)</f>
        <v>7000</v>
      </c>
    </row>
    <row r="32" spans="2:6" x14ac:dyDescent="0.25">
      <c r="B32" s="80">
        <v>544</v>
      </c>
      <c r="C32" s="110" t="s">
        <v>279</v>
      </c>
      <c r="D32" s="104">
        <f>SUM(D33:D33)</f>
        <v>600</v>
      </c>
      <c r="E32" s="104">
        <f t="shared" ref="E32" si="3">SUM(E33:E33)</f>
        <v>0</v>
      </c>
      <c r="F32" s="104">
        <f>SUM(F33:F33)</f>
        <v>600</v>
      </c>
    </row>
    <row r="33" spans="2:6" x14ac:dyDescent="0.25">
      <c r="B33" s="94">
        <v>54401</v>
      </c>
      <c r="C33" s="109" t="s">
        <v>280</v>
      </c>
      <c r="D33" s="108">
        <v>600</v>
      </c>
      <c r="E33" s="108">
        <v>0</v>
      </c>
      <c r="F33" s="108">
        <f>SUM(D33:E33)</f>
        <v>600</v>
      </c>
    </row>
    <row r="34" spans="2:6" x14ac:dyDescent="0.25">
      <c r="B34" s="85">
        <v>55</v>
      </c>
      <c r="C34" s="111" t="s">
        <v>142</v>
      </c>
      <c r="D34" s="106">
        <f>SUM(D35:D35)</f>
        <v>10000</v>
      </c>
      <c r="E34" s="106">
        <f>SUM(E35:E35)</f>
        <v>0</v>
      </c>
      <c r="F34" s="106">
        <f>SUM(F35)</f>
        <v>10000</v>
      </c>
    </row>
    <row r="35" spans="2:6" x14ac:dyDescent="0.25">
      <c r="B35" s="85">
        <v>557</v>
      </c>
      <c r="C35" s="111" t="s">
        <v>444</v>
      </c>
      <c r="D35" s="106">
        <f>SUM(D36:D36)</f>
        <v>10000</v>
      </c>
      <c r="E35" s="106">
        <f>SUM(E36:E36)</f>
        <v>0</v>
      </c>
      <c r="F35" s="106">
        <f>SUM(F36:F36)</f>
        <v>10000</v>
      </c>
    </row>
    <row r="36" spans="2:6" x14ac:dyDescent="0.25">
      <c r="B36" s="94">
        <v>55704</v>
      </c>
      <c r="C36" s="109" t="s">
        <v>443</v>
      </c>
      <c r="D36" s="117">
        <v>10000</v>
      </c>
      <c r="E36" s="117">
        <v>0</v>
      </c>
      <c r="F36" s="108">
        <f>D36+E36</f>
        <v>10000</v>
      </c>
    </row>
    <row r="37" spans="2:6" x14ac:dyDescent="0.25">
      <c r="B37" s="85">
        <v>61</v>
      </c>
      <c r="C37" s="111" t="s">
        <v>295</v>
      </c>
      <c r="D37" s="114">
        <f>SUM(D38)</f>
        <v>0</v>
      </c>
      <c r="E37" s="114">
        <f t="shared" ref="E37:F37" si="4">SUM(E38)</f>
        <v>3325</v>
      </c>
      <c r="F37" s="106">
        <f t="shared" si="4"/>
        <v>2525</v>
      </c>
    </row>
    <row r="38" spans="2:6" x14ac:dyDescent="0.25">
      <c r="B38" s="85">
        <v>611</v>
      </c>
      <c r="C38" s="111" t="s">
        <v>348</v>
      </c>
      <c r="D38" s="114">
        <f>SUM(D40:D41)</f>
        <v>0</v>
      </c>
      <c r="E38" s="114">
        <f>SUM(E39:E41)</f>
        <v>3325</v>
      </c>
      <c r="F38" s="106">
        <f>SUM(F40:F42)</f>
        <v>2525</v>
      </c>
    </row>
    <row r="39" spans="2:6" x14ac:dyDescent="0.25">
      <c r="B39" s="94">
        <v>61101</v>
      </c>
      <c r="C39" s="109" t="s">
        <v>321</v>
      </c>
      <c r="D39" s="282">
        <v>0</v>
      </c>
      <c r="E39" s="282">
        <v>800</v>
      </c>
      <c r="F39" s="147">
        <f>SUM(D39:E39)</f>
        <v>800</v>
      </c>
    </row>
    <row r="40" spans="2:6" x14ac:dyDescent="0.25">
      <c r="B40" s="94">
        <v>61104</v>
      </c>
      <c r="C40" s="109" t="s">
        <v>349</v>
      </c>
      <c r="D40" s="117">
        <v>0</v>
      </c>
      <c r="E40" s="117">
        <v>1025</v>
      </c>
      <c r="F40" s="108">
        <f>SUM(D40:E40)</f>
        <v>1025</v>
      </c>
    </row>
    <row r="41" spans="2:6" x14ac:dyDescent="0.25">
      <c r="B41" s="94">
        <v>61105</v>
      </c>
      <c r="C41" s="109" t="s">
        <v>406</v>
      </c>
      <c r="D41" s="282">
        <v>0</v>
      </c>
      <c r="E41" s="282">
        <v>1500</v>
      </c>
      <c r="F41" s="147">
        <f>SUM(D41:E41)</f>
        <v>1500</v>
      </c>
    </row>
    <row r="42" spans="2:6" x14ac:dyDescent="0.25">
      <c r="B42" s="94"/>
      <c r="C42" s="109"/>
      <c r="D42" s="117"/>
      <c r="E42" s="117"/>
      <c r="F42" s="108"/>
    </row>
    <row r="43" spans="2:6" x14ac:dyDescent="0.25">
      <c r="B43" s="94"/>
      <c r="C43" s="111" t="s">
        <v>75</v>
      </c>
      <c r="D43" s="106">
        <f>SUM(D11+D19+D34+D37)</f>
        <v>59345.75</v>
      </c>
      <c r="E43" s="106">
        <f>SUM(E11+E19+E34+E37)</f>
        <v>23016</v>
      </c>
      <c r="F43" s="106">
        <f>SUM(D43:E43)</f>
        <v>82361.75</v>
      </c>
    </row>
    <row r="44" spans="2:6" x14ac:dyDescent="0.25">
      <c r="B44" s="94"/>
      <c r="C44" s="109"/>
      <c r="D44" s="108"/>
      <c r="E44" s="108"/>
      <c r="F44" s="108"/>
    </row>
    <row r="45" spans="2:6" x14ac:dyDescent="0.25">
      <c r="B45" s="85"/>
      <c r="C45" s="111" t="s">
        <v>65</v>
      </c>
      <c r="D45" s="106">
        <f>SUM(D11+D19+D34+D37)</f>
        <v>59345.75</v>
      </c>
      <c r="E45" s="106">
        <f>SUM(E11+E19+E37)</f>
        <v>23016</v>
      </c>
      <c r="F45" s="106">
        <f>SUM(F11+F19+F34+F37)</f>
        <v>81561.75</v>
      </c>
    </row>
    <row r="46" spans="2:6" x14ac:dyDescent="0.25">
      <c r="B46" s="85"/>
      <c r="C46" s="111" t="s">
        <v>66</v>
      </c>
      <c r="D46" s="106">
        <f>SUM(D12+D15+D17+D20+D28+D32+D35+D38)</f>
        <v>59345.75</v>
      </c>
      <c r="E46" s="106">
        <f>SUM(E12+E15+E17+E20+E28+E32+E38)</f>
        <v>23016</v>
      </c>
      <c r="F46" s="106">
        <f>SUM(F12+F15+F17+F20+F28+F32+F35+F38)</f>
        <v>81561.75</v>
      </c>
    </row>
    <row r="47" spans="2:6" x14ac:dyDescent="0.25">
      <c r="B47" s="85"/>
      <c r="C47" s="111" t="s">
        <v>67</v>
      </c>
      <c r="D47" s="106">
        <f>SUM(D13+D14+D16+D18+D21+D22+D23+D24+D26+D27+D29+D30+D31+D33+D36+D40)</f>
        <v>59345.75</v>
      </c>
      <c r="E47" s="106">
        <f>SUM(E13+E14+E16+E18+E21+E22+E23+E24+E25+E26+E27+E29+E30+E31+E33+E40+E39+E41)</f>
        <v>23016</v>
      </c>
      <c r="F47" s="106">
        <f>SUM(F13+F14+F16+F18+F21+F22+F23+F24+F25+F26+F27+F29+F30+F31+F33+F36+F40+F39+F41)</f>
        <v>82361.75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F35"/>
  <sheetViews>
    <sheetView workbookViewId="0">
      <pane ySplit="10" topLeftCell="A11" activePane="bottomLeft" state="frozen"/>
      <selection pane="bottomLeft" activeCell="J31" sqref="J31"/>
    </sheetView>
  </sheetViews>
  <sheetFormatPr baseColWidth="10" defaultRowHeight="15" x14ac:dyDescent="0.25"/>
  <cols>
    <col min="1" max="1" width="3.140625" style="33" customWidth="1"/>
    <col min="2" max="2" width="8" style="33" customWidth="1"/>
    <col min="3" max="3" width="42.28515625" style="33" customWidth="1"/>
    <col min="4" max="4" width="12.42578125" style="33" customWidth="1"/>
    <col min="5" max="5" width="16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34" t="s">
        <v>239</v>
      </c>
      <c r="C4" s="434"/>
      <c r="D4" s="434"/>
      <c r="E4" s="434"/>
      <c r="F4" s="434"/>
    </row>
    <row r="5" spans="2:6" ht="15.75" x14ac:dyDescent="0.25">
      <c r="B5" s="434" t="s">
        <v>338</v>
      </c>
      <c r="C5" s="434"/>
      <c r="D5" s="434"/>
      <c r="E5" s="434"/>
      <c r="F5" s="434"/>
    </row>
    <row r="6" spans="2:6" ht="15.75" x14ac:dyDescent="0.25">
      <c r="B6" s="434" t="s">
        <v>241</v>
      </c>
      <c r="C6" s="434"/>
      <c r="D6" s="434"/>
      <c r="E6" s="434"/>
      <c r="F6" s="434"/>
    </row>
    <row r="7" spans="2:6" ht="15.75" x14ac:dyDescent="0.25">
      <c r="B7" s="404" t="s">
        <v>161</v>
      </c>
      <c r="C7" s="404"/>
      <c r="D7" s="404"/>
      <c r="E7" s="404"/>
      <c r="F7" s="404"/>
    </row>
    <row r="8" spans="2:6" x14ac:dyDescent="0.25">
      <c r="B8" s="46"/>
      <c r="C8" s="46"/>
      <c r="D8" s="46"/>
      <c r="E8" s="43"/>
      <c r="F8" s="46"/>
    </row>
    <row r="9" spans="2:6" x14ac:dyDescent="0.25">
      <c r="B9" s="433" t="s">
        <v>243</v>
      </c>
      <c r="C9" s="433" t="s">
        <v>244</v>
      </c>
      <c r="D9" s="121" t="s">
        <v>245</v>
      </c>
      <c r="E9" s="121" t="s">
        <v>246</v>
      </c>
      <c r="F9" s="433" t="s">
        <v>0</v>
      </c>
    </row>
    <row r="10" spans="2:6" x14ac:dyDescent="0.25">
      <c r="B10" s="433"/>
      <c r="C10" s="433"/>
      <c r="D10" s="121" t="s">
        <v>247</v>
      </c>
      <c r="E10" s="121" t="s">
        <v>248</v>
      </c>
      <c r="F10" s="433"/>
    </row>
    <row r="11" spans="2:6" x14ac:dyDescent="0.25">
      <c r="B11" s="122">
        <v>51</v>
      </c>
      <c r="C11" s="123" t="s">
        <v>140</v>
      </c>
      <c r="D11" s="124">
        <f>SUM(D12+D15+D17)</f>
        <v>16945</v>
      </c>
      <c r="E11" s="124">
        <f>SUM(E12+E15+E17)</f>
        <v>10462.5</v>
      </c>
      <c r="F11" s="124">
        <f>SUM(F12+F15+F17)</f>
        <v>27407.5</v>
      </c>
    </row>
    <row r="12" spans="2:6" x14ac:dyDescent="0.25">
      <c r="B12" s="125">
        <v>511</v>
      </c>
      <c r="C12" s="126" t="s">
        <v>249</v>
      </c>
      <c r="D12" s="127">
        <f>SUM(D13:D14)</f>
        <v>14800</v>
      </c>
      <c r="E12" s="127">
        <f>SUM(E13:E14)</f>
        <v>9000</v>
      </c>
      <c r="F12" s="127">
        <f>SUM(F13:F14)</f>
        <v>23800</v>
      </c>
    </row>
    <row r="13" spans="2:6" x14ac:dyDescent="0.25">
      <c r="B13" s="128">
        <v>51101</v>
      </c>
      <c r="C13" s="129" t="s">
        <v>250</v>
      </c>
      <c r="D13" s="130">
        <v>13200</v>
      </c>
      <c r="E13" s="130">
        <v>9000</v>
      </c>
      <c r="F13" s="130">
        <f>SUM(D13:E13)</f>
        <v>22200</v>
      </c>
    </row>
    <row r="14" spans="2:6" x14ac:dyDescent="0.25">
      <c r="B14" s="128">
        <v>51103</v>
      </c>
      <c r="C14" s="131" t="s">
        <v>251</v>
      </c>
      <c r="D14" s="130">
        <v>1600</v>
      </c>
      <c r="E14" s="130">
        <v>0</v>
      </c>
      <c r="F14" s="130">
        <f>SUM(D14:E14)</f>
        <v>1600</v>
      </c>
    </row>
    <row r="15" spans="2:6" x14ac:dyDescent="0.25">
      <c r="B15" s="125">
        <v>514</v>
      </c>
      <c r="C15" s="123" t="s">
        <v>254</v>
      </c>
      <c r="D15" s="127">
        <f>SUM(D16)</f>
        <v>1122</v>
      </c>
      <c r="E15" s="127">
        <f t="shared" ref="E15:F15" si="0">SUM(E16)</f>
        <v>765</v>
      </c>
      <c r="F15" s="127">
        <f t="shared" si="0"/>
        <v>1887</v>
      </c>
    </row>
    <row r="16" spans="2:6" x14ac:dyDescent="0.25">
      <c r="B16" s="132">
        <v>51401</v>
      </c>
      <c r="C16" s="131" t="s">
        <v>255</v>
      </c>
      <c r="D16" s="130">
        <v>1122</v>
      </c>
      <c r="E16" s="130">
        <v>765</v>
      </c>
      <c r="F16" s="130">
        <f>SUM(D16:E16)</f>
        <v>1887</v>
      </c>
    </row>
    <row r="17" spans="2:6" x14ac:dyDescent="0.25">
      <c r="B17" s="125">
        <v>515</v>
      </c>
      <c r="C17" s="133" t="s">
        <v>256</v>
      </c>
      <c r="D17" s="127">
        <f>SUM(D18:D18)</f>
        <v>1023</v>
      </c>
      <c r="E17" s="127">
        <f>SUM(E18:E18)</f>
        <v>697.5</v>
      </c>
      <c r="F17" s="127">
        <f>SUM(F18:F18)</f>
        <v>1720.5</v>
      </c>
    </row>
    <row r="18" spans="2:6" x14ac:dyDescent="0.25">
      <c r="B18" s="132">
        <v>51501</v>
      </c>
      <c r="C18" s="131" t="s">
        <v>255</v>
      </c>
      <c r="D18" s="130">
        <v>1023</v>
      </c>
      <c r="E18" s="130">
        <v>697.5</v>
      </c>
      <c r="F18" s="130">
        <f>SUM(D18:E18)</f>
        <v>1720.5</v>
      </c>
    </row>
    <row r="19" spans="2:6" x14ac:dyDescent="0.25">
      <c r="B19" s="125">
        <v>54</v>
      </c>
      <c r="C19" s="133" t="s">
        <v>301</v>
      </c>
      <c r="D19" s="127">
        <f>SUM(D20+D25)</f>
        <v>4200</v>
      </c>
      <c r="E19" s="127">
        <f t="shared" ref="E19:F19" si="1">SUM(E20+E25)</f>
        <v>0</v>
      </c>
      <c r="F19" s="127">
        <f t="shared" si="1"/>
        <v>4200</v>
      </c>
    </row>
    <row r="20" spans="2:6" x14ac:dyDescent="0.25">
      <c r="B20" s="125">
        <v>541</v>
      </c>
      <c r="C20" s="133" t="s">
        <v>260</v>
      </c>
      <c r="D20" s="127">
        <f>SUM(D21:D24)</f>
        <v>3200</v>
      </c>
      <c r="E20" s="127">
        <f>SUM(E21:E24)</f>
        <v>0</v>
      </c>
      <c r="F20" s="127">
        <f>SUM(F21:F24)</f>
        <v>3200</v>
      </c>
    </row>
    <row r="21" spans="2:6" x14ac:dyDescent="0.25">
      <c r="B21" s="132">
        <v>54105</v>
      </c>
      <c r="C21" s="131" t="s">
        <v>264</v>
      </c>
      <c r="D21" s="145">
        <v>1000</v>
      </c>
      <c r="E21" s="130">
        <v>0</v>
      </c>
      <c r="F21" s="130">
        <f>SUM(D21:E21)</f>
        <v>1000</v>
      </c>
    </row>
    <row r="22" spans="2:6" x14ac:dyDescent="0.25">
      <c r="B22" s="132">
        <v>54114</v>
      </c>
      <c r="C22" s="131" t="s">
        <v>268</v>
      </c>
      <c r="D22" s="145">
        <v>700</v>
      </c>
      <c r="E22" s="130">
        <v>0</v>
      </c>
      <c r="F22" s="130">
        <f>SUM(D22:E22)</f>
        <v>700</v>
      </c>
    </row>
    <row r="23" spans="2:6" x14ac:dyDescent="0.25">
      <c r="B23" s="132">
        <v>54115</v>
      </c>
      <c r="C23" s="131" t="s">
        <v>269</v>
      </c>
      <c r="D23" s="145">
        <v>500</v>
      </c>
      <c r="E23" s="130">
        <v>0</v>
      </c>
      <c r="F23" s="130">
        <f>SUM(D23:E23)</f>
        <v>500</v>
      </c>
    </row>
    <row r="24" spans="2:6" x14ac:dyDescent="0.25">
      <c r="B24" s="132">
        <v>54199</v>
      </c>
      <c r="C24" s="131" t="s">
        <v>271</v>
      </c>
      <c r="D24" s="130">
        <v>1000</v>
      </c>
      <c r="E24" s="130">
        <v>0</v>
      </c>
      <c r="F24" s="130">
        <f>SUM(D24:E24)</f>
        <v>1000</v>
      </c>
    </row>
    <row r="25" spans="2:6" x14ac:dyDescent="0.25">
      <c r="B25" s="125">
        <v>543</v>
      </c>
      <c r="C25" s="133" t="s">
        <v>272</v>
      </c>
      <c r="D25" s="127">
        <f>SUM(D26:D26)</f>
        <v>1000</v>
      </c>
      <c r="E25" s="127">
        <f>SUM(E26:E26)</f>
        <v>0</v>
      </c>
      <c r="F25" s="127">
        <f>SUM(F26:F26)</f>
        <v>1000</v>
      </c>
    </row>
    <row r="26" spans="2:6" x14ac:dyDescent="0.25">
      <c r="B26" s="132">
        <v>54313</v>
      </c>
      <c r="C26" s="141" t="s">
        <v>276</v>
      </c>
      <c r="D26" s="145">
        <v>1000</v>
      </c>
      <c r="E26" s="145">
        <v>0</v>
      </c>
      <c r="F26" s="145">
        <f>SUM(D26:E26)</f>
        <v>1000</v>
      </c>
    </row>
    <row r="27" spans="2:6" x14ac:dyDescent="0.25">
      <c r="B27" s="85">
        <v>61</v>
      </c>
      <c r="C27" s="113" t="s">
        <v>295</v>
      </c>
      <c r="D27" s="114">
        <f>SUM(D28)</f>
        <v>700</v>
      </c>
      <c r="E27" s="114">
        <f>SUM(E28)</f>
        <v>0</v>
      </c>
      <c r="F27" s="114">
        <f t="shared" ref="F27" si="2">SUM(F28)</f>
        <v>700</v>
      </c>
    </row>
    <row r="28" spans="2:6" x14ac:dyDescent="0.25">
      <c r="B28" s="85">
        <v>611</v>
      </c>
      <c r="C28" s="111" t="s">
        <v>348</v>
      </c>
      <c r="D28" s="106">
        <f>SUM(D29:D30)</f>
        <v>700</v>
      </c>
      <c r="E28" s="106">
        <f>SUM(E29:E30)</f>
        <v>0</v>
      </c>
      <c r="F28" s="106">
        <f>SUM(F29:F30)</f>
        <v>700</v>
      </c>
    </row>
    <row r="29" spans="2:6" x14ac:dyDescent="0.25">
      <c r="B29" s="94">
        <v>61104</v>
      </c>
      <c r="C29" s="109" t="s">
        <v>349</v>
      </c>
      <c r="D29" s="108">
        <v>700</v>
      </c>
      <c r="E29" s="108">
        <v>0</v>
      </c>
      <c r="F29" s="108">
        <f>SUM(D29:E29)</f>
        <v>700</v>
      </c>
    </row>
    <row r="30" spans="2:6" x14ac:dyDescent="0.25">
      <c r="B30" s="132"/>
      <c r="C30" s="131"/>
      <c r="D30" s="130"/>
      <c r="E30" s="130"/>
      <c r="F30" s="130"/>
    </row>
    <row r="31" spans="2:6" x14ac:dyDescent="0.25">
      <c r="B31" s="132"/>
      <c r="C31" s="133" t="s">
        <v>75</v>
      </c>
      <c r="D31" s="127">
        <f>SUM(D11+D19+D27)</f>
        <v>21845</v>
      </c>
      <c r="E31" s="127">
        <f>SUM(E11+E19+E27)</f>
        <v>10462.5</v>
      </c>
      <c r="F31" s="127">
        <f>SUM(D31:E31)</f>
        <v>32307.5</v>
      </c>
    </row>
    <row r="32" spans="2:6" x14ac:dyDescent="0.25">
      <c r="B32" s="132"/>
      <c r="C32" s="131"/>
      <c r="D32" s="130"/>
      <c r="E32" s="130"/>
      <c r="F32" s="130"/>
    </row>
    <row r="33" spans="2:6" x14ac:dyDescent="0.25">
      <c r="B33" s="125"/>
      <c r="C33" s="133" t="s">
        <v>65</v>
      </c>
      <c r="D33" s="127">
        <f>SUM(D11+D19+D27)</f>
        <v>21845</v>
      </c>
      <c r="E33" s="127">
        <f>SUM(E11+E19+E27)</f>
        <v>10462.5</v>
      </c>
      <c r="F33" s="127">
        <f>SUM(F11+F19+F27)</f>
        <v>32307.5</v>
      </c>
    </row>
    <row r="34" spans="2:6" x14ac:dyDescent="0.25">
      <c r="B34" s="125"/>
      <c r="C34" s="133" t="s">
        <v>66</v>
      </c>
      <c r="D34" s="127">
        <f>SUM(D12+D15+D17+D20+D25+D28)</f>
        <v>21845</v>
      </c>
      <c r="E34" s="127">
        <f>SUM(E12+E15+E17+E20+E25+E28)</f>
        <v>10462.5</v>
      </c>
      <c r="F34" s="127">
        <f>SUM(F12+F15+F17+F20+F25+F28)</f>
        <v>32307.5</v>
      </c>
    </row>
    <row r="35" spans="2:6" x14ac:dyDescent="0.25">
      <c r="B35" s="125"/>
      <c r="C35" s="133" t="s">
        <v>67</v>
      </c>
      <c r="D35" s="127">
        <f>SUM(D13+D14+D16+D18+D21+D22+D23+D24+D26+D29)</f>
        <v>21845</v>
      </c>
      <c r="E35" s="127">
        <f>SUM(E13+E14+E16+E18+E21+E22+E23+E24+E26+E29)</f>
        <v>10462.5</v>
      </c>
      <c r="F35" s="127">
        <f>SUM(F13+F14+F16+F18+F21+F22+F23+F24+F26+F29)</f>
        <v>32307.5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F38"/>
  <sheetViews>
    <sheetView workbookViewId="0">
      <pane ySplit="10" topLeftCell="A17" activePane="bottomLeft" state="frozen"/>
      <selection pane="bottomLeft" activeCell="L20" sqref="L20"/>
    </sheetView>
  </sheetViews>
  <sheetFormatPr baseColWidth="10" defaultRowHeight="15" x14ac:dyDescent="0.25"/>
  <cols>
    <col min="1" max="1" width="2.7109375" style="33" customWidth="1"/>
    <col min="2" max="2" width="7.85546875" style="33" customWidth="1"/>
    <col min="3" max="3" width="41.85546875" style="33" customWidth="1"/>
    <col min="4" max="4" width="12.7109375" style="33" customWidth="1"/>
    <col min="5" max="5" width="16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338</v>
      </c>
      <c r="C5" s="402"/>
      <c r="D5" s="402"/>
      <c r="E5" s="402"/>
      <c r="F5" s="402"/>
    </row>
    <row r="6" spans="2:6" ht="15.75" x14ac:dyDescent="0.25">
      <c r="B6" s="402" t="s">
        <v>241</v>
      </c>
      <c r="C6" s="402"/>
      <c r="D6" s="402"/>
      <c r="E6" s="402"/>
      <c r="F6" s="402"/>
    </row>
    <row r="7" spans="2:6" ht="15.75" x14ac:dyDescent="0.25">
      <c r="B7" s="404" t="s">
        <v>350</v>
      </c>
      <c r="C7" s="404"/>
      <c r="D7" s="404"/>
      <c r="E7" s="404"/>
      <c r="F7" s="404"/>
    </row>
    <row r="8" spans="2:6" x14ac:dyDescent="0.25">
      <c r="B8" s="34"/>
      <c r="C8" s="34"/>
      <c r="D8" s="34"/>
      <c r="E8" s="35"/>
      <c r="F8" s="34"/>
    </row>
    <row r="9" spans="2:6" x14ac:dyDescent="0.25">
      <c r="B9" s="400" t="s">
        <v>243</v>
      </c>
      <c r="C9" s="400" t="s">
        <v>244</v>
      </c>
      <c r="D9" s="102" t="s">
        <v>245</v>
      </c>
      <c r="E9" s="102" t="s">
        <v>246</v>
      </c>
      <c r="F9" s="400" t="s">
        <v>0</v>
      </c>
    </row>
    <row r="10" spans="2:6" x14ac:dyDescent="0.25">
      <c r="B10" s="400"/>
      <c r="C10" s="400"/>
      <c r="D10" s="102" t="s">
        <v>247</v>
      </c>
      <c r="E10" s="102" t="s">
        <v>248</v>
      </c>
      <c r="F10" s="400"/>
    </row>
    <row r="11" spans="2:6" x14ac:dyDescent="0.25">
      <c r="B11" s="80">
        <v>51</v>
      </c>
      <c r="C11" s="110" t="s">
        <v>140</v>
      </c>
      <c r="D11" s="104">
        <f>SUM(D12+D16+D18)</f>
        <v>12077.5</v>
      </c>
      <c r="E11" s="104">
        <f>SUM(E12+E16+E18)</f>
        <v>8370</v>
      </c>
      <c r="F11" s="104">
        <f>SUM(F12+F16+F18)</f>
        <v>20447.5</v>
      </c>
    </row>
    <row r="12" spans="2:6" x14ac:dyDescent="0.25">
      <c r="B12" s="85">
        <v>511</v>
      </c>
      <c r="C12" s="118" t="s">
        <v>249</v>
      </c>
      <c r="D12" s="106">
        <f>SUM(D13:D15)</f>
        <v>10550</v>
      </c>
      <c r="E12" s="106">
        <f>SUM(E13:E15)</f>
        <v>7200</v>
      </c>
      <c r="F12" s="106">
        <f>SUM(F13:F15)</f>
        <v>17750</v>
      </c>
    </row>
    <row r="13" spans="2:6" x14ac:dyDescent="0.25">
      <c r="B13" s="88">
        <v>51101</v>
      </c>
      <c r="C13" s="107" t="s">
        <v>250</v>
      </c>
      <c r="D13" s="108">
        <v>8400</v>
      </c>
      <c r="E13" s="108">
        <v>7200</v>
      </c>
      <c r="F13" s="108">
        <f>SUM(D13:E13)</f>
        <v>15600</v>
      </c>
    </row>
    <row r="14" spans="2:6" x14ac:dyDescent="0.25">
      <c r="B14" s="88">
        <v>51103</v>
      </c>
      <c r="C14" s="109" t="s">
        <v>251</v>
      </c>
      <c r="D14" s="108">
        <v>1150</v>
      </c>
      <c r="E14" s="108">
        <v>0</v>
      </c>
      <c r="F14" s="108">
        <f>SUM(D14:E14)</f>
        <v>1150</v>
      </c>
    </row>
    <row r="15" spans="2:6" x14ac:dyDescent="0.25">
      <c r="B15" s="94">
        <v>51107</v>
      </c>
      <c r="C15" s="148" t="s">
        <v>253</v>
      </c>
      <c r="D15" s="108">
        <v>1000</v>
      </c>
      <c r="E15" s="108">
        <v>0</v>
      </c>
      <c r="F15" s="108">
        <f>SUM(D15:E15)</f>
        <v>1000</v>
      </c>
    </row>
    <row r="16" spans="2:6" x14ac:dyDescent="0.25">
      <c r="B16" s="85">
        <v>514</v>
      </c>
      <c r="C16" s="110" t="s">
        <v>254</v>
      </c>
      <c r="D16" s="106">
        <f>SUM(D17)</f>
        <v>799</v>
      </c>
      <c r="E16" s="106">
        <f t="shared" ref="E16:F16" si="0">SUM(E17)</f>
        <v>612</v>
      </c>
      <c r="F16" s="106">
        <f t="shared" si="0"/>
        <v>1411</v>
      </c>
    </row>
    <row r="17" spans="2:6" x14ac:dyDescent="0.25">
      <c r="B17" s="94">
        <v>51401</v>
      </c>
      <c r="C17" s="109" t="s">
        <v>255</v>
      </c>
      <c r="D17" s="108">
        <v>799</v>
      </c>
      <c r="E17" s="108">
        <v>612</v>
      </c>
      <c r="F17" s="108">
        <f>SUM(D17:E17)</f>
        <v>1411</v>
      </c>
    </row>
    <row r="18" spans="2:6" x14ac:dyDescent="0.25">
      <c r="B18" s="85">
        <v>515</v>
      </c>
      <c r="C18" s="111" t="s">
        <v>256</v>
      </c>
      <c r="D18" s="106">
        <f>SUM(D19:D19)</f>
        <v>728.5</v>
      </c>
      <c r="E18" s="106">
        <f>SUM(E19:E19)</f>
        <v>558</v>
      </c>
      <c r="F18" s="106">
        <f>SUM(F19:F19)</f>
        <v>1286.5</v>
      </c>
    </row>
    <row r="19" spans="2:6" x14ac:dyDescent="0.25">
      <c r="B19" s="94">
        <v>51501</v>
      </c>
      <c r="C19" s="109" t="s">
        <v>255</v>
      </c>
      <c r="D19" s="108">
        <v>728.5</v>
      </c>
      <c r="E19" s="108">
        <v>558</v>
      </c>
      <c r="F19" s="108">
        <f>SUM(D19:E19)</f>
        <v>1286.5</v>
      </c>
    </row>
    <row r="20" spans="2:6" x14ac:dyDescent="0.25">
      <c r="B20" s="85">
        <v>54</v>
      </c>
      <c r="C20" s="111" t="s">
        <v>301</v>
      </c>
      <c r="D20" s="106">
        <f>SUM(D21+D31)</f>
        <v>4548.3500000000004</v>
      </c>
      <c r="E20" s="106">
        <f>SUM(E21+E31)</f>
        <v>0</v>
      </c>
      <c r="F20" s="106">
        <f>SUM(F21+F31)</f>
        <v>4548.3500000000004</v>
      </c>
    </row>
    <row r="21" spans="2:6" x14ac:dyDescent="0.25">
      <c r="B21" s="85">
        <v>541</v>
      </c>
      <c r="C21" s="111" t="s">
        <v>260</v>
      </c>
      <c r="D21" s="106">
        <f>SUM(D22:D30)</f>
        <v>4348.3500000000004</v>
      </c>
      <c r="E21" s="106">
        <f>SUM(E22:E30)</f>
        <v>0</v>
      </c>
      <c r="F21" s="106">
        <f>SUM(F22:F30)</f>
        <v>4348.3500000000004</v>
      </c>
    </row>
    <row r="22" spans="2:6" x14ac:dyDescent="0.25">
      <c r="B22" s="94">
        <v>54105</v>
      </c>
      <c r="C22" s="109" t="s">
        <v>264</v>
      </c>
      <c r="D22" s="108">
        <v>90</v>
      </c>
      <c r="E22" s="108">
        <v>0</v>
      </c>
      <c r="F22" s="108">
        <f t="shared" ref="F22:F30" si="1">SUM(D22:E22)</f>
        <v>90</v>
      </c>
    </row>
    <row r="23" spans="2:6" x14ac:dyDescent="0.25">
      <c r="B23" s="94">
        <v>54110</v>
      </c>
      <c r="C23" s="109" t="s">
        <v>351</v>
      </c>
      <c r="D23" s="108">
        <v>200</v>
      </c>
      <c r="E23" s="108">
        <v>0</v>
      </c>
      <c r="F23" s="108">
        <f t="shared" si="1"/>
        <v>200</v>
      </c>
    </row>
    <row r="24" spans="2:6" x14ac:dyDescent="0.25">
      <c r="B24" s="94">
        <v>54111</v>
      </c>
      <c r="C24" s="109" t="s">
        <v>352</v>
      </c>
      <c r="D24" s="108">
        <v>1000</v>
      </c>
      <c r="E24" s="108">
        <v>0</v>
      </c>
      <c r="F24" s="108">
        <f t="shared" si="1"/>
        <v>1000</v>
      </c>
    </row>
    <row r="25" spans="2:6" x14ac:dyDescent="0.25">
      <c r="B25" s="94">
        <v>54112</v>
      </c>
      <c r="C25" s="109" t="s">
        <v>267</v>
      </c>
      <c r="D25" s="108">
        <v>1471</v>
      </c>
      <c r="E25" s="108">
        <v>0</v>
      </c>
      <c r="F25" s="108">
        <f t="shared" si="1"/>
        <v>1471</v>
      </c>
    </row>
    <row r="26" spans="2:6" x14ac:dyDescent="0.25">
      <c r="B26" s="94">
        <v>54114</v>
      </c>
      <c r="C26" s="109" t="s">
        <v>268</v>
      </c>
      <c r="D26" s="108">
        <v>100</v>
      </c>
      <c r="E26" s="108">
        <v>0</v>
      </c>
      <c r="F26" s="108">
        <f t="shared" si="1"/>
        <v>100</v>
      </c>
    </row>
    <row r="27" spans="2:6" x14ac:dyDescent="0.25">
      <c r="B27" s="94">
        <v>54115</v>
      </c>
      <c r="C27" s="109" t="s">
        <v>269</v>
      </c>
      <c r="D27" s="108">
        <v>100</v>
      </c>
      <c r="E27" s="108">
        <v>0</v>
      </c>
      <c r="F27" s="108">
        <f t="shared" si="1"/>
        <v>100</v>
      </c>
    </row>
    <row r="28" spans="2:6" x14ac:dyDescent="0.25">
      <c r="B28" s="94">
        <v>54118</v>
      </c>
      <c r="C28" s="109" t="s">
        <v>310</v>
      </c>
      <c r="D28" s="108">
        <v>500</v>
      </c>
      <c r="E28" s="108">
        <v>0</v>
      </c>
      <c r="F28" s="108">
        <f t="shared" si="1"/>
        <v>500</v>
      </c>
    </row>
    <row r="29" spans="2:6" x14ac:dyDescent="0.25">
      <c r="B29" s="94">
        <v>54119</v>
      </c>
      <c r="C29" s="109" t="s">
        <v>270</v>
      </c>
      <c r="D29" s="108">
        <v>781.35</v>
      </c>
      <c r="E29" s="108">
        <v>0</v>
      </c>
      <c r="F29" s="108">
        <f t="shared" si="1"/>
        <v>781.35</v>
      </c>
    </row>
    <row r="30" spans="2:6" x14ac:dyDescent="0.25">
      <c r="B30" s="94">
        <v>54199</v>
      </c>
      <c r="C30" s="109" t="s">
        <v>271</v>
      </c>
      <c r="D30" s="108">
        <v>106</v>
      </c>
      <c r="E30" s="108">
        <v>0</v>
      </c>
      <c r="F30" s="108">
        <f t="shared" si="1"/>
        <v>106</v>
      </c>
    </row>
    <row r="31" spans="2:6" x14ac:dyDescent="0.25">
      <c r="B31" s="85">
        <v>543</v>
      </c>
      <c r="C31" s="111" t="s">
        <v>272</v>
      </c>
      <c r="D31" s="106">
        <f>SUM(D32:D32)</f>
        <v>200</v>
      </c>
      <c r="E31" s="106">
        <f>SUM(E32:E32)</f>
        <v>0</v>
      </c>
      <c r="F31" s="106">
        <f>SUM(F32:F32)</f>
        <v>200</v>
      </c>
    </row>
    <row r="32" spans="2:6" x14ac:dyDescent="0.25">
      <c r="B32" s="94">
        <v>54301</v>
      </c>
      <c r="C32" s="109" t="s">
        <v>273</v>
      </c>
      <c r="D32" s="108">
        <v>200</v>
      </c>
      <c r="E32" s="108">
        <v>0</v>
      </c>
      <c r="F32" s="108">
        <f>SUM(D32:E32)</f>
        <v>200</v>
      </c>
    </row>
    <row r="33" spans="2:6" x14ac:dyDescent="0.25">
      <c r="B33" s="94"/>
      <c r="C33" s="109"/>
      <c r="D33" s="108"/>
      <c r="E33" s="108"/>
      <c r="F33" s="108"/>
    </row>
    <row r="34" spans="2:6" x14ac:dyDescent="0.25">
      <c r="B34" s="94"/>
      <c r="C34" s="111" t="s">
        <v>75</v>
      </c>
      <c r="D34" s="106">
        <f>SUM(D11+D20)</f>
        <v>16625.849999999999</v>
      </c>
      <c r="E34" s="106">
        <f>SUM(E11+E20)</f>
        <v>8370</v>
      </c>
      <c r="F34" s="106">
        <f>SUM(D34:E34)</f>
        <v>24995.85</v>
      </c>
    </row>
    <row r="35" spans="2:6" x14ac:dyDescent="0.25">
      <c r="B35" s="94"/>
      <c r="C35" s="109"/>
      <c r="D35" s="108"/>
      <c r="E35" s="108"/>
      <c r="F35" s="108"/>
    </row>
    <row r="36" spans="2:6" x14ac:dyDescent="0.25">
      <c r="B36" s="85"/>
      <c r="C36" s="111" t="s">
        <v>65</v>
      </c>
      <c r="D36" s="106">
        <f>SUM(D11+D20)</f>
        <v>16625.849999999999</v>
      </c>
      <c r="E36" s="106">
        <f>SUM(E11+E20)</f>
        <v>8370</v>
      </c>
      <c r="F36" s="106">
        <f>SUM(F11+F20)</f>
        <v>24995.85</v>
      </c>
    </row>
    <row r="37" spans="2:6" x14ac:dyDescent="0.25">
      <c r="B37" s="85"/>
      <c r="C37" s="111" t="s">
        <v>66</v>
      </c>
      <c r="D37" s="106">
        <f>SUM(D12+D16+D18+D21+D31)</f>
        <v>16625.849999999999</v>
      </c>
      <c r="E37" s="106">
        <f>SUM(E12+E16+E18+E21+E31)</f>
        <v>8370</v>
      </c>
      <c r="F37" s="106">
        <f>SUM(F12+F16+F18+F21+F31)</f>
        <v>24995.85</v>
      </c>
    </row>
    <row r="38" spans="2:6" x14ac:dyDescent="0.25">
      <c r="B38" s="85"/>
      <c r="C38" s="111" t="s">
        <v>67</v>
      </c>
      <c r="D38" s="106">
        <f>+D13+D14+D15+D17+D19+D22+D23+D24+D25+D26+D27+D28+D29+D30+D32</f>
        <v>16625.849999999999</v>
      </c>
      <c r="E38" s="106">
        <f>+E13+E14+E15+E17+E19+E22+E23+E24+E25+E26+E27+E28+E29+E30+E32</f>
        <v>8370</v>
      </c>
      <c r="F38" s="106">
        <f>+F13+F14+F15+F17+F19+F22+F23+F24+F25+F26+F27+F28+F29+F30+F32</f>
        <v>24995.85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9"/>
  <sheetViews>
    <sheetView tabSelected="1" topLeftCell="A4" workbookViewId="0">
      <selection activeCell="G17" sqref="G17"/>
    </sheetView>
  </sheetViews>
  <sheetFormatPr baseColWidth="10" defaultRowHeight="15" x14ac:dyDescent="0.25"/>
  <cols>
    <col min="1" max="1" width="6.42578125" style="33" customWidth="1"/>
    <col min="2" max="2" width="41.42578125" style="33" customWidth="1"/>
    <col min="3" max="3" width="21" style="33" customWidth="1"/>
    <col min="4" max="4" width="41.7109375" style="33" customWidth="1"/>
    <col min="5" max="5" width="22.28515625" style="33" customWidth="1"/>
    <col min="6" max="16384" width="11.42578125" style="33"/>
  </cols>
  <sheetData>
    <row r="1" spans="2:5" ht="15.75" thickBot="1" x14ac:dyDescent="0.3"/>
    <row r="2" spans="2:5" s="20" customFormat="1" ht="19.5" thickTop="1" thickBot="1" x14ac:dyDescent="0.3">
      <c r="B2" s="374" t="s">
        <v>68</v>
      </c>
      <c r="C2" s="374"/>
      <c r="D2" s="374"/>
      <c r="E2" s="374"/>
    </row>
    <row r="3" spans="2:5" s="20" customFormat="1" ht="19.5" thickTop="1" thickBot="1" x14ac:dyDescent="0.3">
      <c r="B3" s="375" t="s">
        <v>69</v>
      </c>
      <c r="C3" s="374"/>
      <c r="D3" s="374"/>
      <c r="E3" s="374"/>
    </row>
    <row r="4" spans="2:5" s="20" customFormat="1" ht="19.5" thickTop="1" thickBot="1" x14ac:dyDescent="0.3">
      <c r="B4" s="375" t="s">
        <v>70</v>
      </c>
      <c r="C4" s="374"/>
      <c r="D4" s="374"/>
      <c r="E4" s="374"/>
    </row>
    <row r="5" spans="2:5" s="20" customFormat="1" ht="19.5" thickTop="1" thickBot="1" x14ac:dyDescent="0.3">
      <c r="B5" s="375" t="s">
        <v>136</v>
      </c>
      <c r="C5" s="374"/>
      <c r="D5" s="374"/>
      <c r="E5" s="374"/>
    </row>
    <row r="6" spans="2:5" ht="15.75" thickTop="1" x14ac:dyDescent="0.25"/>
    <row r="7" spans="2:5" ht="18" x14ac:dyDescent="0.25">
      <c r="B7" s="376" t="s">
        <v>437</v>
      </c>
      <c r="C7" s="377"/>
      <c r="D7" s="376" t="s">
        <v>135</v>
      </c>
      <c r="E7" s="377"/>
    </row>
    <row r="8" spans="2:5" ht="22.5" x14ac:dyDescent="0.55000000000000004">
      <c r="B8" s="195" t="s">
        <v>129</v>
      </c>
      <c r="C8" s="196">
        <f>+'PRESU INGRESOS'!E71-'PRESU INGRESOS'!E62</f>
        <v>1480737.85</v>
      </c>
      <c r="D8" s="197" t="s">
        <v>130</v>
      </c>
      <c r="E8" s="198">
        <f>+F.PROPIOS!D14</f>
        <v>1480737.85</v>
      </c>
    </row>
    <row r="9" spans="2:5" x14ac:dyDescent="0.25">
      <c r="B9" s="199"/>
      <c r="C9" s="199"/>
      <c r="D9" s="199"/>
      <c r="E9" s="199"/>
    </row>
    <row r="10" spans="2:5" ht="22.5" x14ac:dyDescent="0.55000000000000004">
      <c r="B10" s="195" t="s">
        <v>458</v>
      </c>
      <c r="C10" s="196">
        <f>+'PRESU INGRESOS'!E62</f>
        <v>3741.9</v>
      </c>
      <c r="D10" s="197" t="s">
        <v>458</v>
      </c>
      <c r="E10" s="198">
        <f>+'GASTO DONACION'!D25</f>
        <v>3741.9</v>
      </c>
    </row>
    <row r="11" spans="2:5" x14ac:dyDescent="0.25">
      <c r="B11" s="199"/>
      <c r="C11" s="199"/>
      <c r="D11" s="199"/>
      <c r="E11" s="199"/>
    </row>
    <row r="12" spans="2:5" ht="22.5" x14ac:dyDescent="0.55000000000000004">
      <c r="B12" s="195" t="s">
        <v>131</v>
      </c>
      <c r="C12" s="198">
        <f>+'PRESU INGRESOS'!D52+'PRESU INGRESOS'!D64+51526.12</f>
        <v>728245.6</v>
      </c>
      <c r="D12" s="195" t="s">
        <v>132</v>
      </c>
      <c r="E12" s="198">
        <f>+'FODES 25%'!D14</f>
        <v>728245.6</v>
      </c>
    </row>
    <row r="13" spans="2:5" x14ac:dyDescent="0.25">
      <c r="B13" s="199"/>
      <c r="C13" s="199"/>
      <c r="D13" s="199"/>
      <c r="E13" s="199"/>
    </row>
    <row r="14" spans="2:5" ht="22.5" x14ac:dyDescent="0.55000000000000004">
      <c r="B14" s="195" t="s">
        <v>133</v>
      </c>
      <c r="C14" s="198">
        <f>+'PRESU INGRESOS'!D55+'PRESU INGRESOS'!D63+'PRESU INGRESOS'!D65+154578.37</f>
        <v>2156769.1399999997</v>
      </c>
      <c r="D14" s="195" t="s">
        <v>134</v>
      </c>
      <c r="E14" s="200">
        <f>+'FODES 75%'!D32</f>
        <v>2156769.1399999997</v>
      </c>
    </row>
    <row r="15" spans="2:5" ht="17.25" customHeight="1" x14ac:dyDescent="0.55000000000000004">
      <c r="B15" s="195"/>
      <c r="C15" s="198"/>
      <c r="D15" s="195"/>
      <c r="E15" s="200"/>
    </row>
    <row r="16" spans="2:5" ht="22.5" x14ac:dyDescent="0.55000000000000004">
      <c r="B16" s="195" t="s">
        <v>459</v>
      </c>
      <c r="C16" s="198">
        <f>+'PRESU INGRESOS'!D66</f>
        <v>2230.5700000000002</v>
      </c>
      <c r="D16" s="195" t="s">
        <v>459</v>
      </c>
      <c r="E16" s="200">
        <f>+'GASTO FISDL'!D29</f>
        <v>2230.5699999999997</v>
      </c>
    </row>
    <row r="17" spans="2:5" x14ac:dyDescent="0.25">
      <c r="B17" s="199"/>
      <c r="C17" s="199"/>
      <c r="D17" s="199"/>
      <c r="E17" s="199"/>
    </row>
    <row r="18" spans="2:5" ht="22.5" x14ac:dyDescent="0.55000000000000004">
      <c r="B18" s="199"/>
      <c r="C18" s="198">
        <f>SUM(C8:C17)</f>
        <v>4371725.0600000005</v>
      </c>
      <c r="D18" s="199"/>
      <c r="E18" s="198">
        <f>SUM(E8:E17)</f>
        <v>4371725.0600000005</v>
      </c>
    </row>
    <row r="19" spans="2:5" x14ac:dyDescent="0.25">
      <c r="B19" s="199"/>
      <c r="C19" s="199"/>
      <c r="D19" s="199"/>
      <c r="E19" s="199"/>
    </row>
  </sheetData>
  <mergeCells count="6">
    <mergeCell ref="B2:E2"/>
    <mergeCell ref="B3:E3"/>
    <mergeCell ref="B4:E4"/>
    <mergeCell ref="B5:E5"/>
    <mergeCell ref="B7:C7"/>
    <mergeCell ref="D7:E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F38"/>
  <sheetViews>
    <sheetView workbookViewId="0">
      <pane ySplit="11" topLeftCell="A12" activePane="bottomLeft" state="frozen"/>
      <selection pane="bottomLeft" activeCell="J30" sqref="J30"/>
    </sheetView>
  </sheetViews>
  <sheetFormatPr baseColWidth="10" defaultRowHeight="15" x14ac:dyDescent="0.25"/>
  <cols>
    <col min="1" max="1" width="3" style="33" customWidth="1"/>
    <col min="2" max="2" width="8" style="33" customWidth="1"/>
    <col min="3" max="3" width="42.140625" style="33" customWidth="1"/>
    <col min="4" max="4" width="13.5703125" style="33" customWidth="1"/>
    <col min="5" max="5" width="15.7109375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354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200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21750</v>
      </c>
      <c r="E12" s="104">
        <f>SUM(E13+E16+E18)</f>
        <v>13531.5</v>
      </c>
      <c r="F12" s="104">
        <f>SUM(F13+F16+F18)</f>
        <v>35281.5</v>
      </c>
    </row>
    <row r="13" spans="2:6" x14ac:dyDescent="0.25">
      <c r="B13" s="85">
        <v>511</v>
      </c>
      <c r="C13" s="118" t="s">
        <v>249</v>
      </c>
      <c r="D13" s="106">
        <f>SUM(D14:D15)</f>
        <v>19020</v>
      </c>
      <c r="E13" s="106">
        <f>SUM(E14:E15)</f>
        <v>11640</v>
      </c>
      <c r="F13" s="106">
        <f>SUM(F14:F15)</f>
        <v>30660</v>
      </c>
    </row>
    <row r="14" spans="2:6" x14ac:dyDescent="0.25">
      <c r="B14" s="88">
        <v>51101</v>
      </c>
      <c r="C14" s="107" t="s">
        <v>250</v>
      </c>
      <c r="D14" s="108">
        <v>16800</v>
      </c>
      <c r="E14" s="108">
        <v>11640</v>
      </c>
      <c r="F14" s="108">
        <f>SUM(D14:E14)</f>
        <v>28440</v>
      </c>
    </row>
    <row r="15" spans="2:6" x14ac:dyDescent="0.25">
      <c r="B15" s="88">
        <v>51103</v>
      </c>
      <c r="C15" s="109" t="s">
        <v>251</v>
      </c>
      <c r="D15" s="108">
        <v>2220</v>
      </c>
      <c r="E15" s="108">
        <v>0</v>
      </c>
      <c r="F15" s="108">
        <f>SUM(D15:E15)</f>
        <v>2220</v>
      </c>
    </row>
    <row r="16" spans="2:6" x14ac:dyDescent="0.25">
      <c r="B16" s="85">
        <v>514</v>
      </c>
      <c r="C16" s="110" t="s">
        <v>254</v>
      </c>
      <c r="D16" s="106">
        <f>SUM(D17)</f>
        <v>1428</v>
      </c>
      <c r="E16" s="106">
        <f t="shared" ref="E16:F16" si="0">SUM(E17)</f>
        <v>989.4</v>
      </c>
      <c r="F16" s="106">
        <f t="shared" si="0"/>
        <v>2417.4</v>
      </c>
    </row>
    <row r="17" spans="2:6" x14ac:dyDescent="0.25">
      <c r="B17" s="94">
        <v>51401</v>
      </c>
      <c r="C17" s="109" t="s">
        <v>255</v>
      </c>
      <c r="D17" s="108">
        <v>1428</v>
      </c>
      <c r="E17" s="108">
        <v>989.4</v>
      </c>
      <c r="F17" s="108">
        <f>SUM(D17:E17)</f>
        <v>2417.4</v>
      </c>
    </row>
    <row r="18" spans="2:6" x14ac:dyDescent="0.25">
      <c r="B18" s="85">
        <v>515</v>
      </c>
      <c r="C18" s="111" t="s">
        <v>256</v>
      </c>
      <c r="D18" s="106">
        <f>SUM(D19:D19)</f>
        <v>1302</v>
      </c>
      <c r="E18" s="106">
        <f>SUM(E19:E19)</f>
        <v>902.1</v>
      </c>
      <c r="F18" s="106">
        <f>SUM(F19:F19)</f>
        <v>2204.1</v>
      </c>
    </row>
    <row r="19" spans="2:6" x14ac:dyDescent="0.25">
      <c r="B19" s="94">
        <v>51501</v>
      </c>
      <c r="C19" s="109" t="s">
        <v>255</v>
      </c>
      <c r="D19" s="108">
        <v>1302</v>
      </c>
      <c r="E19" s="108">
        <v>902.1</v>
      </c>
      <c r="F19" s="108">
        <f>SUM(D19:E19)</f>
        <v>2204.1</v>
      </c>
    </row>
    <row r="20" spans="2:6" x14ac:dyDescent="0.25">
      <c r="B20" s="85">
        <v>54</v>
      </c>
      <c r="C20" s="111" t="s">
        <v>301</v>
      </c>
      <c r="D20" s="106">
        <f>SUM(D21+D25+D27)</f>
        <v>2812.51</v>
      </c>
      <c r="E20" s="106">
        <f>SUM(E21+E27)</f>
        <v>0</v>
      </c>
      <c r="F20" s="106">
        <f>SUM(F21+F25+F27)</f>
        <v>2812.51</v>
      </c>
    </row>
    <row r="21" spans="2:6" x14ac:dyDescent="0.25">
      <c r="B21" s="85">
        <v>541</v>
      </c>
      <c r="C21" s="111" t="s">
        <v>302</v>
      </c>
      <c r="D21" s="106">
        <f>SUM(D22:D24)</f>
        <v>1300.01</v>
      </c>
      <c r="E21" s="106">
        <f>SUM(E22:E24)</f>
        <v>0</v>
      </c>
      <c r="F21" s="106">
        <f>SUM(F22:F24)</f>
        <v>1300.01</v>
      </c>
    </row>
    <row r="22" spans="2:6" x14ac:dyDescent="0.25">
      <c r="B22" s="94">
        <v>54105</v>
      </c>
      <c r="C22" s="109" t="s">
        <v>264</v>
      </c>
      <c r="D22" s="108">
        <v>786.84</v>
      </c>
      <c r="E22" s="108">
        <v>0</v>
      </c>
      <c r="F22" s="108">
        <f>SUM(D22:E22)</f>
        <v>786.84</v>
      </c>
    </row>
    <row r="23" spans="2:6" x14ac:dyDescent="0.25">
      <c r="B23" s="94">
        <v>54114</v>
      </c>
      <c r="C23" s="109" t="s">
        <v>268</v>
      </c>
      <c r="D23" s="108">
        <v>177.17</v>
      </c>
      <c r="E23" s="108">
        <v>0</v>
      </c>
      <c r="F23" s="108">
        <f>SUM(D23:E23)</f>
        <v>177.17</v>
      </c>
    </row>
    <row r="24" spans="2:6" x14ac:dyDescent="0.25">
      <c r="B24" s="94">
        <v>54115</v>
      </c>
      <c r="C24" s="109" t="s">
        <v>269</v>
      </c>
      <c r="D24" s="108">
        <v>336</v>
      </c>
      <c r="E24" s="108">
        <v>0</v>
      </c>
      <c r="F24" s="108">
        <f>SUM(D24:E24)</f>
        <v>336</v>
      </c>
    </row>
    <row r="25" spans="2:6" x14ac:dyDescent="0.25">
      <c r="B25" s="85">
        <v>542</v>
      </c>
      <c r="C25" s="111" t="s">
        <v>356</v>
      </c>
      <c r="D25" s="106">
        <f>SUM(D26)</f>
        <v>37.5</v>
      </c>
      <c r="E25" s="106">
        <f>SUM(E26)</f>
        <v>0</v>
      </c>
      <c r="F25" s="106">
        <f t="shared" ref="F25" si="1">SUM(F26)</f>
        <v>37.5</v>
      </c>
    </row>
    <row r="26" spans="2:6" x14ac:dyDescent="0.25">
      <c r="B26" s="94">
        <v>54204</v>
      </c>
      <c r="C26" s="109" t="s">
        <v>357</v>
      </c>
      <c r="D26" s="108">
        <v>37.5</v>
      </c>
      <c r="E26" s="108">
        <v>0</v>
      </c>
      <c r="F26" s="108">
        <f>SUM(D26:E26)</f>
        <v>37.5</v>
      </c>
    </row>
    <row r="27" spans="2:6" x14ac:dyDescent="0.25">
      <c r="B27" s="85">
        <v>543</v>
      </c>
      <c r="C27" s="111" t="s">
        <v>272</v>
      </c>
      <c r="D27" s="106">
        <f>SUM(D28:D29)</f>
        <v>1475</v>
      </c>
      <c r="E27" s="106">
        <f>SUM(E28:E28)</f>
        <v>0</v>
      </c>
      <c r="F27" s="106">
        <f>SUM(F28:F29)</f>
        <v>1475</v>
      </c>
    </row>
    <row r="28" spans="2:6" x14ac:dyDescent="0.25">
      <c r="B28" s="94">
        <v>54301</v>
      </c>
      <c r="C28" s="109" t="s">
        <v>273</v>
      </c>
      <c r="D28" s="108">
        <v>725</v>
      </c>
      <c r="E28" s="108">
        <v>0</v>
      </c>
      <c r="F28" s="108">
        <f>SUM(D28:E28)</f>
        <v>725</v>
      </c>
    </row>
    <row r="29" spans="2:6" x14ac:dyDescent="0.25">
      <c r="B29" s="94">
        <v>54313</v>
      </c>
      <c r="C29" s="109" t="s">
        <v>276</v>
      </c>
      <c r="D29" s="108">
        <v>750</v>
      </c>
      <c r="E29" s="108">
        <v>0</v>
      </c>
      <c r="F29" s="108">
        <f>SUM(D29:E29)</f>
        <v>750</v>
      </c>
    </row>
    <row r="30" spans="2:6" x14ac:dyDescent="0.25">
      <c r="B30" s="85">
        <v>61</v>
      </c>
      <c r="C30" s="111" t="s">
        <v>295</v>
      </c>
      <c r="D30" s="106">
        <f>SUM(D31)</f>
        <v>800</v>
      </c>
      <c r="E30" s="106">
        <f t="shared" ref="E30:F30" si="2">SUM(E31)</f>
        <v>0</v>
      </c>
      <c r="F30" s="106">
        <f t="shared" si="2"/>
        <v>800</v>
      </c>
    </row>
    <row r="31" spans="2:6" x14ac:dyDescent="0.25">
      <c r="B31" s="85">
        <v>611</v>
      </c>
      <c r="C31" s="111" t="s">
        <v>296</v>
      </c>
      <c r="D31" s="106">
        <f>SUM(D32:D32)</f>
        <v>800</v>
      </c>
      <c r="E31" s="106">
        <f>SUM(E32:E32)</f>
        <v>0</v>
      </c>
      <c r="F31" s="106">
        <f>SUM(F32:F32)</f>
        <v>800</v>
      </c>
    </row>
    <row r="32" spans="2:6" x14ac:dyDescent="0.25">
      <c r="B32" s="94">
        <v>61104</v>
      </c>
      <c r="C32" s="109" t="s">
        <v>358</v>
      </c>
      <c r="D32" s="108">
        <v>800</v>
      </c>
      <c r="E32" s="108">
        <v>0</v>
      </c>
      <c r="F32" s="108">
        <f>SUM(D32:E32)</f>
        <v>800</v>
      </c>
    </row>
    <row r="33" spans="2:6" x14ac:dyDescent="0.25">
      <c r="B33" s="94"/>
      <c r="C33" s="109"/>
      <c r="D33" s="108"/>
      <c r="E33" s="108"/>
      <c r="F33" s="108"/>
    </row>
    <row r="34" spans="2:6" x14ac:dyDescent="0.25">
      <c r="B34" s="94"/>
      <c r="C34" s="111" t="s">
        <v>75</v>
      </c>
      <c r="D34" s="106">
        <f>SUM(D12+D20+D30)</f>
        <v>25362.510000000002</v>
      </c>
      <c r="E34" s="106">
        <f>SUM(E12+E20+E30)</f>
        <v>13531.5</v>
      </c>
      <c r="F34" s="106">
        <f>SUM(D34:E34)</f>
        <v>38894.01</v>
      </c>
    </row>
    <row r="35" spans="2:6" x14ac:dyDescent="0.25">
      <c r="B35" s="94"/>
      <c r="C35" s="109"/>
      <c r="D35" s="108"/>
      <c r="E35" s="108"/>
      <c r="F35" s="108"/>
    </row>
    <row r="36" spans="2:6" x14ac:dyDescent="0.25">
      <c r="B36" s="85"/>
      <c r="C36" s="111" t="s">
        <v>65</v>
      </c>
      <c r="D36" s="106">
        <f>SUM(D12+D20+D30)</f>
        <v>25362.510000000002</v>
      </c>
      <c r="E36" s="106">
        <f>SUM(E12+E20+E30)</f>
        <v>13531.5</v>
      </c>
      <c r="F36" s="106">
        <f>SUM(F12+F20+F30)</f>
        <v>38894.01</v>
      </c>
    </row>
    <row r="37" spans="2:6" x14ac:dyDescent="0.25">
      <c r="B37" s="85"/>
      <c r="C37" s="111" t="s">
        <v>66</v>
      </c>
      <c r="D37" s="106">
        <f>SUM(D13+D16+D18+D21+D25+D27+D31)</f>
        <v>25362.51</v>
      </c>
      <c r="E37" s="106">
        <f>SUM(E13+E16+E18+E21+E25+E27+E31)</f>
        <v>13531.5</v>
      </c>
      <c r="F37" s="106">
        <f>SUM(F13+F16+F18+F21+F25+F27+F31)</f>
        <v>38894.01</v>
      </c>
    </row>
    <row r="38" spans="2:6" x14ac:dyDescent="0.25">
      <c r="B38" s="85"/>
      <c r="C38" s="111" t="s">
        <v>67</v>
      </c>
      <c r="D38" s="106">
        <f>SUM(D14+D15+D17+D19+D22+D23+D24+D26+D28+D29+D32)</f>
        <v>25362.51</v>
      </c>
      <c r="E38" s="106">
        <f>SUM(E14+E15+E17+E19+E22+E23+E24+E26+E28+E32)</f>
        <v>13531.5</v>
      </c>
      <c r="F38" s="106">
        <f>SUM(F14+F15+F17+F19+F22+F23+F24+F26+F28+F29+F32)</f>
        <v>38894.009999999995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F36"/>
  <sheetViews>
    <sheetView workbookViewId="0">
      <pane ySplit="11" topLeftCell="A12" activePane="bottomLeft" state="frozen"/>
      <selection pane="bottomLeft" activeCell="F17" sqref="F17"/>
    </sheetView>
  </sheetViews>
  <sheetFormatPr baseColWidth="10" defaultRowHeight="15" x14ac:dyDescent="0.25"/>
  <cols>
    <col min="1" max="1" width="2.85546875" style="33" customWidth="1"/>
    <col min="2" max="2" width="7.7109375" style="33" customWidth="1"/>
    <col min="3" max="3" width="42.28515625" style="33" customWidth="1"/>
    <col min="4" max="4" width="13.28515625" style="33" customWidth="1"/>
    <col min="5" max="5" width="15.7109375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354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359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3190</v>
      </c>
      <c r="E12" s="104">
        <f>SUM(E13+E16+E18)</f>
        <v>2790</v>
      </c>
      <c r="F12" s="104">
        <f>SUM(F13+F16+F18)</f>
        <v>5980</v>
      </c>
    </row>
    <row r="13" spans="2:6" x14ac:dyDescent="0.25">
      <c r="B13" s="85">
        <v>511</v>
      </c>
      <c r="C13" s="118" t="s">
        <v>249</v>
      </c>
      <c r="D13" s="106">
        <f>SUM(D14:D15)</f>
        <v>2800</v>
      </c>
      <c r="E13" s="106">
        <f>SUM(E14:E15)</f>
        <v>2400</v>
      </c>
      <c r="F13" s="106">
        <f>SUM(F14:F15)</f>
        <v>5200</v>
      </c>
    </row>
    <row r="14" spans="2:6" x14ac:dyDescent="0.25">
      <c r="B14" s="88">
        <v>51101</v>
      </c>
      <c r="C14" s="107" t="s">
        <v>250</v>
      </c>
      <c r="D14" s="108">
        <v>2400</v>
      </c>
      <c r="E14" s="108">
        <v>2400</v>
      </c>
      <c r="F14" s="108">
        <f>SUM(D14:E14)</f>
        <v>4800</v>
      </c>
    </row>
    <row r="15" spans="2:6" x14ac:dyDescent="0.25">
      <c r="B15" s="88">
        <v>51103</v>
      </c>
      <c r="C15" s="109" t="s">
        <v>251</v>
      </c>
      <c r="D15" s="108">
        <v>400</v>
      </c>
      <c r="E15" s="108">
        <v>0</v>
      </c>
      <c r="F15" s="108">
        <f>SUM(D15:E15)</f>
        <v>400</v>
      </c>
    </row>
    <row r="16" spans="2:6" x14ac:dyDescent="0.25">
      <c r="B16" s="85">
        <v>514</v>
      </c>
      <c r="C16" s="110" t="s">
        <v>254</v>
      </c>
      <c r="D16" s="106">
        <f>SUM(D17)</f>
        <v>204</v>
      </c>
      <c r="E16" s="106">
        <f t="shared" ref="E16:F16" si="0">SUM(E17)</f>
        <v>204</v>
      </c>
      <c r="F16" s="106">
        <f t="shared" si="0"/>
        <v>408</v>
      </c>
    </row>
    <row r="17" spans="2:6" x14ac:dyDescent="0.25">
      <c r="B17" s="94">
        <v>51401</v>
      </c>
      <c r="C17" s="109" t="s">
        <v>255</v>
      </c>
      <c r="D17" s="108">
        <v>204</v>
      </c>
      <c r="E17" s="108">
        <v>204</v>
      </c>
      <c r="F17" s="108">
        <f>SUM(D17:E17)</f>
        <v>408</v>
      </c>
    </row>
    <row r="18" spans="2:6" x14ac:dyDescent="0.25">
      <c r="B18" s="85">
        <v>515</v>
      </c>
      <c r="C18" s="111" t="s">
        <v>256</v>
      </c>
      <c r="D18" s="106">
        <f>SUM(D19:D19)</f>
        <v>186</v>
      </c>
      <c r="E18" s="106">
        <f>SUM(E19:E19)</f>
        <v>186</v>
      </c>
      <c r="F18" s="106">
        <f>SUM(F19:F19)</f>
        <v>372</v>
      </c>
    </row>
    <row r="19" spans="2:6" x14ac:dyDescent="0.25">
      <c r="B19" s="94">
        <v>51501</v>
      </c>
      <c r="C19" s="109" t="s">
        <v>255</v>
      </c>
      <c r="D19" s="108">
        <v>186</v>
      </c>
      <c r="E19" s="108">
        <v>186</v>
      </c>
      <c r="F19" s="108">
        <f>SUM(D19:E19)</f>
        <v>372</v>
      </c>
    </row>
    <row r="20" spans="2:6" x14ac:dyDescent="0.25">
      <c r="B20" s="85">
        <v>54</v>
      </c>
      <c r="C20" s="111" t="s">
        <v>301</v>
      </c>
      <c r="D20" s="106">
        <f>SUM(D21+D29)</f>
        <v>2125.75</v>
      </c>
      <c r="E20" s="106">
        <f>SUM(E21+E29)</f>
        <v>0</v>
      </c>
      <c r="F20" s="106">
        <f>SUM(F21+F29)</f>
        <v>2125.75</v>
      </c>
    </row>
    <row r="21" spans="2:6" x14ac:dyDescent="0.25">
      <c r="B21" s="85">
        <v>541</v>
      </c>
      <c r="C21" s="111" t="s">
        <v>302</v>
      </c>
      <c r="D21" s="106">
        <f>SUM(D22:D28)</f>
        <v>1575.75</v>
      </c>
      <c r="E21" s="106">
        <f>SUM(E22:E28)</f>
        <v>0</v>
      </c>
      <c r="F21" s="106">
        <f>SUM(F22:F28)</f>
        <v>1575.75</v>
      </c>
    </row>
    <row r="22" spans="2:6" x14ac:dyDescent="0.25">
      <c r="B22" s="94">
        <v>54105</v>
      </c>
      <c r="C22" s="109" t="s">
        <v>264</v>
      </c>
      <c r="D22" s="108">
        <v>161</v>
      </c>
      <c r="E22" s="108">
        <v>0</v>
      </c>
      <c r="F22" s="108">
        <f t="shared" ref="F22:F28" si="1">SUM(D22:E22)</f>
        <v>161</v>
      </c>
    </row>
    <row r="23" spans="2:6" x14ac:dyDescent="0.25">
      <c r="B23" s="94">
        <v>54106</v>
      </c>
      <c r="C23" s="109" t="s">
        <v>265</v>
      </c>
      <c r="D23" s="108">
        <v>15</v>
      </c>
      <c r="E23" s="108">
        <v>0</v>
      </c>
      <c r="F23" s="108">
        <f t="shared" si="1"/>
        <v>15</v>
      </c>
    </row>
    <row r="24" spans="2:6" x14ac:dyDescent="0.25">
      <c r="B24" s="94">
        <v>54107</v>
      </c>
      <c r="C24" s="109" t="s">
        <v>335</v>
      </c>
      <c r="D24" s="108">
        <v>600</v>
      </c>
      <c r="E24" s="108">
        <v>0</v>
      </c>
      <c r="F24" s="108">
        <f t="shared" si="1"/>
        <v>600</v>
      </c>
    </row>
    <row r="25" spans="2:6" x14ac:dyDescent="0.25">
      <c r="B25" s="94">
        <v>54111</v>
      </c>
      <c r="C25" s="109" t="s">
        <v>266</v>
      </c>
      <c r="D25" s="108">
        <v>600</v>
      </c>
      <c r="E25" s="108">
        <v>0</v>
      </c>
      <c r="F25" s="108">
        <f t="shared" si="1"/>
        <v>600</v>
      </c>
    </row>
    <row r="26" spans="2:6" x14ac:dyDescent="0.25">
      <c r="B26" s="94">
        <v>54114</v>
      </c>
      <c r="C26" s="109" t="s">
        <v>268</v>
      </c>
      <c r="D26" s="108">
        <v>59.75</v>
      </c>
      <c r="E26" s="108">
        <v>0</v>
      </c>
      <c r="F26" s="108">
        <f t="shared" si="1"/>
        <v>59.75</v>
      </c>
    </row>
    <row r="27" spans="2:6" x14ac:dyDescent="0.25">
      <c r="B27" s="94">
        <v>54115</v>
      </c>
      <c r="C27" s="109" t="s">
        <v>269</v>
      </c>
      <c r="D27" s="108">
        <v>40</v>
      </c>
      <c r="E27" s="108">
        <v>0</v>
      </c>
      <c r="F27" s="108">
        <f t="shared" si="1"/>
        <v>40</v>
      </c>
    </row>
    <row r="28" spans="2:6" x14ac:dyDescent="0.25">
      <c r="B28" s="94">
        <v>54118</v>
      </c>
      <c r="C28" s="109" t="s">
        <v>310</v>
      </c>
      <c r="D28" s="108">
        <v>100</v>
      </c>
      <c r="E28" s="108">
        <v>0</v>
      </c>
      <c r="F28" s="108">
        <f t="shared" si="1"/>
        <v>100</v>
      </c>
    </row>
    <row r="29" spans="2:6" x14ac:dyDescent="0.25">
      <c r="B29" s="85">
        <v>543</v>
      </c>
      <c r="C29" s="111" t="s">
        <v>272</v>
      </c>
      <c r="D29" s="106">
        <f>SUM(D30:D30)</f>
        <v>550</v>
      </c>
      <c r="E29" s="106">
        <f>SUM(E30:E30)</f>
        <v>0</v>
      </c>
      <c r="F29" s="106">
        <f>SUM(F30:F30)</f>
        <v>550</v>
      </c>
    </row>
    <row r="30" spans="2:6" x14ac:dyDescent="0.25">
      <c r="B30" s="94">
        <v>54303</v>
      </c>
      <c r="C30" s="109" t="s">
        <v>274</v>
      </c>
      <c r="D30" s="108">
        <v>550</v>
      </c>
      <c r="E30" s="108">
        <v>0</v>
      </c>
      <c r="F30" s="108">
        <f>SUM(D30:E30)</f>
        <v>550</v>
      </c>
    </row>
    <row r="31" spans="2:6" x14ac:dyDescent="0.25">
      <c r="B31" s="94"/>
      <c r="C31" s="109"/>
      <c r="D31" s="108"/>
      <c r="E31" s="108"/>
      <c r="F31" s="108"/>
    </row>
    <row r="32" spans="2:6" x14ac:dyDescent="0.25">
      <c r="B32" s="94"/>
      <c r="C32" s="111" t="s">
        <v>75</v>
      </c>
      <c r="D32" s="106">
        <f>SUM(D12+D20)</f>
        <v>5315.75</v>
      </c>
      <c r="E32" s="106">
        <f>SUM(E12+E20)</f>
        <v>2790</v>
      </c>
      <c r="F32" s="106">
        <f>SUM(D32:E32)</f>
        <v>8105.75</v>
      </c>
    </row>
    <row r="33" spans="2:6" x14ac:dyDescent="0.25">
      <c r="B33" s="94"/>
      <c r="C33" s="109"/>
      <c r="D33" s="108"/>
      <c r="E33" s="108"/>
      <c r="F33" s="108"/>
    </row>
    <row r="34" spans="2:6" x14ac:dyDescent="0.25">
      <c r="B34" s="85"/>
      <c r="C34" s="111" t="s">
        <v>65</v>
      </c>
      <c r="D34" s="106">
        <f>SUM(D12+D20)</f>
        <v>5315.75</v>
      </c>
      <c r="E34" s="106">
        <f>SUM(E12+E20)</f>
        <v>2790</v>
      </c>
      <c r="F34" s="106">
        <f>SUM(F12+F20)</f>
        <v>8105.75</v>
      </c>
    </row>
    <row r="35" spans="2:6" x14ac:dyDescent="0.25">
      <c r="B35" s="85"/>
      <c r="C35" s="111" t="s">
        <v>66</v>
      </c>
      <c r="D35" s="106">
        <f>SUM(D13+D16+D18+D21+D29)</f>
        <v>5315.75</v>
      </c>
      <c r="E35" s="106">
        <f>SUM(E13+E16+E18+E21+E29)</f>
        <v>2790</v>
      </c>
      <c r="F35" s="106">
        <f>SUM(F13+F16+F18+F21+F29)</f>
        <v>8105.75</v>
      </c>
    </row>
    <row r="36" spans="2:6" x14ac:dyDescent="0.25">
      <c r="B36" s="85"/>
      <c r="C36" s="111" t="s">
        <v>67</v>
      </c>
      <c r="D36" s="106">
        <f>SUM(D14+D15+D17+D19+D22+D23+D24+D25+D26+D27+D28+D30)</f>
        <v>5315.75</v>
      </c>
      <c r="E36" s="106">
        <f>SUM(E14+E15+E17+E19+E22+E23+E24+E25+E26+E27+E28+E30)</f>
        <v>2790</v>
      </c>
      <c r="F36" s="106">
        <f>SUM(F14+F15+F17+F19+F22+F23+F24+F25+F26+F27+F28+F30)</f>
        <v>8105.75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F49"/>
  <sheetViews>
    <sheetView workbookViewId="0">
      <pane ySplit="11" topLeftCell="A27" activePane="bottomLeft" state="frozen"/>
      <selection pane="bottomLeft" activeCell="J31" sqref="J31"/>
    </sheetView>
  </sheetViews>
  <sheetFormatPr baseColWidth="10" defaultRowHeight="15" x14ac:dyDescent="0.25"/>
  <cols>
    <col min="1" max="1" width="4.28515625" style="33" customWidth="1"/>
    <col min="2" max="2" width="8.5703125" style="33" customWidth="1"/>
    <col min="3" max="3" width="42.85546875" style="33" customWidth="1"/>
    <col min="4" max="4" width="13.42578125" style="33" customWidth="1"/>
    <col min="5" max="5" width="16" style="33" customWidth="1"/>
    <col min="6" max="16384" width="11.42578125" style="33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354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361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24173</v>
      </c>
      <c r="E12" s="104">
        <f>SUM(E13+E16+E18)</f>
        <v>19530</v>
      </c>
      <c r="F12" s="104">
        <f>SUM(F13+F16+F18)</f>
        <v>43703</v>
      </c>
    </row>
    <row r="13" spans="2:6" x14ac:dyDescent="0.25">
      <c r="B13" s="85">
        <v>511</v>
      </c>
      <c r="C13" s="118" t="s">
        <v>249</v>
      </c>
      <c r="D13" s="106">
        <f>SUM(D14:D15)</f>
        <v>21170</v>
      </c>
      <c r="E13" s="106">
        <f>SUM(E14:E15)</f>
        <v>16800</v>
      </c>
      <c r="F13" s="106">
        <f>SUM(F14:F15)</f>
        <v>37970</v>
      </c>
    </row>
    <row r="14" spans="2:6" x14ac:dyDescent="0.25">
      <c r="B14" s="88">
        <v>51101</v>
      </c>
      <c r="C14" s="107" t="s">
        <v>250</v>
      </c>
      <c r="D14" s="108">
        <v>18480</v>
      </c>
      <c r="E14" s="108">
        <v>16800</v>
      </c>
      <c r="F14" s="108">
        <f>SUM(D14:E14)</f>
        <v>35280</v>
      </c>
    </row>
    <row r="15" spans="2:6" x14ac:dyDescent="0.25">
      <c r="B15" s="88">
        <v>51103</v>
      </c>
      <c r="C15" s="109" t="s">
        <v>251</v>
      </c>
      <c r="D15" s="108">
        <v>2690</v>
      </c>
      <c r="E15" s="108">
        <v>0</v>
      </c>
      <c r="F15" s="108">
        <f>SUM(D15:E15)</f>
        <v>2690</v>
      </c>
    </row>
    <row r="16" spans="2:6" x14ac:dyDescent="0.25">
      <c r="B16" s="85">
        <v>514</v>
      </c>
      <c r="C16" s="110" t="s">
        <v>254</v>
      </c>
      <c r="D16" s="106">
        <f>SUM(D17)</f>
        <v>1570.8</v>
      </c>
      <c r="E16" s="106">
        <f t="shared" ref="E16:F16" si="0">SUM(E17)</f>
        <v>1428</v>
      </c>
      <c r="F16" s="106">
        <f t="shared" si="0"/>
        <v>2998.8</v>
      </c>
    </row>
    <row r="17" spans="2:6" x14ac:dyDescent="0.25">
      <c r="B17" s="94">
        <v>51401</v>
      </c>
      <c r="C17" s="109" t="s">
        <v>255</v>
      </c>
      <c r="D17" s="108">
        <v>1570.8</v>
      </c>
      <c r="E17" s="108">
        <v>1428</v>
      </c>
      <c r="F17" s="108">
        <f>SUM(D17:E17)</f>
        <v>2998.8</v>
      </c>
    </row>
    <row r="18" spans="2:6" x14ac:dyDescent="0.25">
      <c r="B18" s="85">
        <v>515</v>
      </c>
      <c r="C18" s="111" t="s">
        <v>256</v>
      </c>
      <c r="D18" s="106">
        <f>SUM(D19:D19)</f>
        <v>1432.2</v>
      </c>
      <c r="E18" s="106">
        <f>SUM(E19:E19)</f>
        <v>1302</v>
      </c>
      <c r="F18" s="106">
        <f>SUM(F19:F19)</f>
        <v>2734.2</v>
      </c>
    </row>
    <row r="19" spans="2:6" x14ac:dyDescent="0.25">
      <c r="B19" s="94">
        <v>51501</v>
      </c>
      <c r="C19" s="109" t="s">
        <v>255</v>
      </c>
      <c r="D19" s="108">
        <v>1432.2</v>
      </c>
      <c r="E19" s="108">
        <v>1302</v>
      </c>
      <c r="F19" s="108">
        <f>SUM(D19:E19)</f>
        <v>2734.2</v>
      </c>
    </row>
    <row r="20" spans="2:6" x14ac:dyDescent="0.25">
      <c r="B20" s="85">
        <v>54</v>
      </c>
      <c r="C20" s="111" t="s">
        <v>301</v>
      </c>
      <c r="D20" s="106">
        <f>SUM(D21+D30+D34+D39)</f>
        <v>8450</v>
      </c>
      <c r="E20" s="106">
        <f>SUM(E21+E30+E34+E39)</f>
        <v>39100</v>
      </c>
      <c r="F20" s="106">
        <f>SUM(F21+F30+F34+F39)</f>
        <v>47550</v>
      </c>
    </row>
    <row r="21" spans="2:6" x14ac:dyDescent="0.25">
      <c r="B21" s="85">
        <v>541</v>
      </c>
      <c r="C21" s="111" t="s">
        <v>302</v>
      </c>
      <c r="D21" s="106">
        <f>SUM(D22:D29)</f>
        <v>1600</v>
      </c>
      <c r="E21" s="106">
        <f>SUM(E22:E29)</f>
        <v>18700</v>
      </c>
      <c r="F21" s="106">
        <f>SUM(F22:F29)</f>
        <v>20300</v>
      </c>
    </row>
    <row r="22" spans="2:6" x14ac:dyDescent="0.25">
      <c r="B22" s="94">
        <v>54105</v>
      </c>
      <c r="C22" s="109" t="s">
        <v>264</v>
      </c>
      <c r="D22" s="108">
        <v>250</v>
      </c>
      <c r="E22" s="108">
        <v>0</v>
      </c>
      <c r="F22" s="108">
        <f>SUM(D22:E22)</f>
        <v>250</v>
      </c>
    </row>
    <row r="23" spans="2:6" x14ac:dyDescent="0.25">
      <c r="B23" s="94">
        <v>54111</v>
      </c>
      <c r="C23" s="109" t="s">
        <v>266</v>
      </c>
      <c r="D23" s="108">
        <v>300</v>
      </c>
      <c r="E23" s="108">
        <v>3000</v>
      </c>
      <c r="F23" s="108">
        <f t="shared" ref="F23:F29" si="1">SUM(D23:E23)</f>
        <v>3300</v>
      </c>
    </row>
    <row r="24" spans="2:6" x14ac:dyDescent="0.25">
      <c r="B24" s="94">
        <v>54112</v>
      </c>
      <c r="C24" s="109" t="s">
        <v>362</v>
      </c>
      <c r="D24" s="108">
        <v>250</v>
      </c>
      <c r="E24" s="108">
        <v>4200</v>
      </c>
      <c r="F24" s="108">
        <f t="shared" si="1"/>
        <v>4450</v>
      </c>
    </row>
    <row r="25" spans="2:6" x14ac:dyDescent="0.25">
      <c r="B25" s="94">
        <v>54114</v>
      </c>
      <c r="C25" s="109" t="s">
        <v>268</v>
      </c>
      <c r="D25" s="108">
        <v>50</v>
      </c>
      <c r="E25" s="108">
        <v>0</v>
      </c>
      <c r="F25" s="108">
        <f t="shared" si="1"/>
        <v>50</v>
      </c>
    </row>
    <row r="26" spans="2:6" x14ac:dyDescent="0.25">
      <c r="B26" s="94">
        <v>54115</v>
      </c>
      <c r="C26" s="109" t="s">
        <v>269</v>
      </c>
      <c r="D26" s="108">
        <v>150</v>
      </c>
      <c r="E26" s="108">
        <v>0</v>
      </c>
      <c r="F26" s="108">
        <f t="shared" si="1"/>
        <v>150</v>
      </c>
    </row>
    <row r="27" spans="2:6" x14ac:dyDescent="0.25">
      <c r="B27" s="94">
        <v>54118</v>
      </c>
      <c r="C27" s="109" t="s">
        <v>310</v>
      </c>
      <c r="D27" s="117">
        <v>400</v>
      </c>
      <c r="E27" s="108">
        <v>2300</v>
      </c>
      <c r="F27" s="108">
        <f t="shared" si="1"/>
        <v>2700</v>
      </c>
    </row>
    <row r="28" spans="2:6" x14ac:dyDescent="0.25">
      <c r="B28" s="94">
        <v>54119</v>
      </c>
      <c r="C28" s="109" t="s">
        <v>270</v>
      </c>
      <c r="D28" s="108">
        <v>100</v>
      </c>
      <c r="E28" s="108">
        <v>8000</v>
      </c>
      <c r="F28" s="108">
        <f t="shared" si="1"/>
        <v>8100</v>
      </c>
    </row>
    <row r="29" spans="2:6" x14ac:dyDescent="0.25">
      <c r="B29" s="94">
        <v>54199</v>
      </c>
      <c r="C29" s="109" t="s">
        <v>271</v>
      </c>
      <c r="D29" s="108">
        <v>100</v>
      </c>
      <c r="E29" s="108">
        <v>1200</v>
      </c>
      <c r="F29" s="108">
        <f t="shared" si="1"/>
        <v>1300</v>
      </c>
    </row>
    <row r="30" spans="2:6" x14ac:dyDescent="0.25">
      <c r="B30" s="85">
        <v>542</v>
      </c>
      <c r="C30" s="111" t="s">
        <v>356</v>
      </c>
      <c r="D30" s="106">
        <f>SUM(D31:D33)</f>
        <v>0</v>
      </c>
      <c r="E30" s="106">
        <f>SUM(E31:E33)</f>
        <v>14100</v>
      </c>
      <c r="F30" s="106">
        <f>SUM(F31:F33)</f>
        <v>14100</v>
      </c>
    </row>
    <row r="31" spans="2:6" x14ac:dyDescent="0.25">
      <c r="B31" s="94">
        <v>54201</v>
      </c>
      <c r="C31" s="109" t="s">
        <v>363</v>
      </c>
      <c r="D31" s="108">
        <v>0</v>
      </c>
      <c r="E31" s="108">
        <v>6100</v>
      </c>
      <c r="F31" s="108">
        <f>SUM(D31:E31)</f>
        <v>6100</v>
      </c>
    </row>
    <row r="32" spans="2:6" x14ac:dyDescent="0.25">
      <c r="B32" s="94">
        <v>54202</v>
      </c>
      <c r="C32" s="109" t="s">
        <v>364</v>
      </c>
      <c r="D32" s="108">
        <v>0</v>
      </c>
      <c r="E32" s="108">
        <v>5000</v>
      </c>
      <c r="F32" s="108">
        <f>SUM(D32:E32)</f>
        <v>5000</v>
      </c>
    </row>
    <row r="33" spans="2:6" x14ac:dyDescent="0.25">
      <c r="B33" s="94">
        <v>54203</v>
      </c>
      <c r="C33" s="109" t="s">
        <v>365</v>
      </c>
      <c r="D33" s="108">
        <v>0</v>
      </c>
      <c r="E33" s="108">
        <v>3000</v>
      </c>
      <c r="F33" s="108">
        <f>SUM(D33:E33)</f>
        <v>3000</v>
      </c>
    </row>
    <row r="34" spans="2:6" x14ac:dyDescent="0.25">
      <c r="B34" s="85">
        <v>543</v>
      </c>
      <c r="C34" s="111" t="s">
        <v>272</v>
      </c>
      <c r="D34" s="106">
        <f>SUM(D35:D38)</f>
        <v>6750</v>
      </c>
      <c r="E34" s="106">
        <f>SUM(E35:E38)</f>
        <v>6300</v>
      </c>
      <c r="F34" s="106">
        <f>SUM(F35:F38)</f>
        <v>13050</v>
      </c>
    </row>
    <row r="35" spans="2:6" x14ac:dyDescent="0.25">
      <c r="B35" s="94">
        <v>54301</v>
      </c>
      <c r="C35" s="109" t="s">
        <v>273</v>
      </c>
      <c r="D35" s="108">
        <v>1000</v>
      </c>
      <c r="E35" s="108">
        <v>2000</v>
      </c>
      <c r="F35" s="108">
        <f>SUM(D35:E35)</f>
        <v>3000</v>
      </c>
    </row>
    <row r="36" spans="2:6" x14ac:dyDescent="0.25">
      <c r="B36" s="94">
        <v>54303</v>
      </c>
      <c r="C36" s="109" t="s">
        <v>366</v>
      </c>
      <c r="D36" s="117">
        <v>5000</v>
      </c>
      <c r="E36" s="108">
        <v>2500</v>
      </c>
      <c r="F36" s="108">
        <f>SUM(D36:E36)</f>
        <v>7500</v>
      </c>
    </row>
    <row r="37" spans="2:6" x14ac:dyDescent="0.25">
      <c r="B37" s="94">
        <v>54316</v>
      </c>
      <c r="C37" s="109" t="s">
        <v>367</v>
      </c>
      <c r="D37" s="117">
        <v>350</v>
      </c>
      <c r="E37" s="108">
        <v>1800</v>
      </c>
      <c r="F37" s="108">
        <f>SUM(D37:E37)</f>
        <v>2150</v>
      </c>
    </row>
    <row r="38" spans="2:6" x14ac:dyDescent="0.25">
      <c r="B38" s="94">
        <v>54399</v>
      </c>
      <c r="C38" s="109" t="s">
        <v>278</v>
      </c>
      <c r="D38" s="117">
        <v>400</v>
      </c>
      <c r="E38" s="108">
        <v>0</v>
      </c>
      <c r="F38" s="108">
        <f>SUM(D38:E38)</f>
        <v>400</v>
      </c>
    </row>
    <row r="39" spans="2:6" x14ac:dyDescent="0.25">
      <c r="B39" s="85">
        <v>544</v>
      </c>
      <c r="C39" s="111" t="s">
        <v>279</v>
      </c>
      <c r="D39" s="106">
        <f>SUM(D40)</f>
        <v>100</v>
      </c>
      <c r="E39" s="106">
        <f t="shared" ref="E39:F39" si="2">SUM(E40)</f>
        <v>0</v>
      </c>
      <c r="F39" s="106">
        <f t="shared" si="2"/>
        <v>100</v>
      </c>
    </row>
    <row r="40" spans="2:6" x14ac:dyDescent="0.25">
      <c r="B40" s="94">
        <v>54401</v>
      </c>
      <c r="C40" s="109" t="s">
        <v>280</v>
      </c>
      <c r="D40" s="108">
        <v>100</v>
      </c>
      <c r="E40" s="108"/>
      <c r="F40" s="108">
        <f>SUM(D40:E40)</f>
        <v>100</v>
      </c>
    </row>
    <row r="41" spans="2:6" x14ac:dyDescent="0.25">
      <c r="B41" s="85">
        <v>61</v>
      </c>
      <c r="C41" s="111" t="s">
        <v>295</v>
      </c>
      <c r="D41" s="106">
        <f>SUM(D42)</f>
        <v>450</v>
      </c>
      <c r="E41" s="106">
        <f t="shared" ref="E41:F41" si="3">SUM(E42)</f>
        <v>0</v>
      </c>
      <c r="F41" s="106">
        <f t="shared" si="3"/>
        <v>450</v>
      </c>
    </row>
    <row r="42" spans="2:6" x14ac:dyDescent="0.25">
      <c r="B42" s="85">
        <v>611</v>
      </c>
      <c r="C42" s="111" t="s">
        <v>296</v>
      </c>
      <c r="D42" s="106">
        <f>SUM(D43:D43)</f>
        <v>450</v>
      </c>
      <c r="E42" s="106">
        <f>SUM(E43:E43)</f>
        <v>0</v>
      </c>
      <c r="F42" s="106">
        <f>SUM(F43:F43)</f>
        <v>450</v>
      </c>
    </row>
    <row r="43" spans="2:6" x14ac:dyDescent="0.25">
      <c r="B43" s="94">
        <v>61101</v>
      </c>
      <c r="C43" s="109" t="s">
        <v>297</v>
      </c>
      <c r="D43" s="108">
        <v>450</v>
      </c>
      <c r="E43" s="108">
        <v>0</v>
      </c>
      <c r="F43" s="108">
        <f>SUM(D43:E43)</f>
        <v>450</v>
      </c>
    </row>
    <row r="44" spans="2:6" x14ac:dyDescent="0.25">
      <c r="B44" s="94"/>
      <c r="C44" s="109"/>
      <c r="D44" s="108"/>
      <c r="E44" s="108"/>
      <c r="F44" s="108"/>
    </row>
    <row r="45" spans="2:6" x14ac:dyDescent="0.25">
      <c r="B45" s="94"/>
      <c r="C45" s="111" t="s">
        <v>75</v>
      </c>
      <c r="D45" s="106">
        <f>SUM(D12+D20+D41)</f>
        <v>33073</v>
      </c>
      <c r="E45" s="106">
        <f>SUM(E12+E20)</f>
        <v>58630</v>
      </c>
      <c r="F45" s="106">
        <f>SUM(D45:E45)</f>
        <v>91703</v>
      </c>
    </row>
    <row r="46" spans="2:6" x14ac:dyDescent="0.25">
      <c r="B46" s="94"/>
      <c r="C46" s="109"/>
      <c r="D46" s="108"/>
      <c r="E46" s="108"/>
      <c r="F46" s="108"/>
    </row>
    <row r="47" spans="2:6" x14ac:dyDescent="0.25">
      <c r="B47" s="85"/>
      <c r="C47" s="111" t="s">
        <v>65</v>
      </c>
      <c r="D47" s="106">
        <f>SUM(D12+D20+D41)</f>
        <v>33073</v>
      </c>
      <c r="E47" s="106">
        <f>SUM(E12+E20+E41)</f>
        <v>58630</v>
      </c>
      <c r="F47" s="106">
        <f>SUM(F12+F20+F41)</f>
        <v>91703</v>
      </c>
    </row>
    <row r="48" spans="2:6" x14ac:dyDescent="0.25">
      <c r="B48" s="85"/>
      <c r="C48" s="111" t="s">
        <v>66</v>
      </c>
      <c r="D48" s="106">
        <f>SUM(D13+D16+D18+D21+D30+D34+D39+D42)</f>
        <v>33073</v>
      </c>
      <c r="E48" s="106">
        <f>SUM(E13+E16+E18+E21+E30+E34+E39+E42)</f>
        <v>58630</v>
      </c>
      <c r="F48" s="106">
        <f>SUM(F13+F16+F18+F21+F30+F34+F39+F42)</f>
        <v>91703</v>
      </c>
    </row>
    <row r="49" spans="2:6" x14ac:dyDescent="0.25">
      <c r="B49" s="85"/>
      <c r="C49" s="111" t="s">
        <v>67</v>
      </c>
      <c r="D49" s="106">
        <f>SUM(D14+D15+D17+D19+D22+D23+D24+D25+D26+D27+D28+D29+D31+D32+D33+D35+D36+D37+D38+D40+D43)</f>
        <v>33073</v>
      </c>
      <c r="E49" s="106">
        <f>SUM(E14+E15+E17+E19+E22+E23+E24+E25+E26+E27+E28+E29+E31+E32+E33+E35+E36+E37+E38+E40+E43)</f>
        <v>58630</v>
      </c>
      <c r="F49" s="106">
        <f>SUM(F14+F15+F17+F19+F22+F23+F24+F25+F26+F27+F28+F29+F31+F32+F33+F35+F36+F37+F38+F40+F43)</f>
        <v>91703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F51"/>
  <sheetViews>
    <sheetView workbookViewId="0">
      <pane ySplit="11" topLeftCell="A21" activePane="bottomLeft" state="frozen"/>
      <selection pane="bottomLeft" activeCell="A30" sqref="A30:XFD30"/>
    </sheetView>
  </sheetViews>
  <sheetFormatPr baseColWidth="10" defaultRowHeight="15" x14ac:dyDescent="0.25"/>
  <cols>
    <col min="1" max="1" width="2.5703125" style="33" customWidth="1"/>
    <col min="2" max="2" width="8.85546875" style="33" customWidth="1"/>
    <col min="3" max="3" width="42.7109375" style="33" customWidth="1"/>
    <col min="4" max="4" width="12.5703125" style="33" customWidth="1"/>
    <col min="5" max="5" width="16.42578125" style="33" customWidth="1"/>
    <col min="6" max="6" width="13.710937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368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38" t="s">
        <v>244</v>
      </c>
      <c r="D10" s="252" t="s">
        <v>245</v>
      </c>
      <c r="E10" s="252" t="s">
        <v>246</v>
      </c>
      <c r="F10" s="438" t="s">
        <v>0</v>
      </c>
    </row>
    <row r="11" spans="2:6" x14ac:dyDescent="0.25">
      <c r="B11" s="400"/>
      <c r="C11" s="438"/>
      <c r="D11" s="252" t="s">
        <v>247</v>
      </c>
      <c r="E11" s="252" t="s">
        <v>248</v>
      </c>
      <c r="F11" s="438"/>
    </row>
    <row r="12" spans="2:6" x14ac:dyDescent="0.25">
      <c r="B12" s="80">
        <v>51</v>
      </c>
      <c r="C12" s="103" t="s">
        <v>140</v>
      </c>
      <c r="D12" s="253">
        <f>SUM(D13+D16+D19+D21)</f>
        <v>22095</v>
      </c>
      <c r="E12" s="253">
        <f>SUM(E13+E16+E19+E21)</f>
        <v>12555</v>
      </c>
      <c r="F12" s="253">
        <f>SUM(F13+F16+F19+F21)</f>
        <v>34650</v>
      </c>
    </row>
    <row r="13" spans="2:6" x14ac:dyDescent="0.25">
      <c r="B13" s="85">
        <v>511</v>
      </c>
      <c r="C13" s="105" t="s">
        <v>249</v>
      </c>
      <c r="D13" s="114">
        <f>SUM(D14:D15)</f>
        <v>14750</v>
      </c>
      <c r="E13" s="114">
        <f>SUM(E14:E15)</f>
        <v>10800</v>
      </c>
      <c r="F13" s="114">
        <f>SUM(F14:F15)</f>
        <v>25550</v>
      </c>
    </row>
    <row r="14" spans="2:6" x14ac:dyDescent="0.25">
      <c r="B14" s="88">
        <v>51101</v>
      </c>
      <c r="C14" s="254" t="s">
        <v>250</v>
      </c>
      <c r="D14" s="117">
        <v>13200</v>
      </c>
      <c r="E14" s="117">
        <v>10800</v>
      </c>
      <c r="F14" s="117">
        <f>SUM(D14:E14)</f>
        <v>24000</v>
      </c>
    </row>
    <row r="15" spans="2:6" x14ac:dyDescent="0.25">
      <c r="B15" s="88">
        <v>51103</v>
      </c>
      <c r="C15" s="116" t="s">
        <v>251</v>
      </c>
      <c r="D15" s="117">
        <v>1550</v>
      </c>
      <c r="E15" s="117">
        <v>0</v>
      </c>
      <c r="F15" s="117">
        <f>SUM(D15:D15)</f>
        <v>1550</v>
      </c>
    </row>
    <row r="16" spans="2:6" s="298" customFormat="1" x14ac:dyDescent="0.25">
      <c r="B16" s="119">
        <v>512</v>
      </c>
      <c r="C16" s="103" t="s">
        <v>334</v>
      </c>
      <c r="D16" s="114">
        <f>D17+D18</f>
        <v>5200</v>
      </c>
      <c r="E16" s="114">
        <v>0</v>
      </c>
      <c r="F16" s="114">
        <f>SUM(D16:D16)</f>
        <v>5200</v>
      </c>
    </row>
    <row r="17" spans="2:6" x14ac:dyDescent="0.25">
      <c r="B17" s="88">
        <v>51201</v>
      </c>
      <c r="C17" s="297" t="s">
        <v>250</v>
      </c>
      <c r="D17" s="117">
        <v>4200</v>
      </c>
      <c r="E17" s="117">
        <v>0</v>
      </c>
      <c r="F17" s="117">
        <f>SUM(D17:D17)</f>
        <v>4200</v>
      </c>
    </row>
    <row r="18" spans="2:6" x14ac:dyDescent="0.25">
      <c r="B18" s="88">
        <v>51202</v>
      </c>
      <c r="C18" s="297" t="s">
        <v>456</v>
      </c>
      <c r="D18" s="117">
        <v>1000</v>
      </c>
      <c r="E18" s="117">
        <v>0</v>
      </c>
      <c r="F18" s="117">
        <f>SUM(D18:D18)</f>
        <v>1000</v>
      </c>
    </row>
    <row r="19" spans="2:6" x14ac:dyDescent="0.25">
      <c r="B19" s="85">
        <v>514</v>
      </c>
      <c r="C19" s="103" t="s">
        <v>254</v>
      </c>
      <c r="D19" s="114">
        <f>SUM(D20)</f>
        <v>1122</v>
      </c>
      <c r="E19" s="114">
        <f t="shared" ref="E19:F19" si="0">SUM(E20)</f>
        <v>918</v>
      </c>
      <c r="F19" s="114">
        <f t="shared" si="0"/>
        <v>2040</v>
      </c>
    </row>
    <row r="20" spans="2:6" x14ac:dyDescent="0.25">
      <c r="B20" s="94">
        <v>51401</v>
      </c>
      <c r="C20" s="116" t="s">
        <v>255</v>
      </c>
      <c r="D20" s="117">
        <v>1122</v>
      </c>
      <c r="E20" s="117">
        <v>918</v>
      </c>
      <c r="F20" s="117">
        <f>SUM(D20:E20)</f>
        <v>2040</v>
      </c>
    </row>
    <row r="21" spans="2:6" x14ac:dyDescent="0.25">
      <c r="B21" s="85">
        <v>515</v>
      </c>
      <c r="C21" s="113" t="s">
        <v>256</v>
      </c>
      <c r="D21" s="114">
        <f>SUM(D22:D22)</f>
        <v>1023</v>
      </c>
      <c r="E21" s="114">
        <f>SUM(E22:E22)</f>
        <v>837</v>
      </c>
      <c r="F21" s="114">
        <f>SUM(F22:F22)</f>
        <v>1860</v>
      </c>
    </row>
    <row r="22" spans="2:6" x14ac:dyDescent="0.25">
      <c r="B22" s="94">
        <v>51501</v>
      </c>
      <c r="C22" s="116" t="s">
        <v>255</v>
      </c>
      <c r="D22" s="117">
        <v>1023</v>
      </c>
      <c r="E22" s="117">
        <v>837</v>
      </c>
      <c r="F22" s="117">
        <f>SUM(D22:E22)</f>
        <v>1860</v>
      </c>
    </row>
    <row r="23" spans="2:6" x14ac:dyDescent="0.25">
      <c r="B23" s="85">
        <v>54</v>
      </c>
      <c r="C23" s="113" t="s">
        <v>301</v>
      </c>
      <c r="D23" s="114">
        <f>SUM(D24+D35)</f>
        <v>15879.91</v>
      </c>
      <c r="E23" s="114">
        <f>SUM(E24+E35)</f>
        <v>3350</v>
      </c>
      <c r="F23" s="114">
        <f>SUM(F24+F35)</f>
        <v>19229.91</v>
      </c>
    </row>
    <row r="24" spans="2:6" x14ac:dyDescent="0.25">
      <c r="B24" s="85">
        <v>541</v>
      </c>
      <c r="C24" s="113" t="s">
        <v>302</v>
      </c>
      <c r="D24" s="114">
        <f>SUM(D25:D34)</f>
        <v>7079.91</v>
      </c>
      <c r="E24" s="114">
        <f>SUM(E26:E34)</f>
        <v>3350</v>
      </c>
      <c r="F24" s="114">
        <f>SUM(F25:F34)</f>
        <v>10429.91</v>
      </c>
    </row>
    <row r="25" spans="2:6" x14ac:dyDescent="0.25">
      <c r="B25" s="94">
        <v>54104</v>
      </c>
      <c r="C25" s="116" t="s">
        <v>263</v>
      </c>
      <c r="D25" s="117">
        <v>1200</v>
      </c>
      <c r="E25" s="117">
        <v>0</v>
      </c>
      <c r="F25" s="117">
        <f>SUM(D25:E25)</f>
        <v>1200</v>
      </c>
    </row>
    <row r="26" spans="2:6" x14ac:dyDescent="0.25">
      <c r="B26" s="94">
        <v>54105</v>
      </c>
      <c r="C26" s="116" t="s">
        <v>264</v>
      </c>
      <c r="D26" s="117">
        <v>504.91</v>
      </c>
      <c r="E26" s="117"/>
      <c r="F26" s="117">
        <f>SUM(D26:E26)</f>
        <v>504.91</v>
      </c>
    </row>
    <row r="27" spans="2:6" x14ac:dyDescent="0.25">
      <c r="B27" s="94">
        <v>54109</v>
      </c>
      <c r="C27" s="116" t="s">
        <v>309</v>
      </c>
      <c r="D27" s="117">
        <v>1000</v>
      </c>
      <c r="E27" s="117">
        <v>0</v>
      </c>
      <c r="F27" s="117">
        <f t="shared" ref="F27:F34" si="1">SUM(D27:E27)</f>
        <v>1000</v>
      </c>
    </row>
    <row r="28" spans="2:6" x14ac:dyDescent="0.25">
      <c r="B28" s="94">
        <v>54110</v>
      </c>
      <c r="C28" s="116" t="s">
        <v>351</v>
      </c>
      <c r="D28" s="117">
        <v>0</v>
      </c>
      <c r="E28" s="117">
        <v>3000</v>
      </c>
      <c r="F28" s="117">
        <f t="shared" si="1"/>
        <v>3000</v>
      </c>
    </row>
    <row r="29" spans="2:6" x14ac:dyDescent="0.25">
      <c r="B29" s="94">
        <v>54111</v>
      </c>
      <c r="C29" s="116" t="s">
        <v>352</v>
      </c>
      <c r="D29" s="117">
        <v>1000</v>
      </c>
      <c r="E29" s="117">
        <v>0</v>
      </c>
      <c r="F29" s="117">
        <f t="shared" si="1"/>
        <v>1000</v>
      </c>
    </row>
    <row r="30" spans="2:6" x14ac:dyDescent="0.25">
      <c r="B30" s="94">
        <v>54112</v>
      </c>
      <c r="C30" s="116" t="s">
        <v>360</v>
      </c>
      <c r="D30" s="117">
        <v>1500</v>
      </c>
      <c r="E30" s="117">
        <v>0</v>
      </c>
      <c r="F30" s="117">
        <f t="shared" si="1"/>
        <v>1500</v>
      </c>
    </row>
    <row r="31" spans="2:6" x14ac:dyDescent="0.25">
      <c r="B31" s="94">
        <v>54114</v>
      </c>
      <c r="C31" s="116" t="s">
        <v>268</v>
      </c>
      <c r="D31" s="117">
        <v>350</v>
      </c>
      <c r="E31" s="117">
        <v>0</v>
      </c>
      <c r="F31" s="117">
        <f t="shared" si="1"/>
        <v>350</v>
      </c>
    </row>
    <row r="32" spans="2:6" x14ac:dyDescent="0.25">
      <c r="B32" s="94">
        <v>54115</v>
      </c>
      <c r="C32" s="116" t="s">
        <v>269</v>
      </c>
      <c r="D32" s="117">
        <v>475</v>
      </c>
      <c r="E32" s="117">
        <v>0</v>
      </c>
      <c r="F32" s="117">
        <f t="shared" si="1"/>
        <v>475</v>
      </c>
    </row>
    <row r="33" spans="2:6" x14ac:dyDescent="0.25">
      <c r="B33" s="94">
        <v>54118</v>
      </c>
      <c r="C33" s="116" t="s">
        <v>310</v>
      </c>
      <c r="D33" s="255">
        <v>800</v>
      </c>
      <c r="E33" s="117">
        <v>0</v>
      </c>
      <c r="F33" s="117">
        <f t="shared" si="1"/>
        <v>800</v>
      </c>
    </row>
    <row r="34" spans="2:6" x14ac:dyDescent="0.25">
      <c r="B34" s="94">
        <v>54199</v>
      </c>
      <c r="C34" s="116" t="s">
        <v>271</v>
      </c>
      <c r="D34" s="117">
        <v>250</v>
      </c>
      <c r="E34" s="117">
        <v>350</v>
      </c>
      <c r="F34" s="117">
        <f t="shared" si="1"/>
        <v>600</v>
      </c>
    </row>
    <row r="35" spans="2:6" x14ac:dyDescent="0.25">
      <c r="B35" s="85">
        <v>543</v>
      </c>
      <c r="C35" s="113" t="s">
        <v>272</v>
      </c>
      <c r="D35" s="114">
        <f>SUM(D36:D39)</f>
        <v>8800</v>
      </c>
      <c r="E35" s="114">
        <f>SUM(E36:E39)</f>
        <v>0</v>
      </c>
      <c r="F35" s="114">
        <f>SUM(F36:F39)</f>
        <v>8800</v>
      </c>
    </row>
    <row r="36" spans="2:6" x14ac:dyDescent="0.25">
      <c r="B36" s="94">
        <v>54301</v>
      </c>
      <c r="C36" s="116" t="s">
        <v>273</v>
      </c>
      <c r="D36" s="117">
        <v>800</v>
      </c>
      <c r="E36" s="117">
        <v>0</v>
      </c>
      <c r="F36" s="117">
        <f>SUM(D36:E36)</f>
        <v>800</v>
      </c>
    </row>
    <row r="37" spans="2:6" x14ac:dyDescent="0.25">
      <c r="B37" s="94">
        <v>54302</v>
      </c>
      <c r="C37" s="116" t="s">
        <v>369</v>
      </c>
      <c r="D37" s="117">
        <v>5500</v>
      </c>
      <c r="E37" s="117">
        <v>0</v>
      </c>
      <c r="F37" s="117">
        <f>SUM(D37:E37)</f>
        <v>5500</v>
      </c>
    </row>
    <row r="38" spans="2:6" x14ac:dyDescent="0.25">
      <c r="B38" s="94">
        <v>54304</v>
      </c>
      <c r="C38" s="116" t="s">
        <v>370</v>
      </c>
      <c r="D38" s="255">
        <v>2000</v>
      </c>
      <c r="E38" s="117">
        <v>0</v>
      </c>
      <c r="F38" s="117">
        <f>SUM(D38:E38)</f>
        <v>2000</v>
      </c>
    </row>
    <row r="39" spans="2:6" x14ac:dyDescent="0.25">
      <c r="B39" s="94">
        <v>54313</v>
      </c>
      <c r="C39" s="116" t="s">
        <v>276</v>
      </c>
      <c r="D39" s="117">
        <v>500</v>
      </c>
      <c r="E39" s="117">
        <v>0</v>
      </c>
      <c r="F39" s="117">
        <f>SUM(D39:E39)</f>
        <v>500</v>
      </c>
    </row>
    <row r="40" spans="2:6" x14ac:dyDescent="0.25">
      <c r="B40" s="85">
        <v>61</v>
      </c>
      <c r="C40" s="113" t="s">
        <v>295</v>
      </c>
      <c r="D40" s="114">
        <f>SUM(D41)</f>
        <v>0</v>
      </c>
      <c r="E40" s="114">
        <f t="shared" ref="E40:F40" si="2">SUM(E41)</f>
        <v>1500</v>
      </c>
      <c r="F40" s="114">
        <f t="shared" si="2"/>
        <v>1500</v>
      </c>
    </row>
    <row r="41" spans="2:6" x14ac:dyDescent="0.25">
      <c r="B41" s="85">
        <v>611</v>
      </c>
      <c r="C41" s="113" t="s">
        <v>296</v>
      </c>
      <c r="D41" s="114">
        <f>SUM(D42:D42)</f>
        <v>0</v>
      </c>
      <c r="E41" s="114">
        <f>SUM(E42:E42)</f>
        <v>1500</v>
      </c>
      <c r="F41" s="114">
        <f>SUM(F42:F42)</f>
        <v>1500</v>
      </c>
    </row>
    <row r="42" spans="2:6" x14ac:dyDescent="0.25">
      <c r="B42" s="94">
        <v>61104</v>
      </c>
      <c r="C42" s="116" t="s">
        <v>358</v>
      </c>
      <c r="D42" s="117">
        <v>0</v>
      </c>
      <c r="E42" s="117">
        <v>1500</v>
      </c>
      <c r="F42" s="117">
        <f>SUM(D42:E42)</f>
        <v>1500</v>
      </c>
    </row>
    <row r="43" spans="2:6" x14ac:dyDescent="0.25">
      <c r="B43" s="94"/>
      <c r="C43" s="116"/>
      <c r="D43" s="117"/>
      <c r="E43" s="117"/>
      <c r="F43" s="117"/>
    </row>
    <row r="44" spans="2:6" x14ac:dyDescent="0.25">
      <c r="B44" s="94"/>
      <c r="C44" s="113" t="s">
        <v>75</v>
      </c>
      <c r="D44" s="114">
        <f>SUM(D12+D23+D40)</f>
        <v>37974.910000000003</v>
      </c>
      <c r="E44" s="114">
        <f>SUM(E12+E23+E40)</f>
        <v>17405</v>
      </c>
      <c r="F44" s="114">
        <f>SUM(D44:E44)</f>
        <v>55379.91</v>
      </c>
    </row>
    <row r="45" spans="2:6" x14ac:dyDescent="0.25">
      <c r="B45" s="94"/>
      <c r="C45" s="116"/>
      <c r="D45" s="117"/>
      <c r="E45" s="117"/>
      <c r="F45" s="117"/>
    </row>
    <row r="46" spans="2:6" x14ac:dyDescent="0.25">
      <c r="B46" s="85"/>
      <c r="C46" s="113" t="s">
        <v>65</v>
      </c>
      <c r="D46" s="114">
        <f>SUM(D12+D23+D40)</f>
        <v>37974.910000000003</v>
      </c>
      <c r="E46" s="114">
        <f>SUM(E12+E23+E40)</f>
        <v>17405</v>
      </c>
      <c r="F46" s="114">
        <f>SUM(F12+F23+F40)</f>
        <v>55379.91</v>
      </c>
    </row>
    <row r="47" spans="2:6" x14ac:dyDescent="0.25">
      <c r="B47" s="85"/>
      <c r="C47" s="113" t="s">
        <v>66</v>
      </c>
      <c r="D47" s="114">
        <f>SUM(D13+D16+D19+D21+D24+D35+D41)</f>
        <v>37974.910000000003</v>
      </c>
      <c r="E47" s="114">
        <f>SUM(E13+E16+E19+E21+E24+E35+E41)</f>
        <v>17405</v>
      </c>
      <c r="F47" s="114">
        <f>SUM(F13+F16+F19+F21+F24+F35+F41)</f>
        <v>55379.91</v>
      </c>
    </row>
    <row r="48" spans="2:6" x14ac:dyDescent="0.25">
      <c r="B48" s="85"/>
      <c r="C48" s="113" t="s">
        <v>67</v>
      </c>
      <c r="D48" s="114">
        <f>SUM(D14+D15+D17+D20+D22+D25+D26+D27+D28+D29+D30+D31+D32+D33+D34+D36+D37+D38+D39+D42)</f>
        <v>36974.910000000003</v>
      </c>
      <c r="E48" s="114">
        <f>SUM(E14+E15+E20+E22+E26+E27+E28+E29+E30+E31+E32+E33+E34+E36+E37+E39+E42)</f>
        <v>17405</v>
      </c>
      <c r="F48" s="114">
        <f>SUM(F14+F15+F17+F20+F22+F25+F26+F27+F28+F29+F30+F31+F32+F33+F34+F36+F37+F38+F39+F42)</f>
        <v>54379.91</v>
      </c>
    </row>
    <row r="49" spans="3:6" x14ac:dyDescent="0.25">
      <c r="C49" s="45"/>
      <c r="D49" s="45"/>
      <c r="E49" s="45"/>
      <c r="F49" s="45"/>
    </row>
    <row r="50" spans="3:6" x14ac:dyDescent="0.25">
      <c r="C50" s="45"/>
      <c r="D50" s="45"/>
      <c r="E50" s="45"/>
      <c r="F50" s="45"/>
    </row>
    <row r="51" spans="3:6" x14ac:dyDescent="0.25">
      <c r="C51" s="45"/>
      <c r="D51" s="45"/>
      <c r="E51" s="45"/>
      <c r="F51" s="45"/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F37"/>
  <sheetViews>
    <sheetView workbookViewId="0">
      <pane ySplit="11" topLeftCell="A12" activePane="bottomLeft" state="frozen"/>
      <selection pane="bottomLeft" activeCell="K22" sqref="K22"/>
    </sheetView>
  </sheetViews>
  <sheetFormatPr baseColWidth="10" defaultRowHeight="15" x14ac:dyDescent="0.25"/>
  <cols>
    <col min="1" max="1" width="3.140625" style="33" customWidth="1"/>
    <col min="2" max="2" width="8.5703125" style="33" customWidth="1"/>
    <col min="3" max="3" width="43" style="33" customWidth="1"/>
    <col min="4" max="4" width="13.28515625" style="33" customWidth="1"/>
    <col min="5" max="5" width="16.140625" style="33" customWidth="1"/>
    <col min="6" max="6" width="13.140625" style="33" customWidth="1"/>
    <col min="7" max="16384" width="11.42578125" style="33"/>
  </cols>
  <sheetData>
    <row r="2" spans="2:6" ht="15.75" x14ac:dyDescent="0.25">
      <c r="B2" s="401" t="s">
        <v>298</v>
      </c>
      <c r="C2" s="401"/>
      <c r="D2" s="401"/>
      <c r="E2" s="401"/>
      <c r="F2" s="401"/>
    </row>
    <row r="3" spans="2:6" ht="15.75" x14ac:dyDescent="0.25">
      <c r="B3" s="401" t="s">
        <v>238</v>
      </c>
      <c r="C3" s="401"/>
      <c r="D3" s="401"/>
      <c r="E3" s="401"/>
      <c r="F3" s="401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354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202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3937.5</v>
      </c>
      <c r="E12" s="104">
        <f>SUM(E13+E16+E18)</f>
        <v>3487.5</v>
      </c>
      <c r="F12" s="104">
        <f>SUM(F13+F16+F18)</f>
        <v>7425</v>
      </c>
    </row>
    <row r="13" spans="2:6" x14ac:dyDescent="0.25">
      <c r="B13" s="85">
        <v>511</v>
      </c>
      <c r="C13" s="118" t="s">
        <v>249</v>
      </c>
      <c r="D13" s="106">
        <f>SUM(D14:D15)</f>
        <v>3450</v>
      </c>
      <c r="E13" s="106">
        <f>SUM(E14:E15)</f>
        <v>3000</v>
      </c>
      <c r="F13" s="106">
        <f>SUM(F14:F15)</f>
        <v>6450</v>
      </c>
    </row>
    <row r="14" spans="2:6" x14ac:dyDescent="0.25">
      <c r="B14" s="88">
        <v>51101</v>
      </c>
      <c r="C14" s="107" t="s">
        <v>250</v>
      </c>
      <c r="D14" s="108">
        <v>3000</v>
      </c>
      <c r="E14" s="108">
        <v>3000</v>
      </c>
      <c r="F14" s="108">
        <f>SUM(D14:E14)</f>
        <v>6000</v>
      </c>
    </row>
    <row r="15" spans="2:6" x14ac:dyDescent="0.25">
      <c r="B15" s="88">
        <v>51103</v>
      </c>
      <c r="C15" s="109" t="s">
        <v>251</v>
      </c>
      <c r="D15" s="108">
        <v>450</v>
      </c>
      <c r="E15" s="108">
        <v>0</v>
      </c>
      <c r="F15" s="108">
        <f>SUM(D15:E15)</f>
        <v>450</v>
      </c>
    </row>
    <row r="16" spans="2:6" x14ac:dyDescent="0.25">
      <c r="B16" s="85">
        <v>514</v>
      </c>
      <c r="C16" s="110" t="s">
        <v>254</v>
      </c>
      <c r="D16" s="106">
        <f>SUM(D17)</f>
        <v>255</v>
      </c>
      <c r="E16" s="106">
        <f t="shared" ref="E16:F16" si="0">SUM(E17)</f>
        <v>255</v>
      </c>
      <c r="F16" s="106">
        <f t="shared" si="0"/>
        <v>510</v>
      </c>
    </row>
    <row r="17" spans="2:6" x14ac:dyDescent="0.25">
      <c r="B17" s="94">
        <v>51401</v>
      </c>
      <c r="C17" s="109" t="s">
        <v>255</v>
      </c>
      <c r="D17" s="108">
        <v>255</v>
      </c>
      <c r="E17" s="108">
        <v>255</v>
      </c>
      <c r="F17" s="108">
        <f>SUM(D17:E17)</f>
        <v>510</v>
      </c>
    </row>
    <row r="18" spans="2:6" x14ac:dyDescent="0.25">
      <c r="B18" s="85">
        <v>515</v>
      </c>
      <c r="C18" s="111" t="s">
        <v>256</v>
      </c>
      <c r="D18" s="106">
        <f>SUM(D19:D19)</f>
        <v>232.5</v>
      </c>
      <c r="E18" s="106">
        <f>SUM(E19:E19)</f>
        <v>232.5</v>
      </c>
      <c r="F18" s="106">
        <f>SUM(F19:F19)</f>
        <v>465</v>
      </c>
    </row>
    <row r="19" spans="2:6" x14ac:dyDescent="0.25">
      <c r="B19" s="94">
        <v>51501</v>
      </c>
      <c r="C19" s="109" t="s">
        <v>255</v>
      </c>
      <c r="D19" s="108">
        <v>232.5</v>
      </c>
      <c r="E19" s="108">
        <v>232.5</v>
      </c>
      <c r="F19" s="108">
        <f>SUM(D19:E19)</f>
        <v>465</v>
      </c>
    </row>
    <row r="20" spans="2:6" x14ac:dyDescent="0.25">
      <c r="B20" s="85">
        <v>54</v>
      </c>
      <c r="C20" s="111" t="s">
        <v>301</v>
      </c>
      <c r="D20" s="106">
        <f>SUM(D21+D27)</f>
        <v>471.46000000000004</v>
      </c>
      <c r="E20" s="106">
        <f>SUM(E21)</f>
        <v>0</v>
      </c>
      <c r="F20" s="106">
        <f>SUM(F21+F27)</f>
        <v>471.46000000000004</v>
      </c>
    </row>
    <row r="21" spans="2:6" x14ac:dyDescent="0.25">
      <c r="B21" s="85">
        <v>541</v>
      </c>
      <c r="C21" s="111" t="s">
        <v>302</v>
      </c>
      <c r="D21" s="106">
        <f>SUM(D22:D26)</f>
        <v>399.46000000000004</v>
      </c>
      <c r="E21" s="106">
        <f>SUM(E22:E26)</f>
        <v>0</v>
      </c>
      <c r="F21" s="106">
        <f>SUM(F22:F26)</f>
        <v>399.46000000000004</v>
      </c>
    </row>
    <row r="22" spans="2:6" x14ac:dyDescent="0.25">
      <c r="B22" s="94">
        <v>54101</v>
      </c>
      <c r="C22" s="109" t="s">
        <v>307</v>
      </c>
      <c r="D22" s="108">
        <v>100</v>
      </c>
      <c r="E22" s="108">
        <v>0</v>
      </c>
      <c r="F22" s="108">
        <f>SUM(D22:E22)</f>
        <v>100</v>
      </c>
    </row>
    <row r="23" spans="2:6" x14ac:dyDescent="0.25">
      <c r="B23" s="94">
        <v>54105</v>
      </c>
      <c r="C23" s="109" t="s">
        <v>264</v>
      </c>
      <c r="D23" s="108">
        <v>143.02000000000001</v>
      </c>
      <c r="E23" s="108">
        <v>0</v>
      </c>
      <c r="F23" s="108">
        <f>SUM(D23:E23)</f>
        <v>143.02000000000001</v>
      </c>
    </row>
    <row r="24" spans="2:6" x14ac:dyDescent="0.25">
      <c r="B24" s="94">
        <v>54114</v>
      </c>
      <c r="C24" s="109" t="s">
        <v>268</v>
      </c>
      <c r="D24" s="108">
        <v>34.44</v>
      </c>
      <c r="E24" s="108">
        <v>0</v>
      </c>
      <c r="F24" s="108">
        <f>SUM(D24:E24)</f>
        <v>34.44</v>
      </c>
    </row>
    <row r="25" spans="2:6" x14ac:dyDescent="0.25">
      <c r="B25" s="94">
        <v>54115</v>
      </c>
      <c r="C25" s="109" t="s">
        <v>269</v>
      </c>
      <c r="D25" s="108">
        <v>110</v>
      </c>
      <c r="E25" s="108">
        <v>0</v>
      </c>
      <c r="F25" s="108">
        <f>SUM(D25:E25)</f>
        <v>110</v>
      </c>
    </row>
    <row r="26" spans="2:6" x14ac:dyDescent="0.25">
      <c r="B26" s="115">
        <v>54199</v>
      </c>
      <c r="C26" s="116" t="s">
        <v>271</v>
      </c>
      <c r="D26" s="117">
        <v>12</v>
      </c>
      <c r="E26" s="117">
        <v>0</v>
      </c>
      <c r="F26" s="117">
        <v>12</v>
      </c>
    </row>
    <row r="27" spans="2:6" x14ac:dyDescent="0.25">
      <c r="B27" s="85">
        <v>543</v>
      </c>
      <c r="C27" s="111" t="s">
        <v>272</v>
      </c>
      <c r="D27" s="106">
        <f>SUM(D28)</f>
        <v>72</v>
      </c>
      <c r="E27" s="106">
        <f>SUM(E28)</f>
        <v>0</v>
      </c>
      <c r="F27" s="106">
        <f>SUM(F28)</f>
        <v>72</v>
      </c>
    </row>
    <row r="28" spans="2:6" x14ac:dyDescent="0.25">
      <c r="B28" s="115">
        <v>54313</v>
      </c>
      <c r="C28" s="116" t="s">
        <v>276</v>
      </c>
      <c r="D28" s="117">
        <v>72</v>
      </c>
      <c r="E28" s="117">
        <v>0</v>
      </c>
      <c r="F28" s="117">
        <f>SUM(D28:E28)</f>
        <v>72</v>
      </c>
    </row>
    <row r="29" spans="2:6" x14ac:dyDescent="0.25">
      <c r="B29" s="85">
        <v>61</v>
      </c>
      <c r="C29" s="111" t="s">
        <v>371</v>
      </c>
      <c r="D29" s="106">
        <f>+D30</f>
        <v>100</v>
      </c>
      <c r="E29" s="106">
        <v>0</v>
      </c>
      <c r="F29" s="106">
        <f>+F30</f>
        <v>100</v>
      </c>
    </row>
    <row r="30" spans="2:6" x14ac:dyDescent="0.25">
      <c r="B30" s="85">
        <v>611</v>
      </c>
      <c r="C30" s="111" t="s">
        <v>327</v>
      </c>
      <c r="D30" s="106">
        <f>+D31</f>
        <v>100</v>
      </c>
      <c r="E30" s="106">
        <v>0</v>
      </c>
      <c r="F30" s="106">
        <f>SUM(F31)</f>
        <v>100</v>
      </c>
    </row>
    <row r="31" spans="2:6" x14ac:dyDescent="0.25">
      <c r="B31" s="94">
        <v>61104</v>
      </c>
      <c r="C31" s="109" t="s">
        <v>372</v>
      </c>
      <c r="D31" s="108">
        <v>100</v>
      </c>
      <c r="E31" s="108">
        <v>0</v>
      </c>
      <c r="F31" s="108">
        <f>SUM(D31:E31)</f>
        <v>100</v>
      </c>
    </row>
    <row r="32" spans="2:6" x14ac:dyDescent="0.25">
      <c r="B32" s="94"/>
      <c r="C32" s="109"/>
      <c r="D32" s="108"/>
      <c r="E32" s="108"/>
      <c r="F32" s="108"/>
    </row>
    <row r="33" spans="2:6" x14ac:dyDescent="0.25">
      <c r="B33" s="94"/>
      <c r="C33" s="111" t="s">
        <v>75</v>
      </c>
      <c r="D33" s="106">
        <f>SUM(D12+D20+D29)</f>
        <v>4508.96</v>
      </c>
      <c r="E33" s="106">
        <f>SUM(E12+E20+E29)</f>
        <v>3487.5</v>
      </c>
      <c r="F33" s="106">
        <f>SUM(D33:E33)</f>
        <v>7996.46</v>
      </c>
    </row>
    <row r="34" spans="2:6" x14ac:dyDescent="0.25">
      <c r="B34" s="94"/>
      <c r="C34" s="109"/>
      <c r="D34" s="108"/>
      <c r="E34" s="108"/>
      <c r="F34" s="108"/>
    </row>
    <row r="35" spans="2:6" x14ac:dyDescent="0.25">
      <c r="B35" s="85"/>
      <c r="C35" s="111" t="s">
        <v>65</v>
      </c>
      <c r="D35" s="106">
        <f>SUM(D12+D20+D29)</f>
        <v>4508.96</v>
      </c>
      <c r="E35" s="106">
        <f>SUM(E12+E20+E29)</f>
        <v>3487.5</v>
      </c>
      <c r="F35" s="106">
        <f>SUM(F12+F20+F29)</f>
        <v>7996.46</v>
      </c>
    </row>
    <row r="36" spans="2:6" x14ac:dyDescent="0.25">
      <c r="B36" s="85"/>
      <c r="C36" s="111" t="s">
        <v>66</v>
      </c>
      <c r="D36" s="106">
        <f>SUM(D13+D16+D18+D21+D27+D30)</f>
        <v>4508.96</v>
      </c>
      <c r="E36" s="106">
        <f>SUM(E13+E16+E18+E21+E30)</f>
        <v>3487.5</v>
      </c>
      <c r="F36" s="106">
        <f>SUM(F13+F16+F18+F21+F27+F30)</f>
        <v>7996.46</v>
      </c>
    </row>
    <row r="37" spans="2:6" x14ac:dyDescent="0.25">
      <c r="B37" s="85"/>
      <c r="C37" s="111" t="s">
        <v>67</v>
      </c>
      <c r="D37" s="106">
        <f>SUM(D14+D15+D17+D19+D22+D23+D24+D25+D26+D28+D31)</f>
        <v>4508.96</v>
      </c>
      <c r="E37" s="106">
        <f>SUM(E14+E15+E17+E19+E22+E23+E24+E25+E31)</f>
        <v>3487.5</v>
      </c>
      <c r="F37" s="106">
        <f>SUM(F14+F15+F17+F19+F22+F23+F24+F25+F26+F28+F31)</f>
        <v>7996.46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39"/>
  <sheetViews>
    <sheetView workbookViewId="0">
      <pane ySplit="11" topLeftCell="A15" activePane="bottomLeft" state="frozen"/>
      <selection pane="bottomLeft" activeCell="L17" sqref="L17"/>
    </sheetView>
  </sheetViews>
  <sheetFormatPr baseColWidth="10" defaultRowHeight="15" x14ac:dyDescent="0.25"/>
  <cols>
    <col min="1" max="1" width="3.28515625" style="33" customWidth="1"/>
    <col min="2" max="2" width="8.7109375" style="33" customWidth="1"/>
    <col min="3" max="3" width="42.7109375" style="33" customWidth="1"/>
    <col min="4" max="4" width="12.28515625" style="33" customWidth="1"/>
    <col min="5" max="5" width="15.5703125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354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203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4635</v>
      </c>
      <c r="E12" s="104">
        <f>SUM(E13+E16+E18)</f>
        <v>4185</v>
      </c>
      <c r="F12" s="104">
        <f>SUM(F13+F16+F18)</f>
        <v>8820</v>
      </c>
    </row>
    <row r="13" spans="2:6" x14ac:dyDescent="0.25">
      <c r="B13" s="85">
        <v>511</v>
      </c>
      <c r="C13" s="118" t="s">
        <v>249</v>
      </c>
      <c r="D13" s="106">
        <f>SUM(D14:D15)</f>
        <v>4050</v>
      </c>
      <c r="E13" s="106">
        <f>SUM(E14:E15)</f>
        <v>3600</v>
      </c>
      <c r="F13" s="106">
        <f>SUM(F14:F15)</f>
        <v>7650</v>
      </c>
    </row>
    <row r="14" spans="2:6" x14ac:dyDescent="0.25">
      <c r="B14" s="88">
        <v>51101</v>
      </c>
      <c r="C14" s="107" t="s">
        <v>250</v>
      </c>
      <c r="D14" s="108">
        <v>3600</v>
      </c>
      <c r="E14" s="108">
        <v>3600</v>
      </c>
      <c r="F14" s="108">
        <f>SUM(D14:E14)</f>
        <v>7200</v>
      </c>
    </row>
    <row r="15" spans="2:6" x14ac:dyDescent="0.25">
      <c r="B15" s="88">
        <v>51103</v>
      </c>
      <c r="C15" s="109" t="s">
        <v>251</v>
      </c>
      <c r="D15" s="108">
        <v>450</v>
      </c>
      <c r="E15" s="108">
        <v>0</v>
      </c>
      <c r="F15" s="108">
        <f>SUM(D15:E15)</f>
        <v>450</v>
      </c>
    </row>
    <row r="16" spans="2:6" x14ac:dyDescent="0.25">
      <c r="B16" s="85">
        <v>514</v>
      </c>
      <c r="C16" s="110" t="s">
        <v>254</v>
      </c>
      <c r="D16" s="106">
        <f>SUM(D17)</f>
        <v>306</v>
      </c>
      <c r="E16" s="106">
        <f t="shared" ref="E16:F16" si="0">SUM(E17)</f>
        <v>306</v>
      </c>
      <c r="F16" s="106">
        <f t="shared" si="0"/>
        <v>612</v>
      </c>
    </row>
    <row r="17" spans="2:6" x14ac:dyDescent="0.25">
      <c r="B17" s="94">
        <v>51401</v>
      </c>
      <c r="C17" s="109" t="s">
        <v>255</v>
      </c>
      <c r="D17" s="108">
        <v>306</v>
      </c>
      <c r="E17" s="108">
        <v>306</v>
      </c>
      <c r="F17" s="108">
        <f>SUM(D17:E17)</f>
        <v>612</v>
      </c>
    </row>
    <row r="18" spans="2:6" x14ac:dyDescent="0.25">
      <c r="B18" s="85">
        <v>515</v>
      </c>
      <c r="C18" s="111" t="s">
        <v>256</v>
      </c>
      <c r="D18" s="106">
        <f>SUM(D19:D19)</f>
        <v>279</v>
      </c>
      <c r="E18" s="106">
        <f>SUM(E19:E19)</f>
        <v>279</v>
      </c>
      <c r="F18" s="106">
        <f>SUM(F19:F19)</f>
        <v>558</v>
      </c>
    </row>
    <row r="19" spans="2:6" x14ac:dyDescent="0.25">
      <c r="B19" s="94">
        <v>51501</v>
      </c>
      <c r="C19" s="109" t="s">
        <v>255</v>
      </c>
      <c r="D19" s="108">
        <v>279</v>
      </c>
      <c r="E19" s="108">
        <v>279</v>
      </c>
      <c r="F19" s="108">
        <f>SUM(D19:E19)</f>
        <v>558</v>
      </c>
    </row>
    <row r="20" spans="2:6" x14ac:dyDescent="0.25">
      <c r="B20" s="85">
        <v>54</v>
      </c>
      <c r="C20" s="111" t="s">
        <v>301</v>
      </c>
      <c r="D20" s="106">
        <f>SUM(D21+D28)</f>
        <v>1107.75</v>
      </c>
      <c r="E20" s="106">
        <f>SUM(E21+E28)</f>
        <v>0</v>
      </c>
      <c r="F20" s="106">
        <f>SUM(F21+F28)</f>
        <v>1107.75</v>
      </c>
    </row>
    <row r="21" spans="2:6" x14ac:dyDescent="0.25">
      <c r="B21" s="85">
        <v>541</v>
      </c>
      <c r="C21" s="111" t="s">
        <v>260</v>
      </c>
      <c r="D21" s="106">
        <f>SUM(D22:D27)</f>
        <v>1007.75</v>
      </c>
      <c r="E21" s="106">
        <f>SUM(E22:E27)</f>
        <v>0</v>
      </c>
      <c r="F21" s="106">
        <f>SUM(F22:F27)</f>
        <v>1007.75</v>
      </c>
    </row>
    <row r="22" spans="2:6" x14ac:dyDescent="0.25">
      <c r="B22" s="94">
        <v>54105</v>
      </c>
      <c r="C22" s="109" t="s">
        <v>264</v>
      </c>
      <c r="D22" s="108">
        <v>57.75</v>
      </c>
      <c r="E22" s="108">
        <v>0</v>
      </c>
      <c r="F22" s="108">
        <f t="shared" ref="F22:F27" si="1">SUM(D22:E22)</f>
        <v>57.75</v>
      </c>
    </row>
    <row r="23" spans="2:6" x14ac:dyDescent="0.25">
      <c r="B23" s="94">
        <v>54107</v>
      </c>
      <c r="C23" s="109" t="s">
        <v>335</v>
      </c>
      <c r="D23" s="108">
        <v>100</v>
      </c>
      <c r="E23" s="108">
        <v>0</v>
      </c>
      <c r="F23" s="108">
        <f t="shared" si="1"/>
        <v>100</v>
      </c>
    </row>
    <row r="24" spans="2:6" x14ac:dyDescent="0.25">
      <c r="B24" s="94">
        <v>54114</v>
      </c>
      <c r="C24" s="109" t="s">
        <v>268</v>
      </c>
      <c r="D24" s="108">
        <v>100</v>
      </c>
      <c r="E24" s="108">
        <v>0</v>
      </c>
      <c r="F24" s="108">
        <f t="shared" si="1"/>
        <v>100</v>
      </c>
    </row>
    <row r="25" spans="2:6" x14ac:dyDescent="0.25">
      <c r="B25" s="94">
        <v>54115</v>
      </c>
      <c r="C25" s="109" t="s">
        <v>269</v>
      </c>
      <c r="D25" s="108">
        <v>400</v>
      </c>
      <c r="E25" s="108">
        <v>0</v>
      </c>
      <c r="F25" s="108">
        <f t="shared" si="1"/>
        <v>400</v>
      </c>
    </row>
    <row r="26" spans="2:6" x14ac:dyDescent="0.25">
      <c r="B26" s="94">
        <v>54118</v>
      </c>
      <c r="C26" s="109" t="s">
        <v>340</v>
      </c>
      <c r="D26" s="108">
        <v>250</v>
      </c>
      <c r="E26" s="108">
        <v>0</v>
      </c>
      <c r="F26" s="108">
        <f t="shared" si="1"/>
        <v>250</v>
      </c>
    </row>
    <row r="27" spans="2:6" x14ac:dyDescent="0.25">
      <c r="B27" s="94">
        <v>54119</v>
      </c>
      <c r="C27" s="109" t="s">
        <v>270</v>
      </c>
      <c r="D27" s="108">
        <v>100</v>
      </c>
      <c r="E27" s="108">
        <v>0</v>
      </c>
      <c r="F27" s="108">
        <f t="shared" si="1"/>
        <v>100</v>
      </c>
    </row>
    <row r="28" spans="2:6" x14ac:dyDescent="0.25">
      <c r="B28" s="85">
        <v>543</v>
      </c>
      <c r="C28" s="111" t="s">
        <v>272</v>
      </c>
      <c r="D28" s="106">
        <f>SUM(D29:D29)</f>
        <v>100</v>
      </c>
      <c r="E28" s="106">
        <f>SUM(E29)</f>
        <v>0</v>
      </c>
      <c r="F28" s="106">
        <f>SUM(F29:F29)</f>
        <v>100</v>
      </c>
    </row>
    <row r="29" spans="2:6" x14ac:dyDescent="0.25">
      <c r="B29" s="94">
        <v>54301</v>
      </c>
      <c r="C29" s="109" t="s">
        <v>273</v>
      </c>
      <c r="D29" s="108">
        <v>100</v>
      </c>
      <c r="E29" s="108">
        <v>0</v>
      </c>
      <c r="F29" s="108">
        <f>SUM(D29:E29)</f>
        <v>100</v>
      </c>
    </row>
    <row r="30" spans="2:6" x14ac:dyDescent="0.25">
      <c r="B30" s="85">
        <v>61</v>
      </c>
      <c r="C30" s="111" t="s">
        <v>295</v>
      </c>
      <c r="D30" s="106">
        <f>D31</f>
        <v>3050</v>
      </c>
      <c r="E30" s="108">
        <v>0</v>
      </c>
      <c r="F30" s="106">
        <f>F31</f>
        <v>3050</v>
      </c>
    </row>
    <row r="31" spans="2:6" x14ac:dyDescent="0.25">
      <c r="B31" s="85">
        <v>611</v>
      </c>
      <c r="C31" s="111" t="s">
        <v>373</v>
      </c>
      <c r="D31" s="106">
        <f>SUM(D32:D32)</f>
        <v>3050</v>
      </c>
      <c r="E31" s="108">
        <v>0</v>
      </c>
      <c r="F31" s="106">
        <f>SUM(F32:F32)</f>
        <v>3050</v>
      </c>
    </row>
    <row r="32" spans="2:6" x14ac:dyDescent="0.25">
      <c r="B32" s="94">
        <v>61403</v>
      </c>
      <c r="C32" s="109" t="s">
        <v>374</v>
      </c>
      <c r="D32" s="117">
        <v>3050</v>
      </c>
      <c r="E32" s="108">
        <v>0</v>
      </c>
      <c r="F32" s="108">
        <f>+D32</f>
        <v>3050</v>
      </c>
    </row>
    <row r="33" spans="2:6" x14ac:dyDescent="0.25">
      <c r="B33" s="94"/>
      <c r="C33" s="109"/>
      <c r="D33" s="108"/>
      <c r="E33" s="108"/>
      <c r="F33" s="108"/>
    </row>
    <row r="34" spans="2:6" x14ac:dyDescent="0.25">
      <c r="B34" s="94"/>
      <c r="C34" s="111" t="s">
        <v>75</v>
      </c>
      <c r="D34" s="106">
        <f>D12+D20+D30</f>
        <v>8792.75</v>
      </c>
      <c r="E34" s="106">
        <f>E12+E20</f>
        <v>4185</v>
      </c>
      <c r="F34" s="106">
        <f>SUM(D34:E34)</f>
        <v>12977.75</v>
      </c>
    </row>
    <row r="35" spans="2:6" x14ac:dyDescent="0.25">
      <c r="B35" s="94"/>
      <c r="C35" s="109"/>
      <c r="D35" s="108"/>
      <c r="E35" s="108"/>
      <c r="F35" s="108"/>
    </row>
    <row r="36" spans="2:6" x14ac:dyDescent="0.25">
      <c r="B36" s="85"/>
      <c r="C36" s="111" t="s">
        <v>65</v>
      </c>
      <c r="D36" s="106">
        <f>SUM(D12+D20+D30)</f>
        <v>8792.75</v>
      </c>
      <c r="E36" s="106">
        <f>SUM(E12+E20)</f>
        <v>4185</v>
      </c>
      <c r="F36" s="106">
        <f>SUM(F12+F20+F30)</f>
        <v>12977.75</v>
      </c>
    </row>
    <row r="37" spans="2:6" x14ac:dyDescent="0.25">
      <c r="B37" s="85"/>
      <c r="C37" s="111" t="s">
        <v>66</v>
      </c>
      <c r="D37" s="106">
        <f>SUM(D13+D16+D18+D21+D28+D31)</f>
        <v>8792.75</v>
      </c>
      <c r="E37" s="106">
        <f>SUM(E13+E16+E18+E21+E28)</f>
        <v>4185</v>
      </c>
      <c r="F37" s="106">
        <f>SUM(F13+F16+F18+F21+F28+F31)</f>
        <v>12977.75</v>
      </c>
    </row>
    <row r="38" spans="2:6" x14ac:dyDescent="0.25">
      <c r="B38" s="85"/>
      <c r="C38" s="111" t="s">
        <v>67</v>
      </c>
      <c r="D38" s="106">
        <f>SUM(D14+D15+D17+D19+D22+D23+D24+D25+D26+D27+D29+D32)</f>
        <v>8792.75</v>
      </c>
      <c r="E38" s="106">
        <f>SUM(E14+E15+E17+E19+E22+E24+E25+E26+E27)</f>
        <v>4185</v>
      </c>
      <c r="F38" s="106">
        <f>SUM(F14+F15+F17+F19+F22+F23+F24+F25+F26+F27+F29+F32)</f>
        <v>12977.75</v>
      </c>
    </row>
    <row r="39" spans="2:6" x14ac:dyDescent="0.25">
      <c r="B39" s="47"/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G39"/>
  <sheetViews>
    <sheetView workbookViewId="0">
      <pane ySplit="11" topLeftCell="A12" activePane="bottomLeft" state="frozen"/>
      <selection pane="bottomLeft" activeCell="I25" sqref="I25"/>
    </sheetView>
  </sheetViews>
  <sheetFormatPr baseColWidth="10" defaultRowHeight="15" x14ac:dyDescent="0.25"/>
  <cols>
    <col min="1" max="1" width="3" style="33" customWidth="1"/>
    <col min="2" max="2" width="9" style="33" customWidth="1"/>
    <col min="3" max="3" width="44" style="33" customWidth="1"/>
    <col min="4" max="4" width="12" style="33" customWidth="1"/>
    <col min="5" max="5" width="15.7109375" style="33" customWidth="1"/>
    <col min="6" max="6" width="13.14062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354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169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8104</v>
      </c>
      <c r="E12" s="104">
        <f>SUM(E13+E16+E18)</f>
        <v>5580</v>
      </c>
      <c r="F12" s="104">
        <f>SUM(F13+F16+F18)</f>
        <v>13684</v>
      </c>
    </row>
    <row r="13" spans="2:6" x14ac:dyDescent="0.25">
      <c r="B13" s="85">
        <v>511</v>
      </c>
      <c r="C13" s="118" t="s">
        <v>249</v>
      </c>
      <c r="D13" s="106">
        <f>SUM(D14:D15)</f>
        <v>7090</v>
      </c>
      <c r="E13" s="106">
        <f>SUM(E14:E15)</f>
        <v>4800</v>
      </c>
      <c r="F13" s="106">
        <f>SUM(F14:F15)</f>
        <v>11890</v>
      </c>
    </row>
    <row r="14" spans="2:6" x14ac:dyDescent="0.25">
      <c r="B14" s="88">
        <v>51101</v>
      </c>
      <c r="C14" s="107" t="s">
        <v>250</v>
      </c>
      <c r="D14" s="108">
        <v>6240</v>
      </c>
      <c r="E14" s="108">
        <v>4800</v>
      </c>
      <c r="F14" s="108">
        <f>SUM(D14:E14)</f>
        <v>11040</v>
      </c>
    </row>
    <row r="15" spans="2:6" x14ac:dyDescent="0.25">
      <c r="B15" s="88">
        <v>51103</v>
      </c>
      <c r="C15" s="109" t="s">
        <v>251</v>
      </c>
      <c r="D15" s="108">
        <v>850</v>
      </c>
      <c r="E15" s="108">
        <v>0</v>
      </c>
      <c r="F15" s="108">
        <f>SUM(D15:E15)</f>
        <v>850</v>
      </c>
    </row>
    <row r="16" spans="2:6" x14ac:dyDescent="0.25">
      <c r="B16" s="85">
        <v>514</v>
      </c>
      <c r="C16" s="110" t="s">
        <v>254</v>
      </c>
      <c r="D16" s="106">
        <f>SUM(D17)</f>
        <v>530.4</v>
      </c>
      <c r="E16" s="106">
        <f t="shared" ref="E16:F16" si="0">SUM(E17)</f>
        <v>408</v>
      </c>
      <c r="F16" s="106">
        <f t="shared" si="0"/>
        <v>938.4</v>
      </c>
    </row>
    <row r="17" spans="2:7" x14ac:dyDescent="0.25">
      <c r="B17" s="94">
        <v>51401</v>
      </c>
      <c r="C17" s="109" t="s">
        <v>255</v>
      </c>
      <c r="D17" s="108">
        <v>530.4</v>
      </c>
      <c r="E17" s="108">
        <v>408</v>
      </c>
      <c r="F17" s="108">
        <f>SUM(D17:E17)</f>
        <v>938.4</v>
      </c>
    </row>
    <row r="18" spans="2:7" x14ac:dyDescent="0.25">
      <c r="B18" s="85">
        <v>515</v>
      </c>
      <c r="C18" s="111" t="s">
        <v>256</v>
      </c>
      <c r="D18" s="106">
        <f>SUM(D19:D19)</f>
        <v>483.6</v>
      </c>
      <c r="E18" s="106">
        <f>SUM(E19:E19)</f>
        <v>372</v>
      </c>
      <c r="F18" s="106">
        <f>SUM(F19:F19)</f>
        <v>855.6</v>
      </c>
    </row>
    <row r="19" spans="2:7" x14ac:dyDescent="0.25">
      <c r="B19" s="94">
        <v>51501</v>
      </c>
      <c r="C19" s="109" t="s">
        <v>255</v>
      </c>
      <c r="D19" s="108">
        <v>483.6</v>
      </c>
      <c r="E19" s="108">
        <v>372</v>
      </c>
      <c r="F19" s="108">
        <f>SUM(D19:E19)</f>
        <v>855.6</v>
      </c>
    </row>
    <row r="20" spans="2:7" x14ac:dyDescent="0.25">
      <c r="B20" s="85">
        <v>54</v>
      </c>
      <c r="C20" s="111" t="s">
        <v>301</v>
      </c>
      <c r="D20" s="106">
        <f>SUM(D21+D27)</f>
        <v>4470.1499999999996</v>
      </c>
      <c r="E20" s="106">
        <f>SUM(E21+E27)</f>
        <v>0</v>
      </c>
      <c r="F20" s="106">
        <f>SUM(F21+F27)</f>
        <v>4470.1499999999996</v>
      </c>
    </row>
    <row r="21" spans="2:7" x14ac:dyDescent="0.25">
      <c r="B21" s="85">
        <v>541</v>
      </c>
      <c r="C21" s="111" t="s">
        <v>302</v>
      </c>
      <c r="D21" s="106">
        <f>SUM(D22:D26)</f>
        <v>1070.1500000000001</v>
      </c>
      <c r="E21" s="106">
        <f>SUM(E22:E25)</f>
        <v>0</v>
      </c>
      <c r="F21" s="106">
        <f>SUM(F22:F26)</f>
        <v>1070.1500000000001</v>
      </c>
    </row>
    <row r="22" spans="2:7" x14ac:dyDescent="0.25">
      <c r="B22" s="115">
        <v>54101</v>
      </c>
      <c r="C22" s="116" t="s">
        <v>261</v>
      </c>
      <c r="D22" s="117">
        <v>400</v>
      </c>
      <c r="E22" s="106">
        <v>0</v>
      </c>
      <c r="F22" s="108">
        <f>SUM(D22:E22)</f>
        <v>400</v>
      </c>
    </row>
    <row r="23" spans="2:7" x14ac:dyDescent="0.25">
      <c r="B23" s="94">
        <v>54105</v>
      </c>
      <c r="C23" s="109" t="s">
        <v>264</v>
      </c>
      <c r="D23" s="108">
        <v>300.14999999999998</v>
      </c>
      <c r="E23" s="108">
        <v>0</v>
      </c>
      <c r="F23" s="108">
        <f t="shared" ref="F23:F25" si="1">SUM(D23:E23)</f>
        <v>300.14999999999998</v>
      </c>
    </row>
    <row r="24" spans="2:7" x14ac:dyDescent="0.25">
      <c r="B24" s="94">
        <v>54114</v>
      </c>
      <c r="C24" s="109" t="s">
        <v>268</v>
      </c>
      <c r="D24" s="108">
        <v>150</v>
      </c>
      <c r="E24" s="108">
        <v>0</v>
      </c>
      <c r="F24" s="108">
        <f t="shared" si="1"/>
        <v>150</v>
      </c>
    </row>
    <row r="25" spans="2:7" x14ac:dyDescent="0.25">
      <c r="B25" s="94">
        <v>54115</v>
      </c>
      <c r="C25" s="109" t="s">
        <v>269</v>
      </c>
      <c r="D25" s="108">
        <v>150</v>
      </c>
      <c r="E25" s="108">
        <v>0</v>
      </c>
      <c r="F25" s="108">
        <f t="shared" si="1"/>
        <v>150</v>
      </c>
    </row>
    <row r="26" spans="2:7" x14ac:dyDescent="0.25">
      <c r="B26" s="115">
        <v>54119</v>
      </c>
      <c r="C26" s="116" t="s">
        <v>326</v>
      </c>
      <c r="D26" s="108">
        <v>70</v>
      </c>
      <c r="E26" s="108">
        <v>0</v>
      </c>
      <c r="F26" s="108">
        <f>SUM(D26:E26)</f>
        <v>70</v>
      </c>
    </row>
    <row r="27" spans="2:7" x14ac:dyDescent="0.25">
      <c r="B27" s="85">
        <v>543</v>
      </c>
      <c r="C27" s="111" t="s">
        <v>272</v>
      </c>
      <c r="D27" s="106">
        <f>SUM(D28:D29)</f>
        <v>3400</v>
      </c>
      <c r="E27" s="106">
        <f>SUM(E28:E29)</f>
        <v>0</v>
      </c>
      <c r="F27" s="106">
        <f>SUM(F28:F29)</f>
        <v>3400</v>
      </c>
    </row>
    <row r="28" spans="2:7" x14ac:dyDescent="0.25">
      <c r="B28" s="94">
        <v>54301</v>
      </c>
      <c r="C28" s="109" t="s">
        <v>273</v>
      </c>
      <c r="D28" s="117">
        <v>400</v>
      </c>
      <c r="E28" s="108">
        <v>0</v>
      </c>
      <c r="F28" s="108">
        <f>SUM(D28:E28)</f>
        <v>400</v>
      </c>
    </row>
    <row r="29" spans="2:7" x14ac:dyDescent="0.25">
      <c r="B29" s="94">
        <v>54313</v>
      </c>
      <c r="C29" s="109" t="s">
        <v>276</v>
      </c>
      <c r="D29" s="108">
        <v>3000</v>
      </c>
      <c r="E29" s="108">
        <v>0</v>
      </c>
      <c r="F29" s="108">
        <f>SUM(D29:E29)</f>
        <v>3000</v>
      </c>
      <c r="G29" s="33">
        <v>340</v>
      </c>
    </row>
    <row r="30" spans="2:7" x14ac:dyDescent="0.25">
      <c r="B30" s="85">
        <v>61</v>
      </c>
      <c r="C30" s="111" t="s">
        <v>295</v>
      </c>
      <c r="D30" s="106">
        <f>SUM(D31)</f>
        <v>1200</v>
      </c>
      <c r="E30" s="106">
        <f t="shared" ref="E30" si="2">SUM(E31)</f>
        <v>84</v>
      </c>
      <c r="F30" s="106">
        <f>SUM(F31)</f>
        <v>1284</v>
      </c>
    </row>
    <row r="31" spans="2:7" x14ac:dyDescent="0.25">
      <c r="B31" s="85">
        <v>611</v>
      </c>
      <c r="C31" s="111" t="s">
        <v>296</v>
      </c>
      <c r="D31" s="106">
        <f>SUM(D32:D33)</f>
        <v>1200</v>
      </c>
      <c r="E31" s="106">
        <f>SUM(E32:E33)</f>
        <v>84</v>
      </c>
      <c r="F31" s="106">
        <f>SUM(F32:F33)</f>
        <v>1284</v>
      </c>
    </row>
    <row r="32" spans="2:7" x14ac:dyDescent="0.25">
      <c r="B32" s="115">
        <v>61102</v>
      </c>
      <c r="C32" s="116" t="s">
        <v>353</v>
      </c>
      <c r="D32" s="108">
        <v>0</v>
      </c>
      <c r="E32" s="108">
        <v>84</v>
      </c>
      <c r="F32" s="108">
        <f t="shared" ref="F32:F33" si="3">SUM(D32:E32)</f>
        <v>84</v>
      </c>
    </row>
    <row r="33" spans="2:6" x14ac:dyDescent="0.25">
      <c r="B33" s="115">
        <v>61104</v>
      </c>
      <c r="C33" s="116" t="s">
        <v>358</v>
      </c>
      <c r="D33" s="117">
        <v>1200</v>
      </c>
      <c r="E33" s="108">
        <v>0</v>
      </c>
      <c r="F33" s="108">
        <f t="shared" si="3"/>
        <v>1200</v>
      </c>
    </row>
    <row r="34" spans="2:6" x14ac:dyDescent="0.25">
      <c r="B34" s="94"/>
      <c r="C34" s="109"/>
      <c r="D34" s="108"/>
      <c r="E34" s="108"/>
      <c r="F34" s="108"/>
    </row>
    <row r="35" spans="2:6" x14ac:dyDescent="0.25">
      <c r="B35" s="94"/>
      <c r="C35" s="111" t="s">
        <v>75</v>
      </c>
      <c r="D35" s="106">
        <f>SUM(D12+D20+D30)</f>
        <v>13774.15</v>
      </c>
      <c r="E35" s="106">
        <f>SUM(E12+E20+E30)</f>
        <v>5664</v>
      </c>
      <c r="F35" s="106">
        <f>SUM(D35:E35)</f>
        <v>19438.150000000001</v>
      </c>
    </row>
    <row r="36" spans="2:6" x14ac:dyDescent="0.25">
      <c r="B36" s="94"/>
      <c r="C36" s="109"/>
      <c r="D36" s="108"/>
      <c r="E36" s="108"/>
      <c r="F36" s="108"/>
    </row>
    <row r="37" spans="2:6" x14ac:dyDescent="0.25">
      <c r="B37" s="85"/>
      <c r="C37" s="111" t="s">
        <v>65</v>
      </c>
      <c r="D37" s="106">
        <f>SUM(D12+D20+D30)</f>
        <v>13774.15</v>
      </c>
      <c r="E37" s="106">
        <f>SUM(E12+E20+E30)</f>
        <v>5664</v>
      </c>
      <c r="F37" s="106">
        <f>SUM(F12+F20+F30)</f>
        <v>19438.150000000001</v>
      </c>
    </row>
    <row r="38" spans="2:6" x14ac:dyDescent="0.25">
      <c r="B38" s="85"/>
      <c r="C38" s="111" t="s">
        <v>66</v>
      </c>
      <c r="D38" s="106">
        <f>SUM(D13+D16+D18+D21+D27+D31)</f>
        <v>13774.15</v>
      </c>
      <c r="E38" s="106">
        <f>SUM(E13+E16+E18+E21+E27+E31)</f>
        <v>5664</v>
      </c>
      <c r="F38" s="106">
        <f>SUM(F13+F16+F18+F21+F27+F31)</f>
        <v>19438.150000000001</v>
      </c>
    </row>
    <row r="39" spans="2:6" x14ac:dyDescent="0.25">
      <c r="B39" s="85"/>
      <c r="C39" s="111" t="s">
        <v>67</v>
      </c>
      <c r="D39" s="106">
        <f>SUM(D14+D15+D17+D19+D22+D23+D24+D25+D26+D28+D29+D32+D33)</f>
        <v>13774.15</v>
      </c>
      <c r="E39" s="106">
        <f>SUM(E14+E15+E17+E19+E22+E23+E24+E25+E26+E28+E29+E32+E33)</f>
        <v>5664</v>
      </c>
      <c r="F39" s="106">
        <f>SUM(F14+F15+F17+F19+F22+F23+F24+F25+F26+F28+F29+F32+F33)</f>
        <v>19438.150000000001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F42"/>
  <sheetViews>
    <sheetView workbookViewId="0">
      <pane ySplit="11" topLeftCell="A12" activePane="bottomLeft" state="frozen"/>
      <selection pane="bottomLeft" activeCell="K25" sqref="K25"/>
    </sheetView>
  </sheetViews>
  <sheetFormatPr baseColWidth="10" defaultRowHeight="15" x14ac:dyDescent="0.25"/>
  <cols>
    <col min="1" max="1" width="3.5703125" style="33" customWidth="1"/>
    <col min="2" max="2" width="9.140625" style="33" customWidth="1"/>
    <col min="3" max="3" width="43.28515625" style="33" customWidth="1"/>
    <col min="4" max="4" width="12.42578125" style="33" customWidth="1"/>
    <col min="5" max="5" width="15.7109375" style="33" customWidth="1"/>
    <col min="6" max="6" width="15.14062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170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SUM(D13+D17+D19)</f>
        <v>174305</v>
      </c>
      <c r="E12" s="104">
        <f>SUM(E13+E17+E19)</f>
        <v>25867.5</v>
      </c>
      <c r="F12" s="104">
        <f>SUM(F13+F17+F19)</f>
        <v>200172.5</v>
      </c>
    </row>
    <row r="13" spans="2:6" x14ac:dyDescent="0.25">
      <c r="B13" s="85">
        <v>511</v>
      </c>
      <c r="C13" s="118" t="s">
        <v>249</v>
      </c>
      <c r="D13" s="106">
        <f>SUM(D14:D16)</f>
        <v>152465</v>
      </c>
      <c r="E13" s="106">
        <f>SUM(E14:E16)</f>
        <v>24600</v>
      </c>
      <c r="F13" s="106">
        <f>SUM(F14:F16)</f>
        <v>177065</v>
      </c>
    </row>
    <row r="14" spans="2:6" x14ac:dyDescent="0.25">
      <c r="B14" s="88">
        <v>51101</v>
      </c>
      <c r="C14" s="107" t="s">
        <v>250</v>
      </c>
      <c r="D14" s="108">
        <v>134400</v>
      </c>
      <c r="E14" s="108">
        <v>24600</v>
      </c>
      <c r="F14" s="108">
        <f>SUM(D14:E14)</f>
        <v>159000</v>
      </c>
    </row>
    <row r="15" spans="2:6" x14ac:dyDescent="0.25">
      <c r="B15" s="88">
        <v>51103</v>
      </c>
      <c r="C15" s="109" t="s">
        <v>251</v>
      </c>
      <c r="D15" s="108">
        <v>13065</v>
      </c>
      <c r="E15" s="108">
        <v>0</v>
      </c>
      <c r="F15" s="108">
        <f>SUM(D15:E15)</f>
        <v>13065</v>
      </c>
    </row>
    <row r="16" spans="2:6" x14ac:dyDescent="0.25">
      <c r="B16" s="94">
        <v>51107</v>
      </c>
      <c r="C16" s="148" t="s">
        <v>253</v>
      </c>
      <c r="D16" s="108">
        <v>5000</v>
      </c>
      <c r="E16" s="108">
        <v>0</v>
      </c>
      <c r="F16" s="108">
        <f>SUM(D16:E16)</f>
        <v>5000</v>
      </c>
    </row>
    <row r="17" spans="2:6" x14ac:dyDescent="0.25">
      <c r="B17" s="85">
        <v>514</v>
      </c>
      <c r="C17" s="110" t="s">
        <v>254</v>
      </c>
      <c r="D17" s="106">
        <f>SUM(D18:D18)</f>
        <v>11424</v>
      </c>
      <c r="E17" s="106">
        <f>SUM(E18)</f>
        <v>663</v>
      </c>
      <c r="F17" s="106">
        <f>SUM(F18:F18)</f>
        <v>12087</v>
      </c>
    </row>
    <row r="18" spans="2:6" x14ac:dyDescent="0.25">
      <c r="B18" s="94">
        <v>51401</v>
      </c>
      <c r="C18" s="109" t="s">
        <v>255</v>
      </c>
      <c r="D18" s="108">
        <v>11424</v>
      </c>
      <c r="E18" s="108">
        <v>663</v>
      </c>
      <c r="F18" s="108">
        <f>SUM(D18:E18)</f>
        <v>12087</v>
      </c>
    </row>
    <row r="19" spans="2:6" x14ac:dyDescent="0.25">
      <c r="B19" s="85">
        <v>515</v>
      </c>
      <c r="C19" s="111" t="s">
        <v>256</v>
      </c>
      <c r="D19" s="106">
        <f>SUM(D20:D20)</f>
        <v>10416</v>
      </c>
      <c r="E19" s="106">
        <f>SUM(E20:E20)</f>
        <v>604.5</v>
      </c>
      <c r="F19" s="106">
        <f>SUM(F20:F20)</f>
        <v>11020.5</v>
      </c>
    </row>
    <row r="20" spans="2:6" x14ac:dyDescent="0.25">
      <c r="B20" s="94">
        <v>51501</v>
      </c>
      <c r="C20" s="109" t="s">
        <v>255</v>
      </c>
      <c r="D20" s="108">
        <v>10416</v>
      </c>
      <c r="E20" s="108">
        <v>604.5</v>
      </c>
      <c r="F20" s="108">
        <f>SUM(D20:E20)</f>
        <v>11020.5</v>
      </c>
    </row>
    <row r="21" spans="2:6" x14ac:dyDescent="0.25">
      <c r="B21" s="85">
        <v>54</v>
      </c>
      <c r="C21" s="111" t="s">
        <v>301</v>
      </c>
      <c r="D21" s="106">
        <f>SUM(D22+D30+D32)</f>
        <v>15620</v>
      </c>
      <c r="E21" s="106">
        <f>SUM(E22+E30+E32)</f>
        <v>7660</v>
      </c>
      <c r="F21" s="106">
        <f>SUM(F22+F30+F32)</f>
        <v>23280</v>
      </c>
    </row>
    <row r="22" spans="2:6" x14ac:dyDescent="0.25">
      <c r="B22" s="85">
        <v>541</v>
      </c>
      <c r="C22" s="111" t="s">
        <v>302</v>
      </c>
      <c r="D22" s="106">
        <f>SUM(D23:D29)</f>
        <v>11640</v>
      </c>
      <c r="E22" s="106">
        <f>SUM(E23:E29)</f>
        <v>0</v>
      </c>
      <c r="F22" s="106">
        <f>SUM(F23:F29)</f>
        <v>11640</v>
      </c>
    </row>
    <row r="23" spans="2:6" x14ac:dyDescent="0.25">
      <c r="B23" s="94">
        <v>54104</v>
      </c>
      <c r="C23" s="109" t="s">
        <v>263</v>
      </c>
      <c r="D23" s="108">
        <v>7000</v>
      </c>
      <c r="E23" s="108">
        <v>0</v>
      </c>
      <c r="F23" s="108">
        <f t="shared" ref="F23:F29" si="0">SUM(D23:E23)</f>
        <v>7000</v>
      </c>
    </row>
    <row r="24" spans="2:6" x14ac:dyDescent="0.25">
      <c r="B24" s="94">
        <v>54105</v>
      </c>
      <c r="C24" s="109" t="s">
        <v>264</v>
      </c>
      <c r="D24" s="108">
        <v>250</v>
      </c>
      <c r="E24" s="108">
        <v>0</v>
      </c>
      <c r="F24" s="108">
        <f t="shared" si="0"/>
        <v>250</v>
      </c>
    </row>
    <row r="25" spans="2:6" x14ac:dyDescent="0.25">
      <c r="B25" s="94">
        <v>54107</v>
      </c>
      <c r="C25" s="109" t="s">
        <v>335</v>
      </c>
      <c r="D25" s="108">
        <v>500</v>
      </c>
      <c r="E25" s="108">
        <v>0</v>
      </c>
      <c r="F25" s="108">
        <f t="shared" si="0"/>
        <v>500</v>
      </c>
    </row>
    <row r="26" spans="2:6" x14ac:dyDescent="0.25">
      <c r="B26" s="94">
        <v>54109</v>
      </c>
      <c r="C26" s="109" t="s">
        <v>309</v>
      </c>
      <c r="D26" s="108">
        <v>620</v>
      </c>
      <c r="E26" s="108">
        <v>0</v>
      </c>
      <c r="F26" s="108">
        <f t="shared" si="0"/>
        <v>620</v>
      </c>
    </row>
    <row r="27" spans="2:6" x14ac:dyDescent="0.25">
      <c r="B27" s="94">
        <v>54110</v>
      </c>
      <c r="C27" s="109" t="s">
        <v>375</v>
      </c>
      <c r="D27" s="108">
        <v>2500</v>
      </c>
      <c r="E27" s="108">
        <v>0</v>
      </c>
      <c r="F27" s="108">
        <f t="shared" si="0"/>
        <v>2500</v>
      </c>
    </row>
    <row r="28" spans="2:6" x14ac:dyDescent="0.25">
      <c r="B28" s="94">
        <v>54114</v>
      </c>
      <c r="C28" s="109" t="s">
        <v>268</v>
      </c>
      <c r="D28" s="117">
        <v>600</v>
      </c>
      <c r="E28" s="108">
        <v>0</v>
      </c>
      <c r="F28" s="108">
        <f t="shared" si="0"/>
        <v>600</v>
      </c>
    </row>
    <row r="29" spans="2:6" x14ac:dyDescent="0.25">
      <c r="B29" s="94">
        <v>54118</v>
      </c>
      <c r="C29" s="109" t="s">
        <v>310</v>
      </c>
      <c r="D29" s="108">
        <v>170</v>
      </c>
      <c r="E29" s="108">
        <v>0</v>
      </c>
      <c r="F29" s="108">
        <f t="shared" si="0"/>
        <v>170</v>
      </c>
    </row>
    <row r="30" spans="2:6" x14ac:dyDescent="0.25">
      <c r="B30" s="85">
        <v>542</v>
      </c>
      <c r="C30" s="111" t="s">
        <v>356</v>
      </c>
      <c r="D30" s="106">
        <f>SUM(D31)</f>
        <v>2000</v>
      </c>
      <c r="E30" s="106">
        <f>SUM(E31)</f>
        <v>4000</v>
      </c>
      <c r="F30" s="106">
        <f>SUM(F31)</f>
        <v>6000</v>
      </c>
    </row>
    <row r="31" spans="2:6" x14ac:dyDescent="0.25">
      <c r="B31" s="94">
        <v>54203</v>
      </c>
      <c r="C31" s="109" t="s">
        <v>365</v>
      </c>
      <c r="D31" s="108">
        <v>2000</v>
      </c>
      <c r="E31" s="108">
        <v>4000</v>
      </c>
      <c r="F31" s="108">
        <f>SUM(D31:E31)</f>
        <v>6000</v>
      </c>
    </row>
    <row r="32" spans="2:6" x14ac:dyDescent="0.25">
      <c r="B32" s="85">
        <v>543</v>
      </c>
      <c r="C32" s="111" t="s">
        <v>272</v>
      </c>
      <c r="D32" s="106">
        <f>SUM(D33:D33)</f>
        <v>1980</v>
      </c>
      <c r="E32" s="106">
        <f>SUM(E33:E33)</f>
        <v>3660</v>
      </c>
      <c r="F32" s="106">
        <f>SUM(F33:F33)</f>
        <v>5640</v>
      </c>
    </row>
    <row r="33" spans="2:6" x14ac:dyDescent="0.25">
      <c r="B33" s="94">
        <v>54302</v>
      </c>
      <c r="C33" s="109" t="s">
        <v>369</v>
      </c>
      <c r="D33" s="108">
        <v>1980</v>
      </c>
      <c r="E33" s="108">
        <v>3660</v>
      </c>
      <c r="F33" s="108">
        <f>SUM(D33:E33)</f>
        <v>5640</v>
      </c>
    </row>
    <row r="34" spans="2:6" x14ac:dyDescent="0.25">
      <c r="B34" s="85">
        <v>61</v>
      </c>
      <c r="C34" s="111" t="s">
        <v>295</v>
      </c>
      <c r="D34" s="106">
        <f>SUM(D35)</f>
        <v>0</v>
      </c>
      <c r="E34" s="106">
        <f>SUM(E35)</f>
        <v>290</v>
      </c>
      <c r="F34" s="106">
        <f>SUM(F35)</f>
        <v>290</v>
      </c>
    </row>
    <row r="35" spans="2:6" x14ac:dyDescent="0.25">
      <c r="B35" s="85">
        <v>611</v>
      </c>
      <c r="C35" s="111" t="s">
        <v>296</v>
      </c>
      <c r="D35" s="106">
        <f>SUM(D36:D36)</f>
        <v>0</v>
      </c>
      <c r="E35" s="106">
        <f>SUM(E36:E36)</f>
        <v>290</v>
      </c>
      <c r="F35" s="106">
        <f>SUM(F36:F36)</f>
        <v>290</v>
      </c>
    </row>
    <row r="36" spans="2:6" x14ac:dyDescent="0.25">
      <c r="B36" s="94">
        <v>61101</v>
      </c>
      <c r="C36" s="109" t="s">
        <v>297</v>
      </c>
      <c r="D36" s="108">
        <v>0</v>
      </c>
      <c r="E36" s="108">
        <v>290</v>
      </c>
      <c r="F36" s="108">
        <f>SUM(D36:E36)</f>
        <v>290</v>
      </c>
    </row>
    <row r="37" spans="2:6" x14ac:dyDescent="0.25">
      <c r="B37" s="96"/>
      <c r="C37" s="148"/>
      <c r="D37" s="108"/>
      <c r="E37" s="108"/>
      <c r="F37" s="108"/>
    </row>
    <row r="38" spans="2:6" x14ac:dyDescent="0.25">
      <c r="B38" s="94"/>
      <c r="C38" s="111" t="s">
        <v>75</v>
      </c>
      <c r="D38" s="106">
        <f>SUM(D12+D21+D34)</f>
        <v>189925</v>
      </c>
      <c r="E38" s="106">
        <f>SUM(E12+E21+E34)</f>
        <v>33817.5</v>
      </c>
      <c r="F38" s="106">
        <f>SUM(D38:E38)</f>
        <v>223742.5</v>
      </c>
    </row>
    <row r="39" spans="2:6" x14ac:dyDescent="0.25">
      <c r="B39" s="94"/>
      <c r="C39" s="109"/>
      <c r="D39" s="108"/>
      <c r="E39" s="108"/>
      <c r="F39" s="108"/>
    </row>
    <row r="40" spans="2:6" x14ac:dyDescent="0.25">
      <c r="B40" s="85"/>
      <c r="C40" s="111" t="s">
        <v>65</v>
      </c>
      <c r="D40" s="106">
        <f>SUM(D12+D21+D34)</f>
        <v>189925</v>
      </c>
      <c r="E40" s="106">
        <f>SUM(E12+E21+E34)</f>
        <v>33817.5</v>
      </c>
      <c r="F40" s="106">
        <f>SUM(F12+F21+F34)</f>
        <v>223742.5</v>
      </c>
    </row>
    <row r="41" spans="2:6" x14ac:dyDescent="0.25">
      <c r="B41" s="85"/>
      <c r="C41" s="111" t="s">
        <v>66</v>
      </c>
      <c r="D41" s="106">
        <f>SUM(D13+D17+D19+D22+D30+D32+D35)</f>
        <v>189925</v>
      </c>
      <c r="E41" s="106">
        <f>SUM(E13+E17+E19+E22+E30+E32+E35)</f>
        <v>33817.5</v>
      </c>
      <c r="F41" s="106">
        <f>SUM(F13+F17+F19+F22+F30+F32+F35)</f>
        <v>223742.5</v>
      </c>
    </row>
    <row r="42" spans="2:6" x14ac:dyDescent="0.25">
      <c r="B42" s="85"/>
      <c r="C42" s="111" t="s">
        <v>67</v>
      </c>
      <c r="D42" s="106">
        <f>SUM(D14+D15+D16+D18+D20+D23+D24+D25+D26+D27+D28+D29+D31+D33+D36)</f>
        <v>189925</v>
      </c>
      <c r="E42" s="106">
        <f>SUM(E14+E15+E16+E18+E20+E23+E24+E25+E26+E27+E28+E29+E31+E33+E36)</f>
        <v>33817.5</v>
      </c>
      <c r="F42" s="106">
        <f>SUM(F14+F15+F16+F18+F20+F23+F24+F25+F26+F27+F28+F29+F31+F33+F36)</f>
        <v>223742.5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F43"/>
  <sheetViews>
    <sheetView workbookViewId="0">
      <pane ySplit="11" topLeftCell="A12" activePane="bottomLeft" state="frozen"/>
      <selection pane="bottomLeft" activeCell="N29" sqref="N29"/>
    </sheetView>
  </sheetViews>
  <sheetFormatPr baseColWidth="10" defaultRowHeight="15" x14ac:dyDescent="0.25"/>
  <cols>
    <col min="1" max="1" width="4" style="33" customWidth="1"/>
    <col min="2" max="2" width="9.140625" style="33" customWidth="1"/>
    <col min="3" max="3" width="42.85546875" style="33" customWidth="1"/>
    <col min="4" max="4" width="13" style="33" customWidth="1"/>
    <col min="5" max="5" width="15.5703125" style="33" customWidth="1"/>
    <col min="6" max="6" width="13.2851562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376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62842.5</v>
      </c>
      <c r="E12" s="104">
        <f>SUM(E13+E16+E18)</f>
        <v>23017.5</v>
      </c>
      <c r="F12" s="104">
        <f>SUM(F13+F16+F18)</f>
        <v>85860</v>
      </c>
    </row>
    <row r="13" spans="2:6" x14ac:dyDescent="0.25">
      <c r="B13" s="85">
        <v>511</v>
      </c>
      <c r="C13" s="118" t="s">
        <v>249</v>
      </c>
      <c r="D13" s="106">
        <f>SUM(D14:D15)</f>
        <v>54750</v>
      </c>
      <c r="E13" s="106">
        <f>SUM(E14:E15)</f>
        <v>19800</v>
      </c>
      <c r="F13" s="106">
        <f>SUM(F14:F15)</f>
        <v>74550</v>
      </c>
    </row>
    <row r="14" spans="2:6" x14ac:dyDescent="0.25">
      <c r="B14" s="88">
        <v>51101</v>
      </c>
      <c r="C14" s="107" t="s">
        <v>250</v>
      </c>
      <c r="D14" s="108">
        <v>49800</v>
      </c>
      <c r="E14" s="108">
        <v>19800</v>
      </c>
      <c r="F14" s="108">
        <f>SUM(D14:E14)</f>
        <v>69600</v>
      </c>
    </row>
    <row r="15" spans="2:6" x14ac:dyDescent="0.25">
      <c r="B15" s="88">
        <v>51103</v>
      </c>
      <c r="C15" s="109" t="s">
        <v>251</v>
      </c>
      <c r="D15" s="108">
        <v>4950</v>
      </c>
      <c r="E15" s="108">
        <v>0</v>
      </c>
      <c r="F15" s="108">
        <f>SUM(D15:E15)</f>
        <v>4950</v>
      </c>
    </row>
    <row r="16" spans="2:6" x14ac:dyDescent="0.25">
      <c r="B16" s="85">
        <v>514</v>
      </c>
      <c r="C16" s="110" t="s">
        <v>254</v>
      </c>
      <c r="D16" s="106">
        <f>SUM(D17:D17)</f>
        <v>4233</v>
      </c>
      <c r="E16" s="106">
        <f t="shared" ref="E16" si="0">SUM(E17)</f>
        <v>1683</v>
      </c>
      <c r="F16" s="106">
        <f>SUM(F17:F17)</f>
        <v>5916</v>
      </c>
    </row>
    <row r="17" spans="2:6" x14ac:dyDescent="0.25">
      <c r="B17" s="94">
        <v>51401</v>
      </c>
      <c r="C17" s="109" t="s">
        <v>255</v>
      </c>
      <c r="D17" s="108">
        <v>4233</v>
      </c>
      <c r="E17" s="108">
        <v>1683</v>
      </c>
      <c r="F17" s="108">
        <f>SUM(D17:E17)</f>
        <v>5916</v>
      </c>
    </row>
    <row r="18" spans="2:6" x14ac:dyDescent="0.25">
      <c r="B18" s="85">
        <v>515</v>
      </c>
      <c r="C18" s="111" t="s">
        <v>256</v>
      </c>
      <c r="D18" s="106">
        <f>SUM(D19:D19)</f>
        <v>3859.5</v>
      </c>
      <c r="E18" s="106">
        <f>SUM(E19:E19)</f>
        <v>1534.5</v>
      </c>
      <c r="F18" s="106">
        <f>SUM(F19:F19)</f>
        <v>5394</v>
      </c>
    </row>
    <row r="19" spans="2:6" x14ac:dyDescent="0.25">
      <c r="B19" s="94">
        <v>51501</v>
      </c>
      <c r="C19" s="109" t="s">
        <v>255</v>
      </c>
      <c r="D19" s="108">
        <v>3859.5</v>
      </c>
      <c r="E19" s="108">
        <v>1534.5</v>
      </c>
      <c r="F19" s="108">
        <f>SUM(D19:E19)</f>
        <v>5394</v>
      </c>
    </row>
    <row r="20" spans="2:6" x14ac:dyDescent="0.25">
      <c r="B20" s="85">
        <v>54</v>
      </c>
      <c r="C20" s="111" t="s">
        <v>301</v>
      </c>
      <c r="D20" s="106">
        <f>SUM(D21+D29+D33)</f>
        <v>5700</v>
      </c>
      <c r="E20" s="106">
        <f>SUM(E21+E29+E33)</f>
        <v>0</v>
      </c>
      <c r="F20" s="106">
        <f>SUM(F21+F29+F33)</f>
        <v>5700</v>
      </c>
    </row>
    <row r="21" spans="2:6" x14ac:dyDescent="0.25">
      <c r="B21" s="85">
        <v>541</v>
      </c>
      <c r="C21" s="111" t="s">
        <v>302</v>
      </c>
      <c r="D21" s="106">
        <f>SUM(D22:D28)</f>
        <v>3600</v>
      </c>
      <c r="E21" s="106">
        <f>SUM(E22:E28)</f>
        <v>0</v>
      </c>
      <c r="F21" s="106">
        <f>SUM(F22:F28)</f>
        <v>3600</v>
      </c>
    </row>
    <row r="22" spans="2:6" x14ac:dyDescent="0.25">
      <c r="B22" s="94">
        <v>54101</v>
      </c>
      <c r="C22" s="109" t="s">
        <v>261</v>
      </c>
      <c r="D22" s="117">
        <v>800</v>
      </c>
      <c r="E22" s="108">
        <v>0</v>
      </c>
      <c r="F22" s="108">
        <f t="shared" ref="F22:F28" si="1">SUM(D22:E22)</f>
        <v>800</v>
      </c>
    </row>
    <row r="23" spans="2:6" x14ac:dyDescent="0.25">
      <c r="B23" s="94">
        <v>54105</v>
      </c>
      <c r="C23" s="109" t="s">
        <v>264</v>
      </c>
      <c r="D23" s="117">
        <v>800</v>
      </c>
      <c r="E23" s="108">
        <v>0</v>
      </c>
      <c r="F23" s="108">
        <f t="shared" si="1"/>
        <v>800</v>
      </c>
    </row>
    <row r="24" spans="2:6" x14ac:dyDescent="0.25">
      <c r="B24" s="94">
        <v>54114</v>
      </c>
      <c r="C24" s="109" t="s">
        <v>268</v>
      </c>
      <c r="D24" s="117">
        <v>500</v>
      </c>
      <c r="E24" s="108">
        <v>0</v>
      </c>
      <c r="F24" s="108">
        <f t="shared" si="1"/>
        <v>500</v>
      </c>
    </row>
    <row r="25" spans="2:6" x14ac:dyDescent="0.25">
      <c r="B25" s="94">
        <v>54115</v>
      </c>
      <c r="C25" s="109" t="s">
        <v>269</v>
      </c>
      <c r="D25" s="117">
        <v>500</v>
      </c>
      <c r="E25" s="108">
        <v>0</v>
      </c>
      <c r="F25" s="108">
        <f t="shared" si="1"/>
        <v>500</v>
      </c>
    </row>
    <row r="26" spans="2:6" x14ac:dyDescent="0.25">
      <c r="B26" s="94">
        <v>54118</v>
      </c>
      <c r="C26" s="109" t="s">
        <v>377</v>
      </c>
      <c r="D26" s="117">
        <v>400</v>
      </c>
      <c r="E26" s="108">
        <v>0</v>
      </c>
      <c r="F26" s="108">
        <f t="shared" si="1"/>
        <v>400</v>
      </c>
    </row>
    <row r="27" spans="2:6" x14ac:dyDescent="0.25">
      <c r="B27" s="94">
        <v>54119</v>
      </c>
      <c r="C27" s="109" t="s">
        <v>326</v>
      </c>
      <c r="D27" s="151">
        <v>300</v>
      </c>
      <c r="E27" s="108">
        <v>0</v>
      </c>
      <c r="F27" s="108">
        <f t="shared" si="1"/>
        <v>300</v>
      </c>
    </row>
    <row r="28" spans="2:6" x14ac:dyDescent="0.25">
      <c r="B28" s="94">
        <v>54199</v>
      </c>
      <c r="C28" s="109" t="s">
        <v>271</v>
      </c>
      <c r="D28" s="151">
        <v>300</v>
      </c>
      <c r="E28" s="108">
        <v>0</v>
      </c>
      <c r="F28" s="108">
        <f t="shared" si="1"/>
        <v>300</v>
      </c>
    </row>
    <row r="29" spans="2:6" x14ac:dyDescent="0.25">
      <c r="B29" s="85">
        <v>543</v>
      </c>
      <c r="C29" s="111" t="s">
        <v>272</v>
      </c>
      <c r="D29" s="106">
        <f>SUM(D30:D32)</f>
        <v>1700</v>
      </c>
      <c r="E29" s="106">
        <f>SUM(E30:E32)</f>
        <v>0</v>
      </c>
      <c r="F29" s="106">
        <f>SUM(F30:F32)</f>
        <v>1700</v>
      </c>
    </row>
    <row r="30" spans="2:6" x14ac:dyDescent="0.25">
      <c r="B30" s="94">
        <v>54301</v>
      </c>
      <c r="C30" s="109" t="s">
        <v>378</v>
      </c>
      <c r="D30" s="108">
        <v>300</v>
      </c>
      <c r="E30" s="108">
        <v>0</v>
      </c>
      <c r="F30" s="108">
        <f>SUM(D30:E30)</f>
        <v>300</v>
      </c>
    </row>
    <row r="31" spans="2:6" x14ac:dyDescent="0.25">
      <c r="B31" s="94">
        <v>54304</v>
      </c>
      <c r="C31" s="109" t="s">
        <v>379</v>
      </c>
      <c r="D31" s="284">
        <v>1000</v>
      </c>
      <c r="E31" s="108">
        <v>0</v>
      </c>
      <c r="F31" s="108">
        <f>SUM(D31:E31)</f>
        <v>1000</v>
      </c>
    </row>
    <row r="32" spans="2:6" x14ac:dyDescent="0.25">
      <c r="B32" s="94">
        <v>54313</v>
      </c>
      <c r="C32" s="109" t="s">
        <v>276</v>
      </c>
      <c r="D32" s="108">
        <v>400</v>
      </c>
      <c r="E32" s="108">
        <v>0</v>
      </c>
      <c r="F32" s="108">
        <f>SUM(D32:E32)</f>
        <v>400</v>
      </c>
    </row>
    <row r="33" spans="2:6" x14ac:dyDescent="0.25">
      <c r="B33" s="85">
        <v>544</v>
      </c>
      <c r="C33" s="111" t="s">
        <v>279</v>
      </c>
      <c r="D33" s="106">
        <f>SUM(D34)</f>
        <v>400</v>
      </c>
      <c r="E33" s="106">
        <f t="shared" ref="E33:F33" si="2">SUM(E34)</f>
        <v>0</v>
      </c>
      <c r="F33" s="106">
        <f t="shared" si="2"/>
        <v>400</v>
      </c>
    </row>
    <row r="34" spans="2:6" x14ac:dyDescent="0.25">
      <c r="B34" s="94">
        <v>54401</v>
      </c>
      <c r="C34" s="109" t="s">
        <v>280</v>
      </c>
      <c r="D34" s="108">
        <v>400</v>
      </c>
      <c r="E34" s="108">
        <v>0</v>
      </c>
      <c r="F34" s="108">
        <f>SUM(D34:E34)</f>
        <v>400</v>
      </c>
    </row>
    <row r="35" spans="2:6" x14ac:dyDescent="0.25">
      <c r="B35" s="85">
        <v>61</v>
      </c>
      <c r="C35" s="111" t="s">
        <v>295</v>
      </c>
      <c r="D35" s="106">
        <f>SUM(D36)</f>
        <v>1000</v>
      </c>
      <c r="E35" s="106">
        <f t="shared" ref="E35:F35" si="3">SUM(E36)</f>
        <v>0</v>
      </c>
      <c r="F35" s="106">
        <f t="shared" si="3"/>
        <v>1000</v>
      </c>
    </row>
    <row r="36" spans="2:6" x14ac:dyDescent="0.25">
      <c r="B36" s="85">
        <v>611</v>
      </c>
      <c r="C36" s="111" t="s">
        <v>373</v>
      </c>
      <c r="D36" s="106">
        <f>SUM(D37:D37)</f>
        <v>1000</v>
      </c>
      <c r="E36" s="106">
        <f>SUM(E37:E37)</f>
        <v>0</v>
      </c>
      <c r="F36" s="106">
        <f>SUM(F37:F37)</f>
        <v>1000</v>
      </c>
    </row>
    <row r="37" spans="2:6" x14ac:dyDescent="0.25">
      <c r="B37" s="94">
        <v>61101</v>
      </c>
      <c r="C37" s="109" t="s">
        <v>297</v>
      </c>
      <c r="D37" s="117">
        <v>1000</v>
      </c>
      <c r="E37" s="108">
        <v>0</v>
      </c>
      <c r="F37" s="108">
        <f>SUM(D37:E37)</f>
        <v>1000</v>
      </c>
    </row>
    <row r="38" spans="2:6" x14ac:dyDescent="0.25">
      <c r="B38" s="94"/>
      <c r="C38" s="109"/>
      <c r="D38" s="108"/>
      <c r="E38" s="108"/>
      <c r="F38" s="108"/>
    </row>
    <row r="39" spans="2:6" x14ac:dyDescent="0.25">
      <c r="B39" s="94"/>
      <c r="C39" s="111" t="s">
        <v>75</v>
      </c>
      <c r="D39" s="106">
        <f>SUM(D12+D20+D35)</f>
        <v>69542.5</v>
      </c>
      <c r="E39" s="106">
        <f>SUM(E12+E20+E35)</f>
        <v>23017.5</v>
      </c>
      <c r="F39" s="106">
        <f>SUM(D39:E39)</f>
        <v>92560</v>
      </c>
    </row>
    <row r="40" spans="2:6" x14ac:dyDescent="0.25">
      <c r="B40" s="94"/>
      <c r="C40" s="109"/>
      <c r="D40" s="108"/>
      <c r="E40" s="108"/>
      <c r="F40" s="108"/>
    </row>
    <row r="41" spans="2:6" x14ac:dyDescent="0.25">
      <c r="B41" s="85"/>
      <c r="C41" s="111" t="s">
        <v>65</v>
      </c>
      <c r="D41" s="106">
        <f>+D12+D20+D35</f>
        <v>69542.5</v>
      </c>
      <c r="E41" s="106">
        <f>+E12+E20+E35</f>
        <v>23017.5</v>
      </c>
      <c r="F41" s="106">
        <f>+F12+F20+F35</f>
        <v>92560</v>
      </c>
    </row>
    <row r="42" spans="2:6" x14ac:dyDescent="0.25">
      <c r="B42" s="85"/>
      <c r="C42" s="111" t="s">
        <v>66</v>
      </c>
      <c r="D42" s="106">
        <f>SUM(D13+D16+D18++D21+D29+D33+D36)</f>
        <v>69542.5</v>
      </c>
      <c r="E42" s="106">
        <f>SUM(E13+E16+E18++E21+E29+E33+E36)</f>
        <v>23017.5</v>
      </c>
      <c r="F42" s="106">
        <f>SUM(F13+F16+F18++F21+F29+F33+F36)</f>
        <v>92560</v>
      </c>
    </row>
    <row r="43" spans="2:6" x14ac:dyDescent="0.25">
      <c r="B43" s="85"/>
      <c r="C43" s="111" t="s">
        <v>67</v>
      </c>
      <c r="D43" s="106">
        <f>SUM(D14+D15+D17+D19+D22+D23+D24+D25+D26+D27+D28+D30+D31+D32+D34+D37)</f>
        <v>69542.5</v>
      </c>
      <c r="E43" s="106">
        <f>SUM(E14+E15+E17+E19+E22+E23+E24+E25+E30+E32+E34+E37)</f>
        <v>23017.5</v>
      </c>
      <c r="F43" s="106">
        <f>SUM(F14+F15+F17+F19+F22+F23+F24+F25+F26+F27+F28++F30+F31+F32+F34+F37)</f>
        <v>92560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F54"/>
  <sheetViews>
    <sheetView workbookViewId="0">
      <pane ySplit="11" topLeftCell="A24" activePane="bottomLeft" state="frozen"/>
      <selection pane="bottomLeft" activeCell="I31" sqref="I31"/>
    </sheetView>
  </sheetViews>
  <sheetFormatPr baseColWidth="10" defaultRowHeight="15" x14ac:dyDescent="0.25"/>
  <cols>
    <col min="1" max="1" width="3" style="33" customWidth="1"/>
    <col min="2" max="2" width="5.85546875" style="33" customWidth="1"/>
    <col min="3" max="3" width="43.7109375" style="33" customWidth="1"/>
    <col min="4" max="4" width="18.28515625" style="33" customWidth="1"/>
    <col min="5" max="5" width="15.85546875" style="33" customWidth="1"/>
    <col min="6" max="6" width="13.710937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402" t="s">
        <v>300</v>
      </c>
      <c r="C6" s="402"/>
      <c r="D6" s="402"/>
      <c r="E6" s="402"/>
      <c r="F6" s="402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172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SUM(D13+D17+D19)</f>
        <v>169590.5</v>
      </c>
      <c r="E12" s="104">
        <f>SUM(E13+E17+E19)</f>
        <v>24856.920000000002</v>
      </c>
      <c r="F12" s="104">
        <f>SUM(F13+F17+F19)</f>
        <v>194447.41999999998</v>
      </c>
    </row>
    <row r="13" spans="2:6" x14ac:dyDescent="0.25">
      <c r="B13" s="85">
        <v>511</v>
      </c>
      <c r="C13" s="118" t="s">
        <v>249</v>
      </c>
      <c r="D13" s="106">
        <f>SUM(D14:D16)</f>
        <v>148550</v>
      </c>
      <c r="E13" s="106">
        <f>SUM(E14:E16)</f>
        <v>21382</v>
      </c>
      <c r="F13" s="106">
        <f>SUM(F14:F16)</f>
        <v>169932</v>
      </c>
    </row>
    <row r="14" spans="2:6" x14ac:dyDescent="0.25">
      <c r="B14" s="88">
        <v>51101</v>
      </c>
      <c r="C14" s="107" t="s">
        <v>250</v>
      </c>
      <c r="D14" s="108">
        <v>129480</v>
      </c>
      <c r="E14" s="108">
        <v>21382</v>
      </c>
      <c r="F14" s="108">
        <f>SUM(D14:E14)</f>
        <v>150862</v>
      </c>
    </row>
    <row r="15" spans="2:6" x14ac:dyDescent="0.25">
      <c r="B15" s="88">
        <v>51103</v>
      </c>
      <c r="C15" s="109" t="s">
        <v>251</v>
      </c>
      <c r="D15" s="108">
        <v>12070</v>
      </c>
      <c r="E15" s="108">
        <v>0</v>
      </c>
      <c r="F15" s="108">
        <f>SUM(D15:E15)</f>
        <v>12070</v>
      </c>
    </row>
    <row r="16" spans="2:6" x14ac:dyDescent="0.25">
      <c r="B16" s="94">
        <v>51107</v>
      </c>
      <c r="C16" s="148" t="s">
        <v>253</v>
      </c>
      <c r="D16" s="108">
        <v>7000</v>
      </c>
      <c r="E16" s="108">
        <v>0</v>
      </c>
      <c r="F16" s="108">
        <f>SUM(D16:E16)</f>
        <v>7000</v>
      </c>
    </row>
    <row r="17" spans="2:6" x14ac:dyDescent="0.25">
      <c r="B17" s="85">
        <v>514</v>
      </c>
      <c r="C17" s="110" t="s">
        <v>254</v>
      </c>
      <c r="D17" s="106">
        <f>SUM(D18:D18)</f>
        <v>11005.8</v>
      </c>
      <c r="E17" s="106">
        <f t="shared" ref="E17" si="0">SUM(E18)</f>
        <v>1817.47</v>
      </c>
      <c r="F17" s="106">
        <f>SUM(F18:F18)</f>
        <v>12823.269999999999</v>
      </c>
    </row>
    <row r="18" spans="2:6" x14ac:dyDescent="0.25">
      <c r="B18" s="94">
        <v>51401</v>
      </c>
      <c r="C18" s="109" t="s">
        <v>255</v>
      </c>
      <c r="D18" s="108">
        <v>11005.8</v>
      </c>
      <c r="E18" s="108">
        <v>1817.47</v>
      </c>
      <c r="F18" s="108">
        <f>SUM(D18:E18)</f>
        <v>12823.269999999999</v>
      </c>
    </row>
    <row r="19" spans="2:6" x14ac:dyDescent="0.25">
      <c r="B19" s="85">
        <v>515</v>
      </c>
      <c r="C19" s="110" t="s">
        <v>256</v>
      </c>
      <c r="D19" s="106">
        <f>SUM(D20:D20)</f>
        <v>10034.700000000001</v>
      </c>
      <c r="E19" s="106">
        <f>SUM(E20:E20)</f>
        <v>1657.45</v>
      </c>
      <c r="F19" s="106">
        <f>SUM(F20:F20)</f>
        <v>11692.150000000001</v>
      </c>
    </row>
    <row r="20" spans="2:6" x14ac:dyDescent="0.25">
      <c r="B20" s="94">
        <v>51501</v>
      </c>
      <c r="C20" s="109" t="s">
        <v>255</v>
      </c>
      <c r="D20" s="108">
        <v>10034.700000000001</v>
      </c>
      <c r="E20" s="108">
        <v>1657.45</v>
      </c>
      <c r="F20" s="108">
        <f>SUM(D20:E20)</f>
        <v>11692.150000000001</v>
      </c>
    </row>
    <row r="21" spans="2:6" x14ac:dyDescent="0.25">
      <c r="B21" s="85">
        <v>54</v>
      </c>
      <c r="C21" s="111" t="s">
        <v>301</v>
      </c>
      <c r="D21" s="106">
        <f>SUM(D22+D36+D41)</f>
        <v>125350</v>
      </c>
      <c r="E21" s="106">
        <f>SUM(E22+E36+E41)</f>
        <v>160604.07</v>
      </c>
      <c r="F21" s="106">
        <f>SUM(F22+F36+F41)</f>
        <v>285954.07</v>
      </c>
    </row>
    <row r="22" spans="2:6" x14ac:dyDescent="0.25">
      <c r="B22" s="85">
        <v>541</v>
      </c>
      <c r="C22" s="111" t="s">
        <v>302</v>
      </c>
      <c r="D22" s="106">
        <f>SUM(D23:D35)</f>
        <v>37550</v>
      </c>
      <c r="E22" s="106">
        <f>SUM(E23:E35)</f>
        <v>12047.32</v>
      </c>
      <c r="F22" s="106">
        <f>SUM(F23:F35)</f>
        <v>49597.32</v>
      </c>
    </row>
    <row r="23" spans="2:6" x14ac:dyDescent="0.25">
      <c r="B23" s="94">
        <v>54104</v>
      </c>
      <c r="C23" s="109" t="s">
        <v>263</v>
      </c>
      <c r="D23" s="108">
        <v>3000</v>
      </c>
      <c r="E23" s="108">
        <v>0</v>
      </c>
      <c r="F23" s="108">
        <f t="shared" ref="F23:F35" si="1">SUM(D23:E23)</f>
        <v>3000</v>
      </c>
    </row>
    <row r="24" spans="2:6" x14ac:dyDescent="0.25">
      <c r="B24" s="94">
        <v>54105</v>
      </c>
      <c r="C24" s="109" t="s">
        <v>264</v>
      </c>
      <c r="D24" s="108">
        <v>500</v>
      </c>
      <c r="E24" s="108">
        <v>0</v>
      </c>
      <c r="F24" s="108">
        <f t="shared" si="1"/>
        <v>500</v>
      </c>
    </row>
    <row r="25" spans="2:6" x14ac:dyDescent="0.25">
      <c r="B25" s="94">
        <v>54106</v>
      </c>
      <c r="C25" s="109" t="s">
        <v>265</v>
      </c>
      <c r="D25" s="117">
        <v>900</v>
      </c>
      <c r="E25" s="108">
        <v>0</v>
      </c>
      <c r="F25" s="108">
        <f t="shared" si="1"/>
        <v>900</v>
      </c>
    </row>
    <row r="26" spans="2:6" x14ac:dyDescent="0.25">
      <c r="B26" s="94">
        <v>54107</v>
      </c>
      <c r="C26" s="109" t="s">
        <v>335</v>
      </c>
      <c r="D26" s="117">
        <v>2000</v>
      </c>
      <c r="E26" s="108">
        <v>0</v>
      </c>
      <c r="F26" s="108">
        <f t="shared" si="1"/>
        <v>2000</v>
      </c>
    </row>
    <row r="27" spans="2:6" x14ac:dyDescent="0.25">
      <c r="B27" s="94">
        <v>54109</v>
      </c>
      <c r="C27" s="109" t="s">
        <v>309</v>
      </c>
      <c r="D27" s="108">
        <v>6000</v>
      </c>
      <c r="E27" s="108">
        <v>0</v>
      </c>
      <c r="F27" s="108">
        <f t="shared" si="1"/>
        <v>6000</v>
      </c>
    </row>
    <row r="28" spans="2:6" x14ac:dyDescent="0.25">
      <c r="B28" s="94">
        <v>54110</v>
      </c>
      <c r="C28" s="109" t="s">
        <v>351</v>
      </c>
      <c r="D28" s="108">
        <v>8000</v>
      </c>
      <c r="E28" s="108">
        <v>0</v>
      </c>
      <c r="F28" s="108">
        <f t="shared" si="1"/>
        <v>8000</v>
      </c>
    </row>
    <row r="29" spans="2:6" x14ac:dyDescent="0.25">
      <c r="B29" s="94">
        <v>54111</v>
      </c>
      <c r="C29" s="109" t="s">
        <v>352</v>
      </c>
      <c r="D29" s="108">
        <v>5000</v>
      </c>
      <c r="E29" s="108">
        <v>0</v>
      </c>
      <c r="F29" s="108">
        <f t="shared" si="1"/>
        <v>5000</v>
      </c>
    </row>
    <row r="30" spans="2:6" x14ac:dyDescent="0.25">
      <c r="B30" s="94">
        <v>54112</v>
      </c>
      <c r="C30" s="109" t="s">
        <v>267</v>
      </c>
      <c r="D30" s="108">
        <v>3900</v>
      </c>
      <c r="E30" s="108">
        <v>0</v>
      </c>
      <c r="F30" s="108">
        <f t="shared" si="1"/>
        <v>3900</v>
      </c>
    </row>
    <row r="31" spans="2:6" x14ac:dyDescent="0.25">
      <c r="B31" s="94">
        <v>54114</v>
      </c>
      <c r="C31" s="109" t="s">
        <v>268</v>
      </c>
      <c r="D31" s="108">
        <v>150</v>
      </c>
      <c r="E31" s="108">
        <v>0</v>
      </c>
      <c r="F31" s="108">
        <f t="shared" si="1"/>
        <v>150</v>
      </c>
    </row>
    <row r="32" spans="2:6" x14ac:dyDescent="0.25">
      <c r="B32" s="94">
        <v>54115</v>
      </c>
      <c r="C32" s="109" t="s">
        <v>269</v>
      </c>
      <c r="D32" s="108">
        <v>100</v>
      </c>
      <c r="E32" s="108">
        <v>0</v>
      </c>
      <c r="F32" s="108">
        <f t="shared" si="1"/>
        <v>100</v>
      </c>
    </row>
    <row r="33" spans="2:6" x14ac:dyDescent="0.25">
      <c r="B33" s="94">
        <v>54118</v>
      </c>
      <c r="C33" s="109" t="s">
        <v>310</v>
      </c>
      <c r="D33" s="117">
        <v>4000</v>
      </c>
      <c r="E33" s="108">
        <v>6000</v>
      </c>
      <c r="F33" s="108">
        <f t="shared" si="1"/>
        <v>10000</v>
      </c>
    </row>
    <row r="34" spans="2:6" x14ac:dyDescent="0.25">
      <c r="B34" s="94">
        <v>54119</v>
      </c>
      <c r="C34" s="109" t="s">
        <v>270</v>
      </c>
      <c r="D34" s="117">
        <v>2000</v>
      </c>
      <c r="E34" s="108">
        <v>1047.32</v>
      </c>
      <c r="F34" s="108">
        <f t="shared" si="1"/>
        <v>3047.3199999999997</v>
      </c>
    </row>
    <row r="35" spans="2:6" x14ac:dyDescent="0.25">
      <c r="B35" s="94">
        <v>54199</v>
      </c>
      <c r="C35" s="109" t="s">
        <v>271</v>
      </c>
      <c r="D35" s="108">
        <v>2000</v>
      </c>
      <c r="E35" s="108">
        <v>5000</v>
      </c>
      <c r="F35" s="108">
        <f t="shared" si="1"/>
        <v>7000</v>
      </c>
    </row>
    <row r="36" spans="2:6" x14ac:dyDescent="0.25">
      <c r="B36" s="85">
        <v>542</v>
      </c>
      <c r="C36" s="111" t="s">
        <v>356</v>
      </c>
      <c r="D36" s="106">
        <f>SUM(D37:D40)</f>
        <v>77000</v>
      </c>
      <c r="E36" s="106">
        <f>SUM(E37:E40)</f>
        <v>123000</v>
      </c>
      <c r="F36" s="106">
        <f>SUM(F37:F40)</f>
        <v>200000</v>
      </c>
    </row>
    <row r="37" spans="2:6" x14ac:dyDescent="0.25">
      <c r="B37" s="94">
        <v>54201</v>
      </c>
      <c r="C37" s="109" t="s">
        <v>363</v>
      </c>
      <c r="D37" s="108">
        <v>15000</v>
      </c>
      <c r="E37" s="108">
        <v>30000</v>
      </c>
      <c r="F37" s="108">
        <f>SUM(D37:E37)</f>
        <v>45000</v>
      </c>
    </row>
    <row r="38" spans="2:6" x14ac:dyDescent="0.25">
      <c r="B38" s="94">
        <v>54202</v>
      </c>
      <c r="C38" s="109" t="s">
        <v>364</v>
      </c>
      <c r="D38" s="108">
        <v>10000</v>
      </c>
      <c r="E38" s="108">
        <v>12000</v>
      </c>
      <c r="F38" s="108">
        <f>SUM(D38:E38)</f>
        <v>22000</v>
      </c>
    </row>
    <row r="39" spans="2:6" x14ac:dyDescent="0.25">
      <c r="B39" s="94">
        <v>54203</v>
      </c>
      <c r="C39" s="109" t="s">
        <v>365</v>
      </c>
      <c r="D39" s="108">
        <v>17000</v>
      </c>
      <c r="E39" s="108">
        <v>23000</v>
      </c>
      <c r="F39" s="108">
        <f>SUM(D39:E39)</f>
        <v>40000</v>
      </c>
    </row>
    <row r="40" spans="2:6" x14ac:dyDescent="0.25">
      <c r="B40" s="94">
        <v>54205</v>
      </c>
      <c r="C40" s="109" t="s">
        <v>380</v>
      </c>
      <c r="D40" s="108">
        <v>35000</v>
      </c>
      <c r="E40" s="108">
        <v>58000</v>
      </c>
      <c r="F40" s="108">
        <f>SUM(D40:E40)</f>
        <v>93000</v>
      </c>
    </row>
    <row r="41" spans="2:6" x14ac:dyDescent="0.25">
      <c r="B41" s="85">
        <v>543</v>
      </c>
      <c r="C41" s="111" t="s">
        <v>272</v>
      </c>
      <c r="D41" s="106">
        <f>SUM(D42:D48)</f>
        <v>10800</v>
      </c>
      <c r="E41" s="106">
        <f>SUM(E42:E48)</f>
        <v>25556.75</v>
      </c>
      <c r="F41" s="106">
        <f>SUM(F42:F48)</f>
        <v>36356.75</v>
      </c>
    </row>
    <row r="42" spans="2:6" x14ac:dyDescent="0.25">
      <c r="B42" s="94">
        <v>54301</v>
      </c>
      <c r="C42" s="109" t="s">
        <v>273</v>
      </c>
      <c r="D42" s="117">
        <v>2000</v>
      </c>
      <c r="E42" s="108">
        <v>5000</v>
      </c>
      <c r="F42" s="108">
        <f t="shared" ref="F42:F48" si="2">SUM(D42:E42)</f>
        <v>7000</v>
      </c>
    </row>
    <row r="43" spans="2:6" x14ac:dyDescent="0.25">
      <c r="B43" s="94">
        <v>54302</v>
      </c>
      <c r="C43" s="109" t="s">
        <v>369</v>
      </c>
      <c r="D43" s="108">
        <v>2000</v>
      </c>
      <c r="E43" s="108">
        <v>6000</v>
      </c>
      <c r="F43" s="108">
        <f t="shared" si="2"/>
        <v>8000</v>
      </c>
    </row>
    <row r="44" spans="2:6" x14ac:dyDescent="0.25">
      <c r="B44" s="94">
        <v>54303</v>
      </c>
      <c r="C44" s="91" t="s">
        <v>381</v>
      </c>
      <c r="D44" s="117">
        <v>0</v>
      </c>
      <c r="E44" s="108">
        <v>4556.75</v>
      </c>
      <c r="F44" s="108">
        <f t="shared" si="2"/>
        <v>4556.75</v>
      </c>
    </row>
    <row r="45" spans="2:6" x14ac:dyDescent="0.25">
      <c r="B45" s="94">
        <v>54304</v>
      </c>
      <c r="C45" s="109" t="s">
        <v>382</v>
      </c>
      <c r="D45" s="117">
        <v>0</v>
      </c>
      <c r="E45" s="108">
        <v>6000</v>
      </c>
      <c r="F45" s="108">
        <f t="shared" si="2"/>
        <v>6000</v>
      </c>
    </row>
    <row r="46" spans="2:6" x14ac:dyDescent="0.25">
      <c r="B46" s="94">
        <v>54313</v>
      </c>
      <c r="C46" s="109" t="s">
        <v>276</v>
      </c>
      <c r="D46" s="117">
        <v>900</v>
      </c>
      <c r="E46" s="108">
        <v>0</v>
      </c>
      <c r="F46" s="108">
        <f t="shared" si="2"/>
        <v>900</v>
      </c>
    </row>
    <row r="47" spans="2:6" x14ac:dyDescent="0.25">
      <c r="B47" s="94">
        <v>54317</v>
      </c>
      <c r="C47" s="109" t="s">
        <v>6</v>
      </c>
      <c r="D47" s="117">
        <v>3900</v>
      </c>
      <c r="E47" s="108">
        <v>4000</v>
      </c>
      <c r="F47" s="108">
        <f t="shared" si="2"/>
        <v>7900</v>
      </c>
    </row>
    <row r="48" spans="2:6" x14ac:dyDescent="0.25">
      <c r="B48" s="94">
        <v>54399</v>
      </c>
      <c r="C48" s="109" t="s">
        <v>278</v>
      </c>
      <c r="D48" s="117">
        <v>2000</v>
      </c>
      <c r="E48" s="108">
        <v>0</v>
      </c>
      <c r="F48" s="108">
        <f t="shared" si="2"/>
        <v>2000</v>
      </c>
    </row>
    <row r="49" spans="2:6" x14ac:dyDescent="0.25">
      <c r="B49" s="152"/>
      <c r="C49" s="153"/>
      <c r="D49" s="283"/>
      <c r="E49" s="108"/>
      <c r="F49" s="108"/>
    </row>
    <row r="50" spans="2:6" x14ac:dyDescent="0.25">
      <c r="B50" s="94"/>
      <c r="C50" s="111" t="s">
        <v>75</v>
      </c>
      <c r="D50" s="106">
        <f>SUM(D12+D21)</f>
        <v>294940.5</v>
      </c>
      <c r="E50" s="106">
        <f>SUM(E12+E21)</f>
        <v>185460.99000000002</v>
      </c>
      <c r="F50" s="106">
        <f>SUM(D50:E50)</f>
        <v>480401.49</v>
      </c>
    </row>
    <row r="51" spans="2:6" x14ac:dyDescent="0.25">
      <c r="B51" s="94"/>
      <c r="C51" s="109"/>
      <c r="D51" s="108"/>
      <c r="E51" s="108"/>
      <c r="F51" s="108"/>
    </row>
    <row r="52" spans="2:6" x14ac:dyDescent="0.25">
      <c r="B52" s="85"/>
      <c r="C52" s="111" t="s">
        <v>65</v>
      </c>
      <c r="D52" s="106">
        <f>SUM(D12+D21)</f>
        <v>294940.5</v>
      </c>
      <c r="E52" s="106">
        <f>SUM(E12+E21)</f>
        <v>185460.99000000002</v>
      </c>
      <c r="F52" s="106">
        <f>SUM(F12+F21)</f>
        <v>480401.49</v>
      </c>
    </row>
    <row r="53" spans="2:6" x14ac:dyDescent="0.25">
      <c r="B53" s="85"/>
      <c r="C53" s="111" t="s">
        <v>66</v>
      </c>
      <c r="D53" s="106">
        <f>SUM(D13+D17+D19+D22+D36+D41)</f>
        <v>294940.5</v>
      </c>
      <c r="E53" s="106">
        <f>SUM(E13+E17+E19+E22+E36+E41)</f>
        <v>185460.99</v>
      </c>
      <c r="F53" s="106">
        <f>SUM(F13+F17+F19+F22+F36+F41)</f>
        <v>480401.49</v>
      </c>
    </row>
    <row r="54" spans="2:6" x14ac:dyDescent="0.25">
      <c r="B54" s="85"/>
      <c r="C54" s="111" t="s">
        <v>67</v>
      </c>
      <c r="D54" s="106">
        <f>SUM(D14+D15+D16+D18+D20+D23+D24+D25+D26+D27+D28+D29+D30+D31+D32+D33+D34+D35+D37+D38+D39+D40+D42+D43+D44+D45+D46+D47+D48)</f>
        <v>294940.5</v>
      </c>
      <c r="E54" s="106">
        <f>SUM(E14+E15+E16+E18+E20+E23+E24+E25+E26+E27+E28+E29+E30+E31+E32+E33+E34+E35+E37+E38+E39+E40+E42+E43+E44+E45+E46+E47+E48)</f>
        <v>185460.99</v>
      </c>
      <c r="F54" s="106">
        <f>SUM(F14+F15+F16+F18+F20+F23+F24+F25+F26+F27+F28+F29+F30+F31+F32+F33+F34+F35+F37+F38+F39+F40+F42+F43+F44+F45+F46+F47+F48)</f>
        <v>480401.49</v>
      </c>
    </row>
  </sheetData>
  <mergeCells count="10">
    <mergeCell ref="B8:F8"/>
    <mergeCell ref="B10:B11"/>
    <mergeCell ref="C10:C11"/>
    <mergeCell ref="F10:F11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30"/>
  <sheetViews>
    <sheetView workbookViewId="0">
      <selection activeCell="F24" sqref="F24"/>
    </sheetView>
  </sheetViews>
  <sheetFormatPr baseColWidth="10" defaultRowHeight="14.25" x14ac:dyDescent="0.2"/>
  <cols>
    <col min="1" max="1" width="3" style="208" customWidth="1"/>
    <col min="2" max="2" width="8.42578125" style="208" customWidth="1"/>
    <col min="3" max="3" width="39" style="208" customWidth="1"/>
    <col min="4" max="4" width="22.7109375" style="208" customWidth="1"/>
    <col min="5" max="5" width="8" style="208" customWidth="1"/>
    <col min="6" max="6" width="50.42578125" style="208" customWidth="1"/>
    <col min="7" max="7" width="23.5703125" style="208" customWidth="1"/>
    <col min="8" max="16384" width="11.42578125" style="208"/>
  </cols>
  <sheetData>
    <row r="2" spans="2:7" ht="18" x14ac:dyDescent="0.2">
      <c r="B2" s="378" t="s">
        <v>136</v>
      </c>
      <c r="C2" s="378"/>
      <c r="D2" s="378"/>
      <c r="E2" s="378"/>
      <c r="F2" s="378"/>
      <c r="G2" s="378"/>
    </row>
    <row r="3" spans="2:7" ht="18" x14ac:dyDescent="0.25">
      <c r="B3" s="379" t="s">
        <v>137</v>
      </c>
      <c r="C3" s="379"/>
      <c r="D3" s="379"/>
      <c r="E3" s="379"/>
      <c r="F3" s="379"/>
      <c r="G3" s="379"/>
    </row>
    <row r="4" spans="2:7" ht="18" x14ac:dyDescent="0.25">
      <c r="B4" s="209"/>
      <c r="C4" s="209"/>
      <c r="D4" s="209"/>
      <c r="E4" s="209"/>
      <c r="F4" s="209"/>
      <c r="G4" s="209"/>
    </row>
    <row r="5" spans="2:7" ht="18" x14ac:dyDescent="0.2">
      <c r="B5" s="210" t="s">
        <v>146</v>
      </c>
      <c r="C5" s="201" t="s">
        <v>138</v>
      </c>
      <c r="D5" s="211"/>
      <c r="E5" s="210" t="s">
        <v>146</v>
      </c>
      <c r="F5" s="201" t="s">
        <v>139</v>
      </c>
      <c r="G5" s="211"/>
    </row>
    <row r="6" spans="2:7" ht="15.75" x14ac:dyDescent="0.2">
      <c r="B6" s="212">
        <v>11</v>
      </c>
      <c r="C6" s="202" t="s">
        <v>77</v>
      </c>
      <c r="D6" s="218">
        <f>+'PRESU INGRESOS'!E8</f>
        <v>70472.47</v>
      </c>
      <c r="E6" s="212">
        <v>51</v>
      </c>
      <c r="F6" s="202" t="s">
        <v>140</v>
      </c>
      <c r="G6" s="218">
        <f>+REMUNERACIONES!E34+REMUNERACIONES!L34</f>
        <v>1378786.17</v>
      </c>
    </row>
    <row r="7" spans="2:7" ht="15.75" x14ac:dyDescent="0.2">
      <c r="B7" s="212">
        <v>12</v>
      </c>
      <c r="C7" s="202" t="s">
        <v>84</v>
      </c>
      <c r="D7" s="218">
        <f>+'PRESU INGRESOS'!E17</f>
        <v>1103305.8899999999</v>
      </c>
      <c r="E7" s="212">
        <v>54</v>
      </c>
      <c r="F7" s="202" t="s">
        <v>141</v>
      </c>
      <c r="G7" s="218">
        <f>+GASTO!D33+GASTO!K33+'GASTO FISDL'!D12+'GASTO DONACION'!D12</f>
        <v>764345.75</v>
      </c>
    </row>
    <row r="8" spans="2:7" ht="15.75" x14ac:dyDescent="0.2">
      <c r="B8" s="212">
        <v>14</v>
      </c>
      <c r="C8" s="202" t="s">
        <v>64</v>
      </c>
      <c r="D8" s="218">
        <f>+'PRESU INGRESOS'!E36</f>
        <v>930</v>
      </c>
      <c r="E8" s="212">
        <v>55</v>
      </c>
      <c r="F8" s="202" t="s">
        <v>142</v>
      </c>
      <c r="G8" s="218">
        <f>+GASTO!D41+GASTO!K41+'GASTO FISDL'!D25+'GASTO DONACION'!D21</f>
        <v>39325</v>
      </c>
    </row>
    <row r="9" spans="2:7" ht="15.75" x14ac:dyDescent="0.2">
      <c r="B9" s="212">
        <v>15</v>
      </c>
      <c r="C9" s="202" t="s">
        <v>100</v>
      </c>
      <c r="D9" s="219">
        <f>+'PRESU INGRESOS'!E39</f>
        <v>75729.87</v>
      </c>
      <c r="E9" s="212">
        <v>56</v>
      </c>
      <c r="F9" s="202" t="s">
        <v>113</v>
      </c>
      <c r="G9" s="218">
        <f>+GASTO!D48+GASTO!K48</f>
        <v>7200</v>
      </c>
    </row>
    <row r="10" spans="2:7" ht="15.75" x14ac:dyDescent="0.2">
      <c r="B10" s="212">
        <v>16</v>
      </c>
      <c r="C10" s="202" t="s">
        <v>113</v>
      </c>
      <c r="D10" s="218">
        <f>+'PRESU INGRESOS'!D52</f>
        <v>666624.24</v>
      </c>
      <c r="E10" s="212">
        <v>61</v>
      </c>
      <c r="F10" s="202" t="s">
        <v>143</v>
      </c>
      <c r="G10" s="218">
        <f>+GASTO!D76+GASTO!K76</f>
        <v>25299</v>
      </c>
    </row>
    <row r="11" spans="2:7" ht="30.75" customHeight="1" x14ac:dyDescent="0.2">
      <c r="B11" s="212">
        <v>22</v>
      </c>
      <c r="C11" s="202" t="s">
        <v>116</v>
      </c>
      <c r="D11" s="218">
        <f>+'PRESU INGRESOS'!D55</f>
        <v>1999872.5999999999</v>
      </c>
      <c r="E11" s="212"/>
      <c r="F11" s="203" t="s">
        <v>411</v>
      </c>
      <c r="G11" s="218">
        <f>+'FODES 75%'!D32</f>
        <v>2156769.1399999997</v>
      </c>
    </row>
    <row r="12" spans="2:7" ht="15.75" x14ac:dyDescent="0.2">
      <c r="B12" s="212">
        <v>32</v>
      </c>
      <c r="C12" s="202" t="s">
        <v>3</v>
      </c>
      <c r="D12" s="218">
        <f>+'PRESU INGRESOS'!F58</f>
        <v>454789.99</v>
      </c>
      <c r="F12" s="203"/>
      <c r="G12" s="220"/>
    </row>
    <row r="13" spans="2:7" s="55" customFormat="1" ht="15.75" x14ac:dyDescent="0.2">
      <c r="B13" s="214"/>
      <c r="C13" s="203"/>
      <c r="D13" s="220"/>
      <c r="E13" s="215"/>
      <c r="G13" s="213"/>
    </row>
    <row r="14" spans="2:7" ht="18" x14ac:dyDescent="0.2">
      <c r="B14" s="216"/>
      <c r="C14" s="201" t="s">
        <v>144</v>
      </c>
      <c r="D14" s="204">
        <f>SUM(D6:D12)</f>
        <v>4371725.0599999996</v>
      </c>
      <c r="E14" s="216"/>
      <c r="F14" s="201" t="s">
        <v>145</v>
      </c>
      <c r="G14" s="204">
        <f>SUM(G6:G12)</f>
        <v>4371725.0599999996</v>
      </c>
    </row>
    <row r="23" spans="6:6" ht="15" x14ac:dyDescent="0.25">
      <c r="F23" s="217"/>
    </row>
    <row r="30" spans="6:6" x14ac:dyDescent="0.2">
      <c r="F30" s="208" t="s">
        <v>431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F52"/>
  <sheetViews>
    <sheetView topLeftCell="A19" workbookViewId="0">
      <selection activeCell="I40" sqref="I40"/>
    </sheetView>
  </sheetViews>
  <sheetFormatPr baseColWidth="10" defaultRowHeight="15" x14ac:dyDescent="0.25"/>
  <cols>
    <col min="1" max="1" width="2.7109375" style="33" customWidth="1"/>
    <col min="2" max="2" width="6.5703125" style="33" customWidth="1"/>
    <col min="3" max="3" width="45.140625" style="33" customWidth="1"/>
    <col min="4" max="4" width="12.7109375" style="33" customWidth="1"/>
    <col min="5" max="5" width="15.5703125" style="33" customWidth="1"/>
    <col min="6" max="6" width="11.8554687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383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SUM(D13+D17+D19)</f>
        <v>18815</v>
      </c>
      <c r="E12" s="104">
        <f>SUM(E13+E17+E19)</f>
        <v>13531.5</v>
      </c>
      <c r="F12" s="104">
        <f>SUM(F13+F17+F19)</f>
        <v>32346.5</v>
      </c>
    </row>
    <row r="13" spans="2:6" x14ac:dyDescent="0.25">
      <c r="B13" s="85">
        <v>511</v>
      </c>
      <c r="C13" s="118" t="s">
        <v>249</v>
      </c>
      <c r="D13" s="106">
        <f>SUM(D14:D16)</f>
        <v>16670</v>
      </c>
      <c r="E13" s="106">
        <f t="shared" ref="E13" si="0">SUM(E14:E16)</f>
        <v>11640</v>
      </c>
      <c r="F13" s="106">
        <f>SUM(F14:F16)</f>
        <v>28310</v>
      </c>
    </row>
    <row r="14" spans="2:6" x14ac:dyDescent="0.25">
      <c r="B14" s="88">
        <v>51101</v>
      </c>
      <c r="C14" s="107" t="s">
        <v>250</v>
      </c>
      <c r="D14" s="108">
        <f>+'MEDIO AMBIENTE'!D14+'GESTION DE RIESGO'!D14</f>
        <v>13200</v>
      </c>
      <c r="E14" s="108">
        <f>+'MEDIO AMBIENTE'!E14+'GESTION DE RIESGO'!E14</f>
        <v>11640</v>
      </c>
      <c r="F14" s="108">
        <f>SUM(D14:E14)</f>
        <v>24840</v>
      </c>
    </row>
    <row r="15" spans="2:6" x14ac:dyDescent="0.25">
      <c r="B15" s="88">
        <v>51103</v>
      </c>
      <c r="C15" s="109" t="s">
        <v>251</v>
      </c>
      <c r="D15" s="108">
        <f>+'MEDIO AMBIENTE'!D15+'GESTION DE RIESGO'!D15</f>
        <v>1970</v>
      </c>
      <c r="E15" s="108">
        <f>+'MEDIO AMBIENTE'!E15+'GESTION DE RIESGO'!E15</f>
        <v>0</v>
      </c>
      <c r="F15" s="108">
        <f>SUM(D15:E15)</f>
        <v>1970</v>
      </c>
    </row>
    <row r="16" spans="2:6" x14ac:dyDescent="0.25">
      <c r="B16" s="88">
        <v>51107</v>
      </c>
      <c r="C16" s="148" t="s">
        <v>253</v>
      </c>
      <c r="D16" s="108">
        <f>+'GESTION DE RIESGO'!D16</f>
        <v>1500</v>
      </c>
      <c r="E16" s="108">
        <f>+'GESTION DE RIESGO'!E16</f>
        <v>0</v>
      </c>
      <c r="F16" s="108">
        <f>SUM(D16:E16)</f>
        <v>1500</v>
      </c>
    </row>
    <row r="17" spans="2:6" x14ac:dyDescent="0.25">
      <c r="B17" s="85">
        <v>514</v>
      </c>
      <c r="C17" s="110" t="s">
        <v>254</v>
      </c>
      <c r="D17" s="106">
        <f>SUM(D18)</f>
        <v>1122</v>
      </c>
      <c r="E17" s="106">
        <f t="shared" ref="E17:F17" si="1">SUM(E18)</f>
        <v>989.4</v>
      </c>
      <c r="F17" s="106">
        <f t="shared" si="1"/>
        <v>2111.4</v>
      </c>
    </row>
    <row r="18" spans="2:6" x14ac:dyDescent="0.25">
      <c r="B18" s="94">
        <v>51401</v>
      </c>
      <c r="C18" s="109" t="s">
        <v>255</v>
      </c>
      <c r="D18" s="108">
        <f>+'MEDIO AMBIENTE'!D17+'GESTION DE RIESGO'!D18</f>
        <v>1122</v>
      </c>
      <c r="E18" s="108">
        <f>+'MEDIO AMBIENTE'!E17+'GESTION DE RIESGO'!E18</f>
        <v>989.4</v>
      </c>
      <c r="F18" s="108">
        <f>SUM(D18:E18)</f>
        <v>2111.4</v>
      </c>
    </row>
    <row r="19" spans="2:6" x14ac:dyDescent="0.25">
      <c r="B19" s="85">
        <v>515</v>
      </c>
      <c r="C19" s="111" t="s">
        <v>256</v>
      </c>
      <c r="D19" s="106">
        <f>SUM(D20:D20)</f>
        <v>1023</v>
      </c>
      <c r="E19" s="106">
        <f>SUM(E20:E20)</f>
        <v>902.1</v>
      </c>
      <c r="F19" s="106">
        <f>SUM(F20:F20)</f>
        <v>1925.1</v>
      </c>
    </row>
    <row r="20" spans="2:6" x14ac:dyDescent="0.25">
      <c r="B20" s="94">
        <v>51501</v>
      </c>
      <c r="C20" s="109" t="s">
        <v>255</v>
      </c>
      <c r="D20" s="108">
        <f>+'MEDIO AMBIENTE'!D19+'GESTION DE RIESGO'!D20</f>
        <v>1023</v>
      </c>
      <c r="E20" s="108">
        <f>+'MEDIO AMBIENTE'!E19+'GESTION DE RIESGO'!E20</f>
        <v>902.1</v>
      </c>
      <c r="F20" s="108">
        <f>SUM(D20:E20)</f>
        <v>1925.1</v>
      </c>
    </row>
    <row r="21" spans="2:6" x14ac:dyDescent="0.25">
      <c r="B21" s="85">
        <v>54</v>
      </c>
      <c r="C21" s="111" t="s">
        <v>301</v>
      </c>
      <c r="D21" s="106">
        <f>SUM(D22+D36+D40+D42)</f>
        <v>14347.68</v>
      </c>
      <c r="E21" s="106">
        <f>SUM(E22+E36+E42)</f>
        <v>5987.9699999999993</v>
      </c>
      <c r="F21" s="106">
        <f>SUM(F22+F36+F40+F42)</f>
        <v>20335.650000000001</v>
      </c>
    </row>
    <row r="22" spans="2:6" x14ac:dyDescent="0.25">
      <c r="B22" s="85">
        <v>541</v>
      </c>
      <c r="C22" s="111" t="s">
        <v>302</v>
      </c>
      <c r="D22" s="106">
        <f>SUM(D23:D35)</f>
        <v>9797.68</v>
      </c>
      <c r="E22" s="106">
        <f>SUM(E23:E35)</f>
        <v>3554.16</v>
      </c>
      <c r="F22" s="106">
        <f>SUM(F23:F35)</f>
        <v>13351.84</v>
      </c>
    </row>
    <row r="23" spans="2:6" x14ac:dyDescent="0.25">
      <c r="B23" s="94">
        <v>54101</v>
      </c>
      <c r="C23" s="109" t="s">
        <v>307</v>
      </c>
      <c r="D23" s="108">
        <f>+'MEDIO AMBIENTE'!D22+'GESTION DE RIESGO'!D23</f>
        <v>1800</v>
      </c>
      <c r="E23" s="108">
        <f>+'MEDIO AMBIENTE'!E22+'GESTION DE RIESGO'!E23</f>
        <v>561</v>
      </c>
      <c r="F23" s="108">
        <f t="shared" ref="F23:F35" si="2">SUM(D23:E23)</f>
        <v>2361</v>
      </c>
    </row>
    <row r="24" spans="2:6" x14ac:dyDescent="0.25">
      <c r="B24" s="94">
        <v>54102</v>
      </c>
      <c r="C24" s="109" t="s">
        <v>384</v>
      </c>
      <c r="D24" s="108">
        <f>+'MEDIO AMBIENTE'!D23</f>
        <v>300</v>
      </c>
      <c r="E24" s="108">
        <f>+'MEDIO AMBIENTE'!E23</f>
        <v>0</v>
      </c>
      <c r="F24" s="108">
        <f>+D24</f>
        <v>300</v>
      </c>
    </row>
    <row r="25" spans="2:6" x14ac:dyDescent="0.25">
      <c r="B25" s="94">
        <v>54103</v>
      </c>
      <c r="C25" s="109" t="s">
        <v>262</v>
      </c>
      <c r="D25" s="108">
        <f>+'MEDIO AMBIENTE'!D24</f>
        <v>300</v>
      </c>
      <c r="E25" s="108">
        <f>+'MEDIO AMBIENTE'!E24</f>
        <v>750</v>
      </c>
      <c r="F25" s="108">
        <f t="shared" ref="F25" si="3">SUM(D25:E25)</f>
        <v>1050</v>
      </c>
    </row>
    <row r="26" spans="2:6" x14ac:dyDescent="0.25">
      <c r="B26" s="94">
        <v>54104</v>
      </c>
      <c r="C26" s="109" t="s">
        <v>263</v>
      </c>
      <c r="D26" s="108">
        <f>+'GESTION DE RIESGO'!D24</f>
        <v>1000</v>
      </c>
      <c r="E26" s="108">
        <f>+'GESTION DE RIESGO'!E24</f>
        <v>0</v>
      </c>
      <c r="F26" s="108">
        <f t="shared" si="2"/>
        <v>1000</v>
      </c>
    </row>
    <row r="27" spans="2:6" x14ac:dyDescent="0.25">
      <c r="B27" s="94">
        <v>54105</v>
      </c>
      <c r="C27" s="109" t="s">
        <v>264</v>
      </c>
      <c r="D27" s="108">
        <f>+'MEDIO AMBIENTE'!D25+'GESTION DE RIESGO'!D25</f>
        <v>344</v>
      </c>
      <c r="E27" s="108">
        <f>+'MEDIO AMBIENTE'!E25+'GESTION DE RIESGO'!E25</f>
        <v>0</v>
      </c>
      <c r="F27" s="108">
        <f t="shared" si="2"/>
        <v>344</v>
      </c>
    </row>
    <row r="28" spans="2:6" x14ac:dyDescent="0.25">
      <c r="B28" s="94">
        <v>54106</v>
      </c>
      <c r="C28" s="109" t="s">
        <v>265</v>
      </c>
      <c r="D28" s="108">
        <f>+'MEDIO AMBIENTE'!D26+'GESTION DE RIESGO'!D26</f>
        <v>341.5</v>
      </c>
      <c r="E28" s="108">
        <f>+'MEDIO AMBIENTE'!E26+'GESTION DE RIESGO'!E26</f>
        <v>0</v>
      </c>
      <c r="F28" s="108">
        <f t="shared" si="2"/>
        <v>341.5</v>
      </c>
    </row>
    <row r="29" spans="2:6" x14ac:dyDescent="0.25">
      <c r="B29" s="94">
        <v>54107</v>
      </c>
      <c r="C29" s="109" t="s">
        <v>335</v>
      </c>
      <c r="D29" s="108">
        <f>+'MEDIO AMBIENTE'!D27+'GESTION DE RIESGO'!D27</f>
        <v>2000</v>
      </c>
      <c r="E29" s="108">
        <f>+'MEDIO AMBIENTE'!E27+'GESTION DE RIESGO'!E27</f>
        <v>1243.1600000000001</v>
      </c>
      <c r="F29" s="108">
        <f t="shared" si="2"/>
        <v>3243.16</v>
      </c>
    </row>
    <row r="30" spans="2:6" x14ac:dyDescent="0.25">
      <c r="B30" s="94">
        <v>54109</v>
      </c>
      <c r="C30" s="109" t="s">
        <v>309</v>
      </c>
      <c r="D30" s="108">
        <f>+'GESTION DE RIESGO'!D28</f>
        <v>500</v>
      </c>
      <c r="E30" s="108">
        <f>+'GESTION DE RIESGO'!E28</f>
        <v>0</v>
      </c>
      <c r="F30" s="108">
        <f t="shared" si="2"/>
        <v>500</v>
      </c>
    </row>
    <row r="31" spans="2:6" x14ac:dyDescent="0.25">
      <c r="B31" s="94">
        <v>54110</v>
      </c>
      <c r="C31" s="109" t="s">
        <v>351</v>
      </c>
      <c r="D31" s="108">
        <f>+'GESTION DE RIESGO'!D29</f>
        <v>2000</v>
      </c>
      <c r="E31" s="108">
        <f>+'GESTION DE RIESGO'!E29</f>
        <v>1000</v>
      </c>
      <c r="F31" s="108">
        <f t="shared" si="2"/>
        <v>3000</v>
      </c>
    </row>
    <row r="32" spans="2:6" x14ac:dyDescent="0.25">
      <c r="B32" s="94">
        <v>54114</v>
      </c>
      <c r="C32" s="109" t="s">
        <v>268</v>
      </c>
      <c r="D32" s="108">
        <f>+'MEDIO AMBIENTE'!D28+'GESTION DE RIESGO'!D30</f>
        <v>192.18</v>
      </c>
      <c r="E32" s="108">
        <f>+'MEDIO AMBIENTE'!E28+'GESTION DE RIESGO'!E30</f>
        <v>0</v>
      </c>
      <c r="F32" s="108">
        <f t="shared" si="2"/>
        <v>192.18</v>
      </c>
    </row>
    <row r="33" spans="2:6" x14ac:dyDescent="0.25">
      <c r="B33" s="94">
        <v>54115</v>
      </c>
      <c r="C33" s="109" t="s">
        <v>269</v>
      </c>
      <c r="D33" s="108">
        <f>+'GESTION DE RIESGO'!D31</f>
        <v>120</v>
      </c>
      <c r="E33" s="108">
        <f>+'GESTION DE RIESGO'!E31</f>
        <v>0</v>
      </c>
      <c r="F33" s="108">
        <f t="shared" si="2"/>
        <v>120</v>
      </c>
    </row>
    <row r="34" spans="2:6" x14ac:dyDescent="0.25">
      <c r="B34" s="94">
        <v>54118</v>
      </c>
      <c r="C34" s="109" t="s">
        <v>310</v>
      </c>
      <c r="D34" s="108">
        <f>+'MEDIO AMBIENTE'!D29+'GESTION DE RIESGO'!D32</f>
        <v>800</v>
      </c>
      <c r="E34" s="108">
        <f>+'MEDIO AMBIENTE'!E29+'GESTION DE RIESGO'!E32</f>
        <v>0</v>
      </c>
      <c r="F34" s="108">
        <f t="shared" si="2"/>
        <v>800</v>
      </c>
    </row>
    <row r="35" spans="2:6" x14ac:dyDescent="0.25">
      <c r="B35" s="94">
        <v>54199</v>
      </c>
      <c r="C35" s="109" t="s">
        <v>385</v>
      </c>
      <c r="D35" s="108">
        <f>+'GESTION DE RIESGO'!D33</f>
        <v>100</v>
      </c>
      <c r="E35" s="108">
        <f>+'GESTION DE RIESGO'!E33</f>
        <v>0</v>
      </c>
      <c r="F35" s="108">
        <f t="shared" si="2"/>
        <v>100</v>
      </c>
    </row>
    <row r="36" spans="2:6" x14ac:dyDescent="0.25">
      <c r="B36" s="85">
        <v>543</v>
      </c>
      <c r="C36" s="111" t="s">
        <v>272</v>
      </c>
      <c r="D36" s="106">
        <f>SUM(D37:D39)</f>
        <v>3900</v>
      </c>
      <c r="E36" s="106">
        <f>SUM(E37:E39)</f>
        <v>2433.81</v>
      </c>
      <c r="F36" s="106">
        <f>SUM(F37:F39)</f>
        <v>6333.8099999999995</v>
      </c>
    </row>
    <row r="37" spans="2:6" x14ac:dyDescent="0.25">
      <c r="B37" s="94">
        <v>54302</v>
      </c>
      <c r="C37" s="109" t="s">
        <v>386</v>
      </c>
      <c r="D37" s="108">
        <f>+'GESTION DE RIESGO'!D35</f>
        <v>3500</v>
      </c>
      <c r="E37" s="108">
        <f>+'GESTION DE RIESGO'!E35</f>
        <v>2233.81</v>
      </c>
      <c r="F37" s="108">
        <f>SUM(D37:E37)</f>
        <v>5733.8099999999995</v>
      </c>
    </row>
    <row r="38" spans="2:6" x14ac:dyDescent="0.25">
      <c r="B38" s="94">
        <v>54304</v>
      </c>
      <c r="C38" s="109" t="s">
        <v>382</v>
      </c>
      <c r="D38" s="108">
        <f>+'MEDIO AMBIENTE'!D31</f>
        <v>400</v>
      </c>
      <c r="E38" s="108">
        <f>+'MEDIO AMBIENTE'!E31</f>
        <v>0</v>
      </c>
      <c r="F38" s="108">
        <f>+D38</f>
        <v>400</v>
      </c>
    </row>
    <row r="39" spans="2:6" x14ac:dyDescent="0.25">
      <c r="B39" s="94">
        <v>54313</v>
      </c>
      <c r="C39" s="109" t="s">
        <v>276</v>
      </c>
      <c r="D39" s="108">
        <f>+'MEDIO AMBIENTE'!D32</f>
        <v>0</v>
      </c>
      <c r="E39" s="108">
        <f>+'MEDIO AMBIENTE'!E32</f>
        <v>200</v>
      </c>
      <c r="F39" s="108">
        <f>SUM(D39:E39)</f>
        <v>200</v>
      </c>
    </row>
    <row r="40" spans="2:6" x14ac:dyDescent="0.25">
      <c r="B40" s="85">
        <v>544</v>
      </c>
      <c r="C40" s="111" t="s">
        <v>279</v>
      </c>
      <c r="D40" s="106">
        <f>SUM(D41)</f>
        <v>50</v>
      </c>
      <c r="E40" s="106">
        <f t="shared" ref="E40:F40" si="4">SUM(E41)</f>
        <v>0</v>
      </c>
      <c r="F40" s="106">
        <f t="shared" si="4"/>
        <v>50</v>
      </c>
    </row>
    <row r="41" spans="2:6" x14ac:dyDescent="0.25">
      <c r="B41" s="94">
        <v>54401</v>
      </c>
      <c r="C41" s="109" t="s">
        <v>280</v>
      </c>
      <c r="D41" s="108">
        <f>+'MEDIO AMBIENTE'!D34</f>
        <v>50</v>
      </c>
      <c r="E41" s="108">
        <f>+'MEDIO AMBIENTE'!E34</f>
        <v>0</v>
      </c>
      <c r="F41" s="108">
        <f>SUM(D41:E41)</f>
        <v>50</v>
      </c>
    </row>
    <row r="42" spans="2:6" x14ac:dyDescent="0.25">
      <c r="B42" s="85">
        <v>545</v>
      </c>
      <c r="C42" s="111" t="s">
        <v>323</v>
      </c>
      <c r="D42" s="106">
        <f>SUM(D43)</f>
        <v>600</v>
      </c>
      <c r="E42" s="106">
        <f t="shared" ref="E42:F42" si="5">SUM(E43)</f>
        <v>0</v>
      </c>
      <c r="F42" s="106">
        <f t="shared" si="5"/>
        <v>600</v>
      </c>
    </row>
    <row r="43" spans="2:6" x14ac:dyDescent="0.25">
      <c r="B43" s="94">
        <v>54505</v>
      </c>
      <c r="C43" s="109" t="s">
        <v>387</v>
      </c>
      <c r="D43" s="108">
        <f>+'GESTION DE RIESGO'!D37</f>
        <v>600</v>
      </c>
      <c r="E43" s="108">
        <f>+'GESTION DE RIESGO'!E37</f>
        <v>0</v>
      </c>
      <c r="F43" s="108">
        <f>SUM(D43:E43)</f>
        <v>600</v>
      </c>
    </row>
    <row r="44" spans="2:6" x14ac:dyDescent="0.25">
      <c r="B44" s="85">
        <v>61</v>
      </c>
      <c r="C44" s="111" t="s">
        <v>295</v>
      </c>
      <c r="D44" s="106">
        <f>SUM(D45)</f>
        <v>150</v>
      </c>
      <c r="E44" s="106">
        <f t="shared" ref="E44:F44" si="6">SUM(E45)</f>
        <v>0</v>
      </c>
      <c r="F44" s="106">
        <f t="shared" si="6"/>
        <v>150</v>
      </c>
    </row>
    <row r="45" spans="2:6" x14ac:dyDescent="0.25">
      <c r="B45" s="85">
        <v>611</v>
      </c>
      <c r="C45" s="111" t="s">
        <v>296</v>
      </c>
      <c r="D45" s="106">
        <f>SUM(D46:D46)</f>
        <v>150</v>
      </c>
      <c r="E45" s="106">
        <f>SUM(E46:E46)</f>
        <v>0</v>
      </c>
      <c r="F45" s="106">
        <f>SUM(F46:F46)</f>
        <v>150</v>
      </c>
    </row>
    <row r="46" spans="2:6" x14ac:dyDescent="0.25">
      <c r="B46" s="94">
        <v>61101</v>
      </c>
      <c r="C46" s="109" t="s">
        <v>297</v>
      </c>
      <c r="D46" s="108">
        <f>+'MEDIO AMBIENTE'!D37</f>
        <v>150</v>
      </c>
      <c r="E46" s="108">
        <f>+'MEDIO AMBIENTE'!E37</f>
        <v>0</v>
      </c>
      <c r="F46" s="108">
        <f>SUM(D46:E46)</f>
        <v>150</v>
      </c>
    </row>
    <row r="47" spans="2:6" x14ac:dyDescent="0.25">
      <c r="B47" s="94"/>
      <c r="C47" s="109"/>
      <c r="D47" s="108"/>
      <c r="E47" s="108"/>
      <c r="F47" s="108"/>
    </row>
    <row r="48" spans="2:6" x14ac:dyDescent="0.25">
      <c r="B48" s="94"/>
      <c r="C48" s="111" t="s">
        <v>75</v>
      </c>
      <c r="D48" s="106">
        <f>SUM(D12+D21+D44)</f>
        <v>33312.68</v>
      </c>
      <c r="E48" s="106">
        <f>SUM(E12+E21)</f>
        <v>19519.47</v>
      </c>
      <c r="F48" s="106">
        <f>SUM(D48:E48)</f>
        <v>52832.15</v>
      </c>
    </row>
    <row r="49" spans="2:6" x14ac:dyDescent="0.25">
      <c r="B49" s="94"/>
      <c r="C49" s="109"/>
      <c r="D49" s="108"/>
      <c r="E49" s="108"/>
      <c r="F49" s="108"/>
    </row>
    <row r="50" spans="2:6" x14ac:dyDescent="0.25">
      <c r="B50" s="85"/>
      <c r="C50" s="111" t="s">
        <v>65</v>
      </c>
      <c r="D50" s="106">
        <f>SUM(D12+D21+D44)</f>
        <v>33312.68</v>
      </c>
      <c r="E50" s="106">
        <f>SUM(E12+E21)</f>
        <v>19519.47</v>
      </c>
      <c r="F50" s="106">
        <f>SUM(F12+F21+F44)</f>
        <v>52832.15</v>
      </c>
    </row>
    <row r="51" spans="2:6" x14ac:dyDescent="0.25">
      <c r="B51" s="85"/>
      <c r="C51" s="111" t="s">
        <v>66</v>
      </c>
      <c r="D51" s="106">
        <f>SUM(D13+D17+D19+D22+D36+D40+D42+D45)</f>
        <v>33312.68</v>
      </c>
      <c r="E51" s="106">
        <f>SUM(E13+E17+E19+E22+E36+E42)</f>
        <v>19519.47</v>
      </c>
      <c r="F51" s="106">
        <f>SUM(F13+F17+F19+F22+F36+F40+F42+F45)</f>
        <v>52832.149999999994</v>
      </c>
    </row>
    <row r="52" spans="2:6" x14ac:dyDescent="0.25">
      <c r="B52" s="85"/>
      <c r="C52" s="111" t="s">
        <v>67</v>
      </c>
      <c r="D52" s="106">
        <f>SUM(D14+D15+D16+D18+D20+D23+D24+D25+D26+D27+D28+D29+D30+D31+D32+D33+D34+D35+D37+D38+D39+D41+D43+D46)</f>
        <v>33312.68</v>
      </c>
      <c r="E52" s="106">
        <f>SUM(E14+E15+E16+E18+E20+E23+E24+E25+E26+E27+E28+E29+E30+E31+E32+E33+E34+E35+E37+E38+E39+E41+E43+E46)</f>
        <v>19519.47</v>
      </c>
      <c r="F52" s="106">
        <f>SUM(F14+F15+F16+F18+F20+F23+F24+F25+F26+F27+F28+F29+F30+F31+F32+F33+F34+F35+F37+F38+F39+F41+F43+F46)</f>
        <v>52832.15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F43"/>
  <sheetViews>
    <sheetView workbookViewId="0">
      <pane ySplit="11" topLeftCell="A12" activePane="bottomLeft" state="frozen"/>
      <selection pane="bottomLeft" activeCell="J11" sqref="J11"/>
    </sheetView>
  </sheetViews>
  <sheetFormatPr baseColWidth="10" defaultRowHeight="15" x14ac:dyDescent="0.25"/>
  <cols>
    <col min="1" max="1" width="3.140625" style="33" customWidth="1"/>
    <col min="2" max="2" width="6.7109375" style="33" customWidth="1"/>
    <col min="3" max="3" width="40.7109375" style="33" customWidth="1"/>
    <col min="4" max="4" width="13.85546875" style="33" customWidth="1"/>
    <col min="5" max="5" width="16.42578125" style="33" customWidth="1"/>
    <col min="6" max="6" width="13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173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7795</v>
      </c>
      <c r="E12" s="104">
        <f>SUM(E13+E16+E18)</f>
        <v>5161.5</v>
      </c>
      <c r="F12" s="104">
        <f>SUM(F13+F16+F18)</f>
        <v>12956.5</v>
      </c>
    </row>
    <row r="13" spans="2:6" x14ac:dyDescent="0.25">
      <c r="B13" s="85">
        <v>511</v>
      </c>
      <c r="C13" s="118" t="s">
        <v>249</v>
      </c>
      <c r="D13" s="106">
        <f>SUM(D14:D15)</f>
        <v>6820</v>
      </c>
      <c r="E13" s="106">
        <f>SUM(E14:E15)</f>
        <v>4440</v>
      </c>
      <c r="F13" s="106">
        <f>SUM(F14:F15)</f>
        <v>11260</v>
      </c>
    </row>
    <row r="14" spans="2:6" x14ac:dyDescent="0.25">
      <c r="B14" s="88">
        <v>51101</v>
      </c>
      <c r="C14" s="107" t="s">
        <v>250</v>
      </c>
      <c r="D14" s="108">
        <v>6000</v>
      </c>
      <c r="E14" s="108">
        <v>4440</v>
      </c>
      <c r="F14" s="108">
        <f>SUM(D14:E14)</f>
        <v>10440</v>
      </c>
    </row>
    <row r="15" spans="2:6" x14ac:dyDescent="0.25">
      <c r="B15" s="88">
        <v>51103</v>
      </c>
      <c r="C15" s="109" t="s">
        <v>251</v>
      </c>
      <c r="D15" s="108">
        <v>820</v>
      </c>
      <c r="E15" s="108">
        <v>0</v>
      </c>
      <c r="F15" s="108">
        <f>SUM(D15:E15)</f>
        <v>820</v>
      </c>
    </row>
    <row r="16" spans="2:6" x14ac:dyDescent="0.25">
      <c r="B16" s="85">
        <v>514</v>
      </c>
      <c r="C16" s="110" t="s">
        <v>254</v>
      </c>
      <c r="D16" s="106">
        <f>SUM(D17)</f>
        <v>510</v>
      </c>
      <c r="E16" s="106">
        <f t="shared" ref="E16:F16" si="0">SUM(E17)</f>
        <v>377.4</v>
      </c>
      <c r="F16" s="106">
        <f t="shared" si="0"/>
        <v>887.4</v>
      </c>
    </row>
    <row r="17" spans="2:6" x14ac:dyDescent="0.25">
      <c r="B17" s="94">
        <v>51401</v>
      </c>
      <c r="C17" s="109" t="s">
        <v>255</v>
      </c>
      <c r="D17" s="108">
        <v>510</v>
      </c>
      <c r="E17" s="108">
        <v>377.4</v>
      </c>
      <c r="F17" s="108">
        <f>SUM(D17:E17)</f>
        <v>887.4</v>
      </c>
    </row>
    <row r="18" spans="2:6" x14ac:dyDescent="0.25">
      <c r="B18" s="85">
        <v>515</v>
      </c>
      <c r="C18" s="111" t="s">
        <v>256</v>
      </c>
      <c r="D18" s="106">
        <f>SUM(D19:D19)</f>
        <v>465</v>
      </c>
      <c r="E18" s="106">
        <f>SUM(E19:E19)</f>
        <v>344.1</v>
      </c>
      <c r="F18" s="106">
        <f>SUM(F19:F19)</f>
        <v>809.1</v>
      </c>
    </row>
    <row r="19" spans="2:6" x14ac:dyDescent="0.25">
      <c r="B19" s="94">
        <v>51501</v>
      </c>
      <c r="C19" s="109" t="s">
        <v>255</v>
      </c>
      <c r="D19" s="108">
        <v>465</v>
      </c>
      <c r="E19" s="108">
        <v>344.1</v>
      </c>
      <c r="F19" s="108">
        <f>SUM(D19:E19)</f>
        <v>809.1</v>
      </c>
    </row>
    <row r="20" spans="2:6" x14ac:dyDescent="0.25">
      <c r="B20" s="85">
        <v>54</v>
      </c>
      <c r="C20" s="111" t="s">
        <v>301</v>
      </c>
      <c r="D20" s="106">
        <f>SUM(D21+D30+D33)</f>
        <v>2374</v>
      </c>
      <c r="E20" s="106">
        <f>SUM(E21+E30+E33)</f>
        <v>1761</v>
      </c>
      <c r="F20" s="106">
        <f>SUM(F21+F30+F33)</f>
        <v>4135</v>
      </c>
    </row>
    <row r="21" spans="2:6" x14ac:dyDescent="0.25">
      <c r="B21" s="85">
        <v>541</v>
      </c>
      <c r="C21" s="111" t="s">
        <v>302</v>
      </c>
      <c r="D21" s="106">
        <f>SUM(D22:D29)</f>
        <v>1924</v>
      </c>
      <c r="E21" s="106">
        <f>SUM(E22:E29)</f>
        <v>1561</v>
      </c>
      <c r="F21" s="106">
        <f>SUM(F22:F29)</f>
        <v>3485</v>
      </c>
    </row>
    <row r="22" spans="2:6" x14ac:dyDescent="0.25">
      <c r="B22" s="94">
        <v>54101</v>
      </c>
      <c r="C22" s="109" t="s">
        <v>261</v>
      </c>
      <c r="D22" s="117">
        <v>300</v>
      </c>
      <c r="E22" s="108">
        <v>61</v>
      </c>
      <c r="F22" s="108">
        <f>SUM(D22:E22)</f>
        <v>361</v>
      </c>
    </row>
    <row r="23" spans="2:6" x14ac:dyDescent="0.25">
      <c r="B23" s="94">
        <v>54102</v>
      </c>
      <c r="C23" s="109" t="s">
        <v>384</v>
      </c>
      <c r="D23" s="117">
        <v>300</v>
      </c>
      <c r="E23" s="108">
        <v>0</v>
      </c>
      <c r="F23" s="108">
        <f>+D23</f>
        <v>300</v>
      </c>
    </row>
    <row r="24" spans="2:6" x14ac:dyDescent="0.25">
      <c r="B24" s="94">
        <v>54103</v>
      </c>
      <c r="C24" s="109" t="s">
        <v>262</v>
      </c>
      <c r="D24" s="117">
        <v>300</v>
      </c>
      <c r="E24" s="108">
        <v>750</v>
      </c>
      <c r="F24" s="108">
        <f t="shared" ref="F24:F29" si="1">SUM(D24:E24)</f>
        <v>1050</v>
      </c>
    </row>
    <row r="25" spans="2:6" x14ac:dyDescent="0.25">
      <c r="B25" s="94">
        <v>54105</v>
      </c>
      <c r="C25" s="109" t="s">
        <v>264</v>
      </c>
      <c r="D25" s="108">
        <v>124</v>
      </c>
      <c r="E25" s="108">
        <v>0</v>
      </c>
      <c r="F25" s="108">
        <f t="shared" si="1"/>
        <v>124</v>
      </c>
    </row>
    <row r="26" spans="2:6" x14ac:dyDescent="0.25">
      <c r="B26" s="94">
        <v>54106</v>
      </c>
      <c r="C26" s="109" t="s">
        <v>265</v>
      </c>
      <c r="D26" s="108">
        <v>50</v>
      </c>
      <c r="E26" s="108">
        <v>0</v>
      </c>
      <c r="F26" s="108">
        <f t="shared" si="1"/>
        <v>50</v>
      </c>
    </row>
    <row r="27" spans="2:6" x14ac:dyDescent="0.25">
      <c r="B27" s="94">
        <v>54107</v>
      </c>
      <c r="C27" s="109" t="s">
        <v>335</v>
      </c>
      <c r="D27" s="108">
        <v>500</v>
      </c>
      <c r="E27" s="108">
        <v>750</v>
      </c>
      <c r="F27" s="108">
        <f t="shared" si="1"/>
        <v>1250</v>
      </c>
    </row>
    <row r="28" spans="2:6" x14ac:dyDescent="0.25">
      <c r="B28" s="94">
        <v>54114</v>
      </c>
      <c r="C28" s="109" t="s">
        <v>268</v>
      </c>
      <c r="D28" s="108">
        <v>50</v>
      </c>
      <c r="E28" s="108">
        <v>0</v>
      </c>
      <c r="F28" s="108">
        <f t="shared" si="1"/>
        <v>50</v>
      </c>
    </row>
    <row r="29" spans="2:6" x14ac:dyDescent="0.25">
      <c r="B29" s="94">
        <v>54118</v>
      </c>
      <c r="C29" s="109" t="s">
        <v>340</v>
      </c>
      <c r="D29" s="108">
        <v>300</v>
      </c>
      <c r="E29" s="108">
        <v>0</v>
      </c>
      <c r="F29" s="108">
        <f t="shared" si="1"/>
        <v>300</v>
      </c>
    </row>
    <row r="30" spans="2:6" x14ac:dyDescent="0.25">
      <c r="B30" s="85">
        <v>543</v>
      </c>
      <c r="C30" s="111" t="s">
        <v>272</v>
      </c>
      <c r="D30" s="106">
        <f>SUM(D31:D32)</f>
        <v>400</v>
      </c>
      <c r="E30" s="106">
        <f>SUM(E31:E32)</f>
        <v>200</v>
      </c>
      <c r="F30" s="106">
        <f>SUM(F31:F32)</f>
        <v>600</v>
      </c>
    </row>
    <row r="31" spans="2:6" x14ac:dyDescent="0.25">
      <c r="B31" s="94">
        <v>54304</v>
      </c>
      <c r="C31" s="109" t="s">
        <v>382</v>
      </c>
      <c r="D31" s="108">
        <v>400</v>
      </c>
      <c r="E31" s="106">
        <v>0</v>
      </c>
      <c r="F31" s="108">
        <f>+D31</f>
        <v>400</v>
      </c>
    </row>
    <row r="32" spans="2:6" x14ac:dyDescent="0.25">
      <c r="B32" s="94">
        <v>54313</v>
      </c>
      <c r="C32" s="109" t="s">
        <v>276</v>
      </c>
      <c r="D32" s="108">
        <v>0</v>
      </c>
      <c r="E32" s="108">
        <v>200</v>
      </c>
      <c r="F32" s="108">
        <f>SUM(D32:E32)</f>
        <v>200</v>
      </c>
    </row>
    <row r="33" spans="2:6" x14ac:dyDescent="0.25">
      <c r="B33" s="85">
        <v>544</v>
      </c>
      <c r="C33" s="111" t="s">
        <v>279</v>
      </c>
      <c r="D33" s="106">
        <f>SUM(D34)</f>
        <v>50</v>
      </c>
      <c r="E33" s="106">
        <f t="shared" ref="E33:F33" si="2">SUM(E34)</f>
        <v>0</v>
      </c>
      <c r="F33" s="106">
        <f t="shared" si="2"/>
        <v>50</v>
      </c>
    </row>
    <row r="34" spans="2:6" x14ac:dyDescent="0.25">
      <c r="B34" s="94">
        <v>54401</v>
      </c>
      <c r="C34" s="109" t="s">
        <v>280</v>
      </c>
      <c r="D34" s="108">
        <v>50</v>
      </c>
      <c r="E34" s="108">
        <v>0</v>
      </c>
      <c r="F34" s="108">
        <f>SUM(D34:E34)</f>
        <v>50</v>
      </c>
    </row>
    <row r="35" spans="2:6" x14ac:dyDescent="0.25">
      <c r="B35" s="85">
        <v>61</v>
      </c>
      <c r="C35" s="111" t="s">
        <v>295</v>
      </c>
      <c r="D35" s="106">
        <f>SUM(D36)</f>
        <v>150</v>
      </c>
      <c r="E35" s="106">
        <f t="shared" ref="E35:F35" si="3">SUM(E36)</f>
        <v>0</v>
      </c>
      <c r="F35" s="106">
        <f t="shared" si="3"/>
        <v>150</v>
      </c>
    </row>
    <row r="36" spans="2:6" x14ac:dyDescent="0.25">
      <c r="B36" s="85">
        <v>611</v>
      </c>
      <c r="C36" s="111" t="s">
        <v>296</v>
      </c>
      <c r="D36" s="106">
        <f>SUM(D37:D37)</f>
        <v>150</v>
      </c>
      <c r="E36" s="106">
        <f>SUM(E37:E37)</f>
        <v>0</v>
      </c>
      <c r="F36" s="106">
        <f>SUM(F37:F37)</f>
        <v>150</v>
      </c>
    </row>
    <row r="37" spans="2:6" x14ac:dyDescent="0.25">
      <c r="B37" s="94">
        <v>61101</v>
      </c>
      <c r="C37" s="109" t="s">
        <v>297</v>
      </c>
      <c r="D37" s="108">
        <v>150</v>
      </c>
      <c r="E37" s="108">
        <v>0</v>
      </c>
      <c r="F37" s="108">
        <f>SUM(D37:E37)</f>
        <v>150</v>
      </c>
    </row>
    <row r="38" spans="2:6" x14ac:dyDescent="0.25">
      <c r="B38" s="94"/>
      <c r="C38" s="109"/>
      <c r="D38" s="108"/>
      <c r="E38" s="108"/>
      <c r="F38" s="108"/>
    </row>
    <row r="39" spans="2:6" x14ac:dyDescent="0.25">
      <c r="B39" s="94"/>
      <c r="C39" s="111" t="s">
        <v>75</v>
      </c>
      <c r="D39" s="106">
        <f>SUM(D12+D20+D35)</f>
        <v>10319</v>
      </c>
      <c r="E39" s="106">
        <f>SUM(E12+E20+E35)</f>
        <v>6922.5</v>
      </c>
      <c r="F39" s="106">
        <f>SUM(D39:E39)</f>
        <v>17241.5</v>
      </c>
    </row>
    <row r="40" spans="2:6" x14ac:dyDescent="0.25">
      <c r="B40" s="94"/>
      <c r="C40" s="109"/>
      <c r="D40" s="108"/>
      <c r="E40" s="108"/>
      <c r="F40" s="108"/>
    </row>
    <row r="41" spans="2:6" x14ac:dyDescent="0.25">
      <c r="B41" s="85"/>
      <c r="C41" s="111" t="s">
        <v>65</v>
      </c>
      <c r="D41" s="106">
        <f>SUM(D12+D20+D35)</f>
        <v>10319</v>
      </c>
      <c r="E41" s="106">
        <f>SUM(E12+E20+E35)</f>
        <v>6922.5</v>
      </c>
      <c r="F41" s="106">
        <f>SUM(F12+F20+F35)</f>
        <v>17241.5</v>
      </c>
    </row>
    <row r="42" spans="2:6" x14ac:dyDescent="0.25">
      <c r="B42" s="85"/>
      <c r="C42" s="111" t="s">
        <v>66</v>
      </c>
      <c r="D42" s="106">
        <f>SUM(D13+D16+D18+D21+D30+D33+D36)</f>
        <v>10319</v>
      </c>
      <c r="E42" s="106">
        <f>SUM(E13+E16+E18+E21+E30+E33+E36)</f>
        <v>6922.5</v>
      </c>
      <c r="F42" s="106">
        <f>SUM(F13+F16+F18+F21+F30+F33+F36)</f>
        <v>17241.5</v>
      </c>
    </row>
    <row r="43" spans="2:6" x14ac:dyDescent="0.25">
      <c r="B43" s="85"/>
      <c r="C43" s="111" t="s">
        <v>67</v>
      </c>
      <c r="D43" s="106">
        <f>SUM(D14+D15+D17+D19+D22+D23+D24+D25+D26+D27+D28+D29+D31+D32+D34+D37)</f>
        <v>10319</v>
      </c>
      <c r="E43" s="106">
        <f>SUM(E14+E15+E17+E19+E22+E24+E25+E26+E27+E28+E29+E32+E34+E37)</f>
        <v>6922.5</v>
      </c>
      <c r="F43" s="106">
        <f>SUM(F14+F15+F17+F19+F22+F23+F24+F25+F26+F27+F28+F29+F31+F32+F34+F37)</f>
        <v>17241.5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43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2" sqref="J22"/>
    </sheetView>
  </sheetViews>
  <sheetFormatPr baseColWidth="10" defaultRowHeight="15" x14ac:dyDescent="0.25"/>
  <cols>
    <col min="1" max="1" width="3" style="33" customWidth="1"/>
    <col min="2" max="2" width="8.85546875" style="33" customWidth="1"/>
    <col min="3" max="3" width="45.5703125" style="33" customWidth="1"/>
    <col min="4" max="4" width="13.85546875" style="33" customWidth="1"/>
    <col min="5" max="5" width="15.7109375" style="33" customWidth="1"/>
    <col min="6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4" t="s">
        <v>174</v>
      </c>
      <c r="C8" s="404"/>
      <c r="D8" s="404"/>
      <c r="E8" s="404"/>
      <c r="F8" s="404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SUM(D13+D17+D19)</f>
        <v>11020</v>
      </c>
      <c r="E12" s="104">
        <f>SUM(E13+E17+E19)</f>
        <v>8370</v>
      </c>
      <c r="F12" s="104">
        <f>SUM(F13+F17+F19)</f>
        <v>19390</v>
      </c>
    </row>
    <row r="13" spans="2:6" x14ac:dyDescent="0.25">
      <c r="B13" s="85">
        <v>511</v>
      </c>
      <c r="C13" s="118" t="s">
        <v>249</v>
      </c>
      <c r="D13" s="106">
        <f>SUM(D14:D16)</f>
        <v>9850</v>
      </c>
      <c r="E13" s="106">
        <f t="shared" ref="E13" si="0">SUM(E14:E16)</f>
        <v>7200</v>
      </c>
      <c r="F13" s="106">
        <f>SUM(F14:F16)</f>
        <v>17050</v>
      </c>
    </row>
    <row r="14" spans="2:6" x14ac:dyDescent="0.25">
      <c r="B14" s="88">
        <v>51101</v>
      </c>
      <c r="C14" s="107" t="s">
        <v>250</v>
      </c>
      <c r="D14" s="108">
        <v>7200</v>
      </c>
      <c r="E14" s="108">
        <v>7200</v>
      </c>
      <c r="F14" s="108">
        <f>SUM(D14:E14)</f>
        <v>14400</v>
      </c>
    </row>
    <row r="15" spans="2:6" x14ac:dyDescent="0.25">
      <c r="B15" s="88">
        <v>51103</v>
      </c>
      <c r="C15" s="109" t="s">
        <v>251</v>
      </c>
      <c r="D15" s="108">
        <v>1150</v>
      </c>
      <c r="E15" s="108">
        <v>0</v>
      </c>
      <c r="F15" s="108">
        <f>SUM(D15:E15)</f>
        <v>1150</v>
      </c>
    </row>
    <row r="16" spans="2:6" x14ac:dyDescent="0.25">
      <c r="B16" s="88">
        <v>51107</v>
      </c>
      <c r="C16" s="148" t="s">
        <v>253</v>
      </c>
      <c r="D16" s="108">
        <v>1500</v>
      </c>
      <c r="E16" s="108">
        <v>0</v>
      </c>
      <c r="F16" s="108">
        <f>SUM(D16:E16)</f>
        <v>1500</v>
      </c>
    </row>
    <row r="17" spans="2:6" x14ac:dyDescent="0.25">
      <c r="B17" s="85">
        <v>514</v>
      </c>
      <c r="C17" s="110" t="s">
        <v>254</v>
      </c>
      <c r="D17" s="106">
        <f>SUM(D18)</f>
        <v>612</v>
      </c>
      <c r="E17" s="106">
        <f t="shared" ref="E17:F17" si="1">SUM(E18)</f>
        <v>612</v>
      </c>
      <c r="F17" s="106">
        <f t="shared" si="1"/>
        <v>1224</v>
      </c>
    </row>
    <row r="18" spans="2:6" x14ac:dyDescent="0.25">
      <c r="B18" s="94">
        <v>51401</v>
      </c>
      <c r="C18" s="109" t="s">
        <v>255</v>
      </c>
      <c r="D18" s="108">
        <v>612</v>
      </c>
      <c r="E18" s="108">
        <v>612</v>
      </c>
      <c r="F18" s="108">
        <f>SUM(D18:E18)</f>
        <v>1224</v>
      </c>
    </row>
    <row r="19" spans="2:6" x14ac:dyDescent="0.25">
      <c r="B19" s="85">
        <v>515</v>
      </c>
      <c r="C19" s="111" t="s">
        <v>256</v>
      </c>
      <c r="D19" s="106">
        <f>SUM(D20:D20)</f>
        <v>558</v>
      </c>
      <c r="E19" s="106">
        <f>SUM(E20:E20)</f>
        <v>558</v>
      </c>
      <c r="F19" s="106">
        <f>SUM(F20:F20)</f>
        <v>1116</v>
      </c>
    </row>
    <row r="20" spans="2:6" x14ac:dyDescent="0.25">
      <c r="B20" s="94">
        <v>51501</v>
      </c>
      <c r="C20" s="109" t="s">
        <v>255</v>
      </c>
      <c r="D20" s="108">
        <v>558</v>
      </c>
      <c r="E20" s="108">
        <v>558</v>
      </c>
      <c r="F20" s="108">
        <f>SUM(D20:E20)</f>
        <v>1116</v>
      </c>
    </row>
    <row r="21" spans="2:6" x14ac:dyDescent="0.25">
      <c r="B21" s="85">
        <v>54</v>
      </c>
      <c r="C21" s="111" t="s">
        <v>301</v>
      </c>
      <c r="D21" s="106">
        <f>SUM(D22+D34+D36)</f>
        <v>11973.68</v>
      </c>
      <c r="E21" s="106">
        <f>SUM(E22+E34+E36)</f>
        <v>4226.97</v>
      </c>
      <c r="F21" s="106">
        <f>SUM(F22+F34+F36)</f>
        <v>16200.65</v>
      </c>
    </row>
    <row r="22" spans="2:6" x14ac:dyDescent="0.25">
      <c r="B22" s="85">
        <v>541</v>
      </c>
      <c r="C22" s="111" t="s">
        <v>302</v>
      </c>
      <c r="D22" s="106">
        <f>SUM(D23:D33)</f>
        <v>7873.68</v>
      </c>
      <c r="E22" s="106">
        <f>SUM(E23:E33)</f>
        <v>1993.16</v>
      </c>
      <c r="F22" s="106">
        <f>SUM(F23:F33)</f>
        <v>9866.84</v>
      </c>
    </row>
    <row r="23" spans="2:6" x14ac:dyDescent="0.25">
      <c r="B23" s="94">
        <v>54101</v>
      </c>
      <c r="C23" s="109" t="s">
        <v>307</v>
      </c>
      <c r="D23" s="108">
        <v>1500</v>
      </c>
      <c r="E23" s="108">
        <v>500</v>
      </c>
      <c r="F23" s="108">
        <f t="shared" ref="F23:F33" si="2">SUM(D23:E23)</f>
        <v>2000</v>
      </c>
    </row>
    <row r="24" spans="2:6" x14ac:dyDescent="0.25">
      <c r="B24" s="94">
        <v>54104</v>
      </c>
      <c r="C24" s="109" t="s">
        <v>263</v>
      </c>
      <c r="D24" s="108">
        <v>1000</v>
      </c>
      <c r="E24" s="108">
        <v>0</v>
      </c>
      <c r="F24" s="108">
        <f t="shared" si="2"/>
        <v>1000</v>
      </c>
    </row>
    <row r="25" spans="2:6" x14ac:dyDescent="0.25">
      <c r="B25" s="94">
        <v>54105</v>
      </c>
      <c r="C25" s="109" t="s">
        <v>264</v>
      </c>
      <c r="D25" s="108">
        <v>220</v>
      </c>
      <c r="E25" s="108">
        <v>0</v>
      </c>
      <c r="F25" s="108">
        <f t="shared" si="2"/>
        <v>220</v>
      </c>
    </row>
    <row r="26" spans="2:6" x14ac:dyDescent="0.25">
      <c r="B26" s="94">
        <v>54106</v>
      </c>
      <c r="C26" s="109" t="s">
        <v>265</v>
      </c>
      <c r="D26" s="108">
        <v>291.5</v>
      </c>
      <c r="E26" s="108">
        <v>0</v>
      </c>
      <c r="F26" s="108">
        <f t="shared" si="2"/>
        <v>291.5</v>
      </c>
    </row>
    <row r="27" spans="2:6" x14ac:dyDescent="0.25">
      <c r="B27" s="94">
        <v>54107</v>
      </c>
      <c r="C27" s="109" t="s">
        <v>335</v>
      </c>
      <c r="D27" s="108">
        <v>1500</v>
      </c>
      <c r="E27" s="108">
        <v>493.16</v>
      </c>
      <c r="F27" s="108">
        <f t="shared" si="2"/>
        <v>1993.16</v>
      </c>
    </row>
    <row r="28" spans="2:6" x14ac:dyDescent="0.25">
      <c r="B28" s="94">
        <v>54109</v>
      </c>
      <c r="C28" s="109" t="s">
        <v>309</v>
      </c>
      <c r="D28" s="117">
        <v>500</v>
      </c>
      <c r="E28" s="108">
        <v>0</v>
      </c>
      <c r="F28" s="108">
        <f t="shared" si="2"/>
        <v>500</v>
      </c>
    </row>
    <row r="29" spans="2:6" x14ac:dyDescent="0.25">
      <c r="B29" s="94">
        <v>54110</v>
      </c>
      <c r="C29" s="109" t="s">
        <v>351</v>
      </c>
      <c r="D29" s="108">
        <v>2000</v>
      </c>
      <c r="E29" s="108">
        <v>1000</v>
      </c>
      <c r="F29" s="108">
        <f t="shared" si="2"/>
        <v>3000</v>
      </c>
    </row>
    <row r="30" spans="2:6" x14ac:dyDescent="0.25">
      <c r="B30" s="94">
        <v>54114</v>
      </c>
      <c r="C30" s="109" t="s">
        <v>268</v>
      </c>
      <c r="D30" s="108">
        <v>142.18</v>
      </c>
      <c r="E30" s="108">
        <v>0</v>
      </c>
      <c r="F30" s="108">
        <f t="shared" si="2"/>
        <v>142.18</v>
      </c>
    </row>
    <row r="31" spans="2:6" x14ac:dyDescent="0.25">
      <c r="B31" s="94">
        <v>54115</v>
      </c>
      <c r="C31" s="109" t="s">
        <v>269</v>
      </c>
      <c r="D31" s="108">
        <v>120</v>
      </c>
      <c r="E31" s="108">
        <v>0</v>
      </c>
      <c r="F31" s="108">
        <f t="shared" si="2"/>
        <v>120</v>
      </c>
    </row>
    <row r="32" spans="2:6" x14ac:dyDescent="0.25">
      <c r="B32" s="94">
        <v>54118</v>
      </c>
      <c r="C32" s="109" t="s">
        <v>310</v>
      </c>
      <c r="D32" s="108">
        <v>500</v>
      </c>
      <c r="E32" s="108">
        <v>0</v>
      </c>
      <c r="F32" s="108">
        <f t="shared" si="2"/>
        <v>500</v>
      </c>
    </row>
    <row r="33" spans="2:6" x14ac:dyDescent="0.25">
      <c r="B33" s="94">
        <v>54199</v>
      </c>
      <c r="C33" s="109" t="s">
        <v>385</v>
      </c>
      <c r="D33" s="108">
        <v>100</v>
      </c>
      <c r="E33" s="108">
        <v>0</v>
      </c>
      <c r="F33" s="108">
        <f t="shared" si="2"/>
        <v>100</v>
      </c>
    </row>
    <row r="34" spans="2:6" x14ac:dyDescent="0.25">
      <c r="B34" s="85">
        <v>543</v>
      </c>
      <c r="C34" s="111" t="s">
        <v>272</v>
      </c>
      <c r="D34" s="106">
        <f>SUM(D35:D35)</f>
        <v>3500</v>
      </c>
      <c r="E34" s="106">
        <f>SUM(E35:E35)</f>
        <v>2233.81</v>
      </c>
      <c r="F34" s="106">
        <f>SUM(F35:F35)</f>
        <v>5733.8099999999995</v>
      </c>
    </row>
    <row r="35" spans="2:6" x14ac:dyDescent="0.25">
      <c r="B35" s="94">
        <v>54302</v>
      </c>
      <c r="C35" s="109" t="s">
        <v>386</v>
      </c>
      <c r="D35" s="108">
        <v>3500</v>
      </c>
      <c r="E35" s="108">
        <v>2233.81</v>
      </c>
      <c r="F35" s="108">
        <f>SUM(D35:E35)</f>
        <v>5733.8099999999995</v>
      </c>
    </row>
    <row r="36" spans="2:6" x14ac:dyDescent="0.25">
      <c r="B36" s="85">
        <v>545</v>
      </c>
      <c r="C36" s="111" t="s">
        <v>323</v>
      </c>
      <c r="D36" s="106">
        <f>SUM(D37)</f>
        <v>600</v>
      </c>
      <c r="E36" s="106">
        <f t="shared" ref="E36:F36" si="3">SUM(E37)</f>
        <v>0</v>
      </c>
      <c r="F36" s="106">
        <f t="shared" si="3"/>
        <v>600</v>
      </c>
    </row>
    <row r="37" spans="2:6" x14ac:dyDescent="0.25">
      <c r="B37" s="94">
        <v>54505</v>
      </c>
      <c r="C37" s="109" t="s">
        <v>387</v>
      </c>
      <c r="D37" s="108">
        <v>600</v>
      </c>
      <c r="E37" s="108"/>
      <c r="F37" s="108">
        <f>SUM(D37:E37)</f>
        <v>600</v>
      </c>
    </row>
    <row r="38" spans="2:6" x14ac:dyDescent="0.25">
      <c r="B38" s="94"/>
      <c r="C38" s="109"/>
      <c r="D38" s="108"/>
      <c r="E38" s="108"/>
      <c r="F38" s="108"/>
    </row>
    <row r="39" spans="2:6" x14ac:dyDescent="0.25">
      <c r="B39" s="94"/>
      <c r="C39" s="111" t="s">
        <v>75</v>
      </c>
      <c r="D39" s="106">
        <f>SUM(D12+D21)</f>
        <v>22993.68</v>
      </c>
      <c r="E39" s="106">
        <f>SUM(E12+E21)</f>
        <v>12596.970000000001</v>
      </c>
      <c r="F39" s="106">
        <f>SUM(D39:E39)</f>
        <v>35590.65</v>
      </c>
    </row>
    <row r="40" spans="2:6" x14ac:dyDescent="0.25">
      <c r="B40" s="94"/>
      <c r="C40" s="109"/>
      <c r="D40" s="108"/>
      <c r="E40" s="108"/>
      <c r="F40" s="108"/>
    </row>
    <row r="41" spans="2:6" x14ac:dyDescent="0.25">
      <c r="B41" s="85"/>
      <c r="C41" s="111" t="s">
        <v>65</v>
      </c>
      <c r="D41" s="106">
        <f>SUM(D12+D21)</f>
        <v>22993.68</v>
      </c>
      <c r="E41" s="106">
        <f>SUM(E12+E21)</f>
        <v>12596.970000000001</v>
      </c>
      <c r="F41" s="106">
        <f>SUM(F12+F21)</f>
        <v>35590.65</v>
      </c>
    </row>
    <row r="42" spans="2:6" x14ac:dyDescent="0.25">
      <c r="B42" s="85"/>
      <c r="C42" s="111" t="s">
        <v>66</v>
      </c>
      <c r="D42" s="106">
        <f>SUM(D13+D17+D19+D22+D34+D36)</f>
        <v>22993.68</v>
      </c>
      <c r="E42" s="106">
        <f>SUM(E13+E17+E19+E22+E34+E36)</f>
        <v>12596.97</v>
      </c>
      <c r="F42" s="106">
        <f>SUM(F13+F17+F19+F22+F34+F36)</f>
        <v>35590.65</v>
      </c>
    </row>
    <row r="43" spans="2:6" x14ac:dyDescent="0.25">
      <c r="B43" s="85"/>
      <c r="C43" s="111" t="s">
        <v>67</v>
      </c>
      <c r="D43" s="106">
        <f>SUM(D14+D15+D16+D18+D20+D23+D24+D25+D26+D27+D28+D29+D30+D31+D32+D33+D35+D37)</f>
        <v>22993.68</v>
      </c>
      <c r="E43" s="106">
        <f>SUM(E14+E15+E16+E18+E20+E23+E24+E25+E26+E27+E28+E29+E30+E31+E32+E33+E35+E37)</f>
        <v>12596.97</v>
      </c>
      <c r="F43" s="106">
        <f>SUM(F14+F15+F16+F18+F20+F23+F24+F25+F26+F27+F28+F29+F30+F31+F32+F33+F35+F37)</f>
        <v>35590.65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F35"/>
  <sheetViews>
    <sheetView workbookViewId="0">
      <pane ySplit="11" topLeftCell="A12" activePane="bottomLeft" state="frozen"/>
      <selection pane="bottomLeft" activeCell="I13" sqref="I13"/>
    </sheetView>
  </sheetViews>
  <sheetFormatPr baseColWidth="10" defaultRowHeight="15" x14ac:dyDescent="0.25"/>
  <cols>
    <col min="1" max="1" width="4.28515625" style="33" customWidth="1"/>
    <col min="2" max="2" width="9.42578125" style="33" customWidth="1"/>
    <col min="3" max="3" width="43" style="33" customWidth="1"/>
    <col min="4" max="4" width="14.140625" style="33" customWidth="1"/>
    <col min="5" max="5" width="15.85546875" style="33" customWidth="1"/>
    <col min="6" max="6" width="12.42578125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1" t="s">
        <v>175</v>
      </c>
      <c r="C8" s="401"/>
      <c r="D8" s="401"/>
      <c r="E8" s="401"/>
      <c r="F8" s="401"/>
    </row>
    <row r="9" spans="2:6" x14ac:dyDescent="0.25">
      <c r="B9" s="34"/>
      <c r="C9" s="34"/>
      <c r="D9" s="34"/>
      <c r="E9" s="35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12810</v>
      </c>
      <c r="E12" s="104">
        <f>SUM(E13+E16+E18)</f>
        <v>6277.5</v>
      </c>
      <c r="F12" s="104">
        <f>SUM(F13+F16+F18)</f>
        <v>19087.5</v>
      </c>
    </row>
    <row r="13" spans="2:6" x14ac:dyDescent="0.25">
      <c r="B13" s="85">
        <v>511</v>
      </c>
      <c r="C13" s="118" t="s">
        <v>388</v>
      </c>
      <c r="D13" s="106">
        <f>SUM(D14:D15)</f>
        <v>11250</v>
      </c>
      <c r="E13" s="106">
        <f>SUM(E14:E15)</f>
        <v>5400</v>
      </c>
      <c r="F13" s="106">
        <f>SUM(F14:F15)</f>
        <v>16650</v>
      </c>
    </row>
    <row r="14" spans="2:6" x14ac:dyDescent="0.25">
      <c r="B14" s="88">
        <v>51101</v>
      </c>
      <c r="C14" s="107" t="s">
        <v>250</v>
      </c>
      <c r="D14" s="108">
        <v>9600</v>
      </c>
      <c r="E14" s="108">
        <v>5400</v>
      </c>
      <c r="F14" s="108">
        <f>SUM(D14:E14)</f>
        <v>15000</v>
      </c>
    </row>
    <row r="15" spans="2:6" x14ac:dyDescent="0.25">
      <c r="B15" s="88">
        <v>51103</v>
      </c>
      <c r="C15" s="109" t="s">
        <v>251</v>
      </c>
      <c r="D15" s="108">
        <v>1650</v>
      </c>
      <c r="E15" s="108">
        <v>0</v>
      </c>
      <c r="F15" s="108">
        <f>SUM(D15:E15)</f>
        <v>1650</v>
      </c>
    </row>
    <row r="16" spans="2:6" x14ac:dyDescent="0.25">
      <c r="B16" s="85">
        <v>514</v>
      </c>
      <c r="C16" s="110" t="s">
        <v>254</v>
      </c>
      <c r="D16" s="106">
        <f>SUM(D17:D17)</f>
        <v>816</v>
      </c>
      <c r="E16" s="106">
        <f t="shared" ref="E16" si="0">SUM(E17)</f>
        <v>459</v>
      </c>
      <c r="F16" s="106">
        <f>SUM(F17:F17)</f>
        <v>1275</v>
      </c>
    </row>
    <row r="17" spans="2:6" x14ac:dyDescent="0.25">
      <c r="B17" s="94">
        <v>51401</v>
      </c>
      <c r="C17" s="109" t="s">
        <v>255</v>
      </c>
      <c r="D17" s="108">
        <v>816</v>
      </c>
      <c r="E17" s="108">
        <v>459</v>
      </c>
      <c r="F17" s="108">
        <f>SUM(D17:E17)</f>
        <v>1275</v>
      </c>
    </row>
    <row r="18" spans="2:6" x14ac:dyDescent="0.25">
      <c r="B18" s="85">
        <v>515</v>
      </c>
      <c r="C18" s="111" t="s">
        <v>256</v>
      </c>
      <c r="D18" s="106">
        <f>SUM(D19:D19)</f>
        <v>744</v>
      </c>
      <c r="E18" s="106">
        <f>SUM(E19:E19)</f>
        <v>418.5</v>
      </c>
      <c r="F18" s="106">
        <f>SUM(F19:F19)</f>
        <v>1162.5</v>
      </c>
    </row>
    <row r="19" spans="2:6" x14ac:dyDescent="0.25">
      <c r="B19" s="94">
        <v>51501</v>
      </c>
      <c r="C19" s="109" t="s">
        <v>255</v>
      </c>
      <c r="D19" s="108">
        <v>744</v>
      </c>
      <c r="E19" s="108">
        <v>418.5</v>
      </c>
      <c r="F19" s="108">
        <f>SUM(D19:E19)</f>
        <v>1162.5</v>
      </c>
    </row>
    <row r="20" spans="2:6" x14ac:dyDescent="0.25">
      <c r="B20" s="85">
        <v>54</v>
      </c>
      <c r="C20" s="111" t="s">
        <v>301</v>
      </c>
      <c r="D20" s="106">
        <f>SUM(D21+D26+D28)</f>
        <v>650</v>
      </c>
      <c r="E20" s="106">
        <f>SUM(E21+E26+E28)</f>
        <v>0</v>
      </c>
      <c r="F20" s="106">
        <f>SUM(F21+F26+F28)</f>
        <v>650</v>
      </c>
    </row>
    <row r="21" spans="2:6" x14ac:dyDescent="0.25">
      <c r="B21" s="85">
        <v>541</v>
      </c>
      <c r="C21" s="111" t="s">
        <v>302</v>
      </c>
      <c r="D21" s="106">
        <f>SUM(D22:D25)</f>
        <v>450</v>
      </c>
      <c r="E21" s="106">
        <f>SUM(E22:E25)</f>
        <v>0</v>
      </c>
      <c r="F21" s="106">
        <f>SUM(F22:F25)</f>
        <v>450</v>
      </c>
    </row>
    <row r="22" spans="2:6" x14ac:dyDescent="0.25">
      <c r="B22" s="94">
        <v>54101</v>
      </c>
      <c r="C22" s="109" t="s">
        <v>261</v>
      </c>
      <c r="D22" s="108">
        <v>150</v>
      </c>
      <c r="E22" s="108">
        <v>0</v>
      </c>
      <c r="F22" s="108">
        <f>SUM(D22:E22)</f>
        <v>150</v>
      </c>
    </row>
    <row r="23" spans="2:6" x14ac:dyDescent="0.25">
      <c r="B23" s="94">
        <v>54105</v>
      </c>
      <c r="C23" s="109" t="s">
        <v>264</v>
      </c>
      <c r="D23" s="108">
        <v>100</v>
      </c>
      <c r="E23" s="108">
        <v>0</v>
      </c>
      <c r="F23" s="108">
        <f>SUM(D23:E23)</f>
        <v>100</v>
      </c>
    </row>
    <row r="24" spans="2:6" x14ac:dyDescent="0.25">
      <c r="B24" s="94">
        <v>54114</v>
      </c>
      <c r="C24" s="109" t="s">
        <v>268</v>
      </c>
      <c r="D24" s="108">
        <v>100</v>
      </c>
      <c r="E24" s="108">
        <v>0</v>
      </c>
      <c r="F24" s="108">
        <f>SUM(D24:E24)</f>
        <v>100</v>
      </c>
    </row>
    <row r="25" spans="2:6" x14ac:dyDescent="0.25">
      <c r="B25" s="94">
        <v>54115</v>
      </c>
      <c r="C25" s="109" t="s">
        <v>269</v>
      </c>
      <c r="D25" s="108">
        <v>100</v>
      </c>
      <c r="E25" s="108">
        <v>0</v>
      </c>
      <c r="F25" s="108">
        <f>SUM(D25:E25)</f>
        <v>100</v>
      </c>
    </row>
    <row r="26" spans="2:6" x14ac:dyDescent="0.25">
      <c r="B26" s="85">
        <v>543</v>
      </c>
      <c r="C26" s="111" t="s">
        <v>272</v>
      </c>
      <c r="D26" s="106">
        <f>SUM(D27:D27)</f>
        <v>150</v>
      </c>
      <c r="E26" s="106">
        <f>SUM(E27:E27)</f>
        <v>0</v>
      </c>
      <c r="F26" s="106">
        <f>SUM(F27:F27)</f>
        <v>150</v>
      </c>
    </row>
    <row r="27" spans="2:6" x14ac:dyDescent="0.25">
      <c r="B27" s="94">
        <v>54304</v>
      </c>
      <c r="C27" s="109" t="s">
        <v>382</v>
      </c>
      <c r="D27" s="108">
        <v>150</v>
      </c>
      <c r="E27" s="108">
        <v>0</v>
      </c>
      <c r="F27" s="108">
        <f>SUM(D27:E27)</f>
        <v>150</v>
      </c>
    </row>
    <row r="28" spans="2:6" x14ac:dyDescent="0.25">
      <c r="B28" s="85">
        <v>544</v>
      </c>
      <c r="C28" s="111" t="s">
        <v>279</v>
      </c>
      <c r="D28" s="106">
        <f>SUM(D29)</f>
        <v>50</v>
      </c>
      <c r="E28" s="106">
        <f t="shared" ref="E28:F28" si="1">SUM(E29)</f>
        <v>0</v>
      </c>
      <c r="F28" s="106">
        <f t="shared" si="1"/>
        <v>50</v>
      </c>
    </row>
    <row r="29" spans="2:6" x14ac:dyDescent="0.25">
      <c r="B29" s="94">
        <v>54401</v>
      </c>
      <c r="C29" s="109" t="s">
        <v>280</v>
      </c>
      <c r="D29" s="108">
        <v>50</v>
      </c>
      <c r="E29" s="108">
        <v>0</v>
      </c>
      <c r="F29" s="108">
        <f>SUM(D29:E29)</f>
        <v>50</v>
      </c>
    </row>
    <row r="30" spans="2:6" x14ac:dyDescent="0.25">
      <c r="B30" s="94"/>
      <c r="C30" s="109"/>
      <c r="D30" s="108"/>
      <c r="E30" s="108"/>
      <c r="F30" s="108"/>
    </row>
    <row r="31" spans="2:6" x14ac:dyDescent="0.25">
      <c r="B31" s="94"/>
      <c r="C31" s="111" t="s">
        <v>75</v>
      </c>
      <c r="D31" s="106">
        <f>SUM(D12+D20)</f>
        <v>13460</v>
      </c>
      <c r="E31" s="106">
        <f>SUM(E12+E20)</f>
        <v>6277.5</v>
      </c>
      <c r="F31" s="106">
        <f>SUM(D31:E31)</f>
        <v>19737.5</v>
      </c>
    </row>
    <row r="32" spans="2:6" x14ac:dyDescent="0.25">
      <c r="B32" s="94"/>
      <c r="C32" s="109"/>
      <c r="D32" s="108"/>
      <c r="E32" s="108"/>
      <c r="F32" s="108"/>
    </row>
    <row r="33" spans="2:6" x14ac:dyDescent="0.25">
      <c r="B33" s="85"/>
      <c r="C33" s="111" t="s">
        <v>65</v>
      </c>
      <c r="D33" s="106">
        <f>SUM(D12+D20)</f>
        <v>13460</v>
      </c>
      <c r="E33" s="106">
        <f>SUM(E12+E20)</f>
        <v>6277.5</v>
      </c>
      <c r="F33" s="106">
        <f>SUM(F12+F20)</f>
        <v>19737.5</v>
      </c>
    </row>
    <row r="34" spans="2:6" x14ac:dyDescent="0.25">
      <c r="B34" s="85"/>
      <c r="C34" s="111" t="s">
        <v>66</v>
      </c>
      <c r="D34" s="106">
        <f>SUM(D13+D16+D18+D21+D26+D28)</f>
        <v>13460</v>
      </c>
      <c r="E34" s="106">
        <f>SUM(E13+E16+E18+E21+E26+E28)</f>
        <v>6277.5</v>
      </c>
      <c r="F34" s="106">
        <f>SUM(F13+F16+F18+F21+F26+F28)</f>
        <v>19737.5</v>
      </c>
    </row>
    <row r="35" spans="2:6" x14ac:dyDescent="0.25">
      <c r="B35" s="85"/>
      <c r="C35" s="111" t="s">
        <v>67</v>
      </c>
      <c r="D35" s="106">
        <f>SUM(D14+D15+D17+D19+D22+D23+D24+D25+D27+D29)</f>
        <v>13460</v>
      </c>
      <c r="E35" s="106">
        <f>SUM(E14+E15+E17+E19+E22+E23+E24+E25+E27+E29)</f>
        <v>6277.5</v>
      </c>
      <c r="F35" s="106">
        <f>SUM(F14+F15+F17+F19+F22+F23+F24+F25+F27+F29)</f>
        <v>19737.5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F40"/>
  <sheetViews>
    <sheetView workbookViewId="0">
      <pane ySplit="11" topLeftCell="A12" activePane="bottomLeft" state="frozen"/>
      <selection pane="bottomLeft" activeCell="I11" sqref="I11"/>
    </sheetView>
  </sheetViews>
  <sheetFormatPr baseColWidth="10" defaultRowHeight="15" x14ac:dyDescent="0.25"/>
  <cols>
    <col min="1" max="1" width="2.85546875" style="33" customWidth="1"/>
    <col min="2" max="2" width="8.5703125" style="33" customWidth="1"/>
    <col min="3" max="3" width="42.140625" style="33" customWidth="1"/>
    <col min="4" max="4" width="14.140625" style="33" customWidth="1"/>
    <col min="5" max="5" width="16.28515625" style="33" customWidth="1"/>
    <col min="6" max="6" width="14" style="33" customWidth="1"/>
    <col min="7" max="16384" width="11.42578125" style="33"/>
  </cols>
  <sheetData>
    <row r="2" spans="2:6" ht="15.75" x14ac:dyDescent="0.25">
      <c r="B2" s="404" t="s">
        <v>298</v>
      </c>
      <c r="C2" s="404"/>
      <c r="D2" s="404"/>
      <c r="E2" s="404"/>
      <c r="F2" s="404"/>
    </row>
    <row r="3" spans="2:6" ht="15.75" x14ac:dyDescent="0.25">
      <c r="B3" s="404" t="s">
        <v>238</v>
      </c>
      <c r="C3" s="404"/>
      <c r="D3" s="404"/>
      <c r="E3" s="404"/>
      <c r="F3" s="404"/>
    </row>
    <row r="4" spans="2:6" ht="15.75" x14ac:dyDescent="0.25">
      <c r="B4" s="402" t="s">
        <v>239</v>
      </c>
      <c r="C4" s="402"/>
      <c r="D4" s="402"/>
      <c r="E4" s="402"/>
      <c r="F4" s="402"/>
    </row>
    <row r="5" spans="2:6" ht="15.75" x14ac:dyDescent="0.25">
      <c r="B5" s="402" t="s">
        <v>299</v>
      </c>
      <c r="C5" s="402"/>
      <c r="D5" s="402"/>
      <c r="E5" s="402"/>
      <c r="F5" s="402"/>
    </row>
    <row r="6" spans="2:6" ht="15.75" x14ac:dyDescent="0.25">
      <c r="B6" s="149" t="s">
        <v>300</v>
      </c>
      <c r="C6" s="150"/>
      <c r="D6" s="150"/>
      <c r="E6" s="150"/>
      <c r="F6" s="150"/>
    </row>
    <row r="7" spans="2:6" ht="15.75" x14ac:dyDescent="0.25">
      <c r="B7" s="402" t="s">
        <v>241</v>
      </c>
      <c r="C7" s="402"/>
      <c r="D7" s="402"/>
      <c r="E7" s="402"/>
      <c r="F7" s="402"/>
    </row>
    <row r="8" spans="2:6" ht="15.75" x14ac:dyDescent="0.25">
      <c r="B8" s="401" t="s">
        <v>204</v>
      </c>
      <c r="C8" s="401"/>
      <c r="D8" s="401"/>
      <c r="E8" s="401"/>
      <c r="F8" s="401"/>
    </row>
    <row r="9" spans="2:6" x14ac:dyDescent="0.25">
      <c r="B9" s="34"/>
      <c r="C9" s="34"/>
      <c r="D9" s="34"/>
      <c r="E9" s="44"/>
      <c r="F9" s="34"/>
    </row>
    <row r="10" spans="2:6" x14ac:dyDescent="0.25">
      <c r="B10" s="400" t="s">
        <v>243</v>
      </c>
      <c r="C10" s="400" t="s">
        <v>244</v>
      </c>
      <c r="D10" s="102" t="s">
        <v>245</v>
      </c>
      <c r="E10" s="102" t="s">
        <v>246</v>
      </c>
      <c r="F10" s="400" t="s">
        <v>0</v>
      </c>
    </row>
    <row r="11" spans="2:6" x14ac:dyDescent="0.25">
      <c r="B11" s="400"/>
      <c r="C11" s="400"/>
      <c r="D11" s="102" t="s">
        <v>247</v>
      </c>
      <c r="E11" s="102" t="s">
        <v>248</v>
      </c>
      <c r="F11" s="400"/>
    </row>
    <row r="12" spans="2:6" x14ac:dyDescent="0.25">
      <c r="B12" s="80">
        <v>51</v>
      </c>
      <c r="C12" s="110" t="s">
        <v>140</v>
      </c>
      <c r="D12" s="104">
        <f>SUM(D13+D16+D18)</f>
        <v>102929.87</v>
      </c>
      <c r="E12" s="104">
        <f>SUM(E13+E16+E18)</f>
        <v>24842.63</v>
      </c>
      <c r="F12" s="104">
        <f>SUM(F13+F16+F18)</f>
        <v>127772.5</v>
      </c>
    </row>
    <row r="13" spans="2:6" x14ac:dyDescent="0.25">
      <c r="B13" s="85">
        <v>511</v>
      </c>
      <c r="C13" s="118" t="s">
        <v>249</v>
      </c>
      <c r="D13" s="106">
        <f>SUM(D14:D15)</f>
        <v>89730</v>
      </c>
      <c r="E13" s="106">
        <f>SUM(E14:E15)</f>
        <v>21370</v>
      </c>
      <c r="F13" s="106">
        <f>SUM(F14:F15)</f>
        <v>111100</v>
      </c>
    </row>
    <row r="14" spans="2:6" x14ac:dyDescent="0.25">
      <c r="B14" s="88">
        <v>51101</v>
      </c>
      <c r="C14" s="107" t="s">
        <v>250</v>
      </c>
      <c r="D14" s="108">
        <v>81230</v>
      </c>
      <c r="E14" s="108">
        <v>21370</v>
      </c>
      <c r="F14" s="108">
        <f>SUM(D14:E14)</f>
        <v>102600</v>
      </c>
    </row>
    <row r="15" spans="2:6" x14ac:dyDescent="0.25">
      <c r="B15" s="88">
        <v>51103</v>
      </c>
      <c r="C15" s="109" t="s">
        <v>251</v>
      </c>
      <c r="D15" s="108">
        <v>8500</v>
      </c>
      <c r="E15" s="108">
        <v>0</v>
      </c>
      <c r="F15" s="108">
        <f>SUM(D15:E15)</f>
        <v>8500</v>
      </c>
    </row>
    <row r="16" spans="2:6" x14ac:dyDescent="0.25">
      <c r="B16" s="85">
        <v>514</v>
      </c>
      <c r="C16" s="110" t="s">
        <v>254</v>
      </c>
      <c r="D16" s="106">
        <f>SUM(D17:D17)</f>
        <v>6904.55</v>
      </c>
      <c r="E16" s="106">
        <f>SUM(E17:E17)</f>
        <v>1816.45</v>
      </c>
      <c r="F16" s="106">
        <f>SUM(F17:F17)</f>
        <v>8721</v>
      </c>
    </row>
    <row r="17" spans="2:6" x14ac:dyDescent="0.25">
      <c r="B17" s="94">
        <v>51401</v>
      </c>
      <c r="C17" s="109" t="s">
        <v>255</v>
      </c>
      <c r="D17" s="108">
        <v>6904.55</v>
      </c>
      <c r="E17" s="108">
        <v>1816.45</v>
      </c>
      <c r="F17" s="108">
        <f>SUM(D17:E17)</f>
        <v>8721</v>
      </c>
    </row>
    <row r="18" spans="2:6" x14ac:dyDescent="0.25">
      <c r="B18" s="85">
        <v>515</v>
      </c>
      <c r="C18" s="111" t="s">
        <v>256</v>
      </c>
      <c r="D18" s="106">
        <f>SUM(D19:D19)</f>
        <v>6295.32</v>
      </c>
      <c r="E18" s="106">
        <f>SUM(E19:E19)</f>
        <v>1656.18</v>
      </c>
      <c r="F18" s="106">
        <f>SUM(F19:F19)</f>
        <v>7951.5</v>
      </c>
    </row>
    <row r="19" spans="2:6" x14ac:dyDescent="0.25">
      <c r="B19" s="94">
        <v>51501</v>
      </c>
      <c r="C19" s="109" t="s">
        <v>255</v>
      </c>
      <c r="D19" s="108">
        <v>6295.32</v>
      </c>
      <c r="E19" s="108">
        <v>1656.18</v>
      </c>
      <c r="F19" s="108">
        <f>SUM(D19:E19)</f>
        <v>7951.5</v>
      </c>
    </row>
    <row r="20" spans="2:6" x14ac:dyDescent="0.25">
      <c r="B20" s="85">
        <v>54</v>
      </c>
      <c r="C20" s="111" t="s">
        <v>301</v>
      </c>
      <c r="D20" s="114">
        <f>SUM(D21+D27+D30)</f>
        <v>10640</v>
      </c>
      <c r="E20" s="114">
        <f>SUM(E21+E27+E30)</f>
        <v>9250</v>
      </c>
      <c r="F20" s="106">
        <f>SUM(F21+F27+F30)</f>
        <v>19890</v>
      </c>
    </row>
    <row r="21" spans="2:6" x14ac:dyDescent="0.25">
      <c r="B21" s="85">
        <v>541</v>
      </c>
      <c r="C21" s="111" t="s">
        <v>302</v>
      </c>
      <c r="D21" s="114">
        <f>SUM(D22:D26)</f>
        <v>7890</v>
      </c>
      <c r="E21" s="114">
        <f>SUM(E22:E26)</f>
        <v>2500</v>
      </c>
      <c r="F21" s="106">
        <f>SUM(F22:F26)</f>
        <v>10390</v>
      </c>
    </row>
    <row r="22" spans="2:6" x14ac:dyDescent="0.25">
      <c r="B22" s="94">
        <v>54101</v>
      </c>
      <c r="C22" s="109" t="s">
        <v>261</v>
      </c>
      <c r="D22" s="117">
        <v>4000</v>
      </c>
      <c r="E22" s="117">
        <v>2500</v>
      </c>
      <c r="F22" s="108">
        <f>SUM(D22:E22)</f>
        <v>6500</v>
      </c>
    </row>
    <row r="23" spans="2:6" x14ac:dyDescent="0.25">
      <c r="B23" s="94">
        <v>54104</v>
      </c>
      <c r="C23" s="109" t="s">
        <v>263</v>
      </c>
      <c r="D23" s="117">
        <v>2500</v>
      </c>
      <c r="E23" s="117">
        <v>0</v>
      </c>
      <c r="F23" s="108">
        <f>SUM(D23:E23)</f>
        <v>2500</v>
      </c>
    </row>
    <row r="24" spans="2:6" x14ac:dyDescent="0.25">
      <c r="B24" s="94">
        <v>54105</v>
      </c>
      <c r="C24" s="109" t="s">
        <v>264</v>
      </c>
      <c r="D24" s="117">
        <v>550</v>
      </c>
      <c r="E24" s="117">
        <v>0</v>
      </c>
      <c r="F24" s="108">
        <f>SUM(D24:E24)</f>
        <v>550</v>
      </c>
    </row>
    <row r="25" spans="2:6" x14ac:dyDescent="0.25">
      <c r="B25" s="94">
        <v>54114</v>
      </c>
      <c r="C25" s="109" t="s">
        <v>268</v>
      </c>
      <c r="D25" s="117">
        <v>350</v>
      </c>
      <c r="E25" s="117">
        <v>0</v>
      </c>
      <c r="F25" s="108">
        <f>SUM(D25:E25)</f>
        <v>350</v>
      </c>
    </row>
    <row r="26" spans="2:6" x14ac:dyDescent="0.25">
      <c r="B26" s="94">
        <v>54115</v>
      </c>
      <c r="C26" s="109" t="s">
        <v>269</v>
      </c>
      <c r="D26" s="117">
        <v>490</v>
      </c>
      <c r="E26" s="117">
        <v>0</v>
      </c>
      <c r="F26" s="108">
        <f>SUM(D26:E26)</f>
        <v>490</v>
      </c>
    </row>
    <row r="27" spans="2:6" x14ac:dyDescent="0.25">
      <c r="B27" s="85">
        <v>543</v>
      </c>
      <c r="C27" s="111" t="s">
        <v>272</v>
      </c>
      <c r="D27" s="114">
        <f>SUM(D28:D29)</f>
        <v>2500</v>
      </c>
      <c r="E27" s="114">
        <f>SUM(E28:E29)</f>
        <v>6500</v>
      </c>
      <c r="F27" s="106">
        <f>SUM(F28:F29)</f>
        <v>9000</v>
      </c>
    </row>
    <row r="28" spans="2:6" x14ac:dyDescent="0.25">
      <c r="B28" s="94">
        <v>54304</v>
      </c>
      <c r="C28" s="109" t="s">
        <v>382</v>
      </c>
      <c r="D28" s="117">
        <v>2000</v>
      </c>
      <c r="E28" s="117">
        <v>6500</v>
      </c>
      <c r="F28" s="108">
        <f>SUM(D28:E28)</f>
        <v>8500</v>
      </c>
    </row>
    <row r="29" spans="2:6" x14ac:dyDescent="0.25">
      <c r="B29" s="94">
        <v>54313</v>
      </c>
      <c r="C29" s="109" t="s">
        <v>276</v>
      </c>
      <c r="D29" s="117">
        <v>500</v>
      </c>
      <c r="E29" s="117">
        <v>0</v>
      </c>
      <c r="F29" s="108">
        <f>SUM(D29:E29)</f>
        <v>500</v>
      </c>
    </row>
    <row r="30" spans="2:6" x14ac:dyDescent="0.25">
      <c r="B30" s="85">
        <v>544</v>
      </c>
      <c r="C30" s="111" t="s">
        <v>279</v>
      </c>
      <c r="D30" s="114">
        <f>SUM(D31)</f>
        <v>250</v>
      </c>
      <c r="E30" s="114">
        <f t="shared" ref="E30:F30" si="0">SUM(E31)</f>
        <v>250</v>
      </c>
      <c r="F30" s="106">
        <f t="shared" si="0"/>
        <v>500</v>
      </c>
    </row>
    <row r="31" spans="2:6" x14ac:dyDescent="0.25">
      <c r="B31" s="94">
        <v>54401</v>
      </c>
      <c r="C31" s="109" t="s">
        <v>280</v>
      </c>
      <c r="D31" s="117">
        <v>250</v>
      </c>
      <c r="E31" s="117">
        <v>250</v>
      </c>
      <c r="F31" s="108">
        <f>SUM(D31:E31)</f>
        <v>500</v>
      </c>
    </row>
    <row r="32" spans="2:6" x14ac:dyDescent="0.25">
      <c r="B32" s="85">
        <v>61</v>
      </c>
      <c r="C32" s="111" t="s">
        <v>295</v>
      </c>
      <c r="D32" s="114">
        <f>SUM(D33)</f>
        <v>400</v>
      </c>
      <c r="E32" s="114">
        <f t="shared" ref="E32:F33" si="1">SUM(E33)</f>
        <v>0</v>
      </c>
      <c r="F32" s="106">
        <f t="shared" si="1"/>
        <v>400</v>
      </c>
    </row>
    <row r="33" spans="2:6" x14ac:dyDescent="0.25">
      <c r="B33" s="85">
        <v>611</v>
      </c>
      <c r="C33" s="111" t="s">
        <v>296</v>
      </c>
      <c r="D33" s="106">
        <f>SUM(D34)</f>
        <v>400</v>
      </c>
      <c r="E33" s="106">
        <f t="shared" si="1"/>
        <v>0</v>
      </c>
      <c r="F33" s="106">
        <f t="shared" si="1"/>
        <v>400</v>
      </c>
    </row>
    <row r="34" spans="2:6" x14ac:dyDescent="0.25">
      <c r="B34" s="94">
        <v>61101</v>
      </c>
      <c r="C34" s="109" t="s">
        <v>297</v>
      </c>
      <c r="D34" s="108">
        <v>400</v>
      </c>
      <c r="E34" s="108">
        <v>0</v>
      </c>
      <c r="F34" s="108">
        <f>SUM(D34:E34)</f>
        <v>400</v>
      </c>
    </row>
    <row r="35" spans="2:6" x14ac:dyDescent="0.25">
      <c r="B35" s="94"/>
      <c r="C35" s="109"/>
      <c r="D35" s="108"/>
      <c r="E35" s="108"/>
      <c r="F35" s="108"/>
    </row>
    <row r="36" spans="2:6" x14ac:dyDescent="0.25">
      <c r="B36" s="94"/>
      <c r="C36" s="111" t="s">
        <v>75</v>
      </c>
      <c r="D36" s="106">
        <f>SUM(D12+D20+D32)</f>
        <v>113969.87</v>
      </c>
      <c r="E36" s="106">
        <f>SUM(E12+E20+E32)</f>
        <v>34092.630000000005</v>
      </c>
      <c r="F36" s="106">
        <f>SUM(D36:E36)</f>
        <v>148062.5</v>
      </c>
    </row>
    <row r="37" spans="2:6" x14ac:dyDescent="0.25">
      <c r="B37" s="94"/>
      <c r="C37" s="109"/>
      <c r="D37" s="108"/>
      <c r="E37" s="108"/>
      <c r="F37" s="108"/>
    </row>
    <row r="38" spans="2:6" x14ac:dyDescent="0.25">
      <c r="B38" s="85"/>
      <c r="C38" s="111" t="s">
        <v>65</v>
      </c>
      <c r="D38" s="106">
        <f>SUM(D12+D20+D32)</f>
        <v>113969.87</v>
      </c>
      <c r="E38" s="106">
        <f>SUM(E12+E20+E32)</f>
        <v>34092.630000000005</v>
      </c>
      <c r="F38" s="106">
        <f>SUM(F12+F20+F32)</f>
        <v>148062.5</v>
      </c>
    </row>
    <row r="39" spans="2:6" x14ac:dyDescent="0.25">
      <c r="B39" s="85"/>
      <c r="C39" s="111" t="s">
        <v>66</v>
      </c>
      <c r="D39" s="106">
        <f>SUM(D13+D16+D18+D21+D27+D30+D33)</f>
        <v>113969.87</v>
      </c>
      <c r="E39" s="106">
        <f>SUM(E13+E16+E18+E21+E27+E30+E33)</f>
        <v>34092.630000000005</v>
      </c>
      <c r="F39" s="106">
        <f>SUM(F13+F16+F18+F21+F27+F30+F33)</f>
        <v>148062.5</v>
      </c>
    </row>
    <row r="40" spans="2:6" x14ac:dyDescent="0.25">
      <c r="B40" s="85"/>
      <c r="C40" s="111" t="s">
        <v>67</v>
      </c>
      <c r="D40" s="106">
        <f>SUM(D14+D15+D17+D19+D22+D23+D24+D25+D26+D28+D29+D31+D34)</f>
        <v>113969.87</v>
      </c>
      <c r="E40" s="106">
        <f>SUM(E14+E15+E17+E19+E22+E23+E24+E25+E26+E28+E29+E31+E34)</f>
        <v>34092.630000000005</v>
      </c>
      <c r="F40" s="106">
        <f>SUM(F14+F15+F17+F19+F22+F23+F24+F25+F26+F28+F29+F31+F34)</f>
        <v>148062.5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D49"/>
  <sheetViews>
    <sheetView workbookViewId="0">
      <selection activeCell="J11" sqref="J11"/>
    </sheetView>
  </sheetViews>
  <sheetFormatPr baseColWidth="10" defaultRowHeight="15" x14ac:dyDescent="0.25"/>
  <cols>
    <col min="1" max="1" width="7.42578125" style="33" customWidth="1"/>
    <col min="2" max="2" width="8.7109375" style="33" customWidth="1"/>
    <col min="3" max="3" width="49" style="33" customWidth="1"/>
    <col min="4" max="4" width="23.5703125" style="33" customWidth="1"/>
    <col min="5" max="16384" width="11.42578125" style="33"/>
  </cols>
  <sheetData>
    <row r="2" spans="2:4" ht="15.75" x14ac:dyDescent="0.25">
      <c r="B2" s="404" t="s">
        <v>298</v>
      </c>
      <c r="C2" s="404"/>
      <c r="D2" s="404"/>
    </row>
    <row r="3" spans="2:4" ht="15.75" x14ac:dyDescent="0.25">
      <c r="B3" s="357" t="s">
        <v>238</v>
      </c>
      <c r="C3" s="357"/>
      <c r="D3" s="357"/>
    </row>
    <row r="4" spans="2:4" ht="15.75" x14ac:dyDescent="0.25">
      <c r="B4" s="402" t="s">
        <v>239</v>
      </c>
      <c r="C4" s="402"/>
      <c r="D4" s="402"/>
    </row>
    <row r="5" spans="2:4" ht="15.75" x14ac:dyDescent="0.25">
      <c r="B5" s="402" t="s">
        <v>299</v>
      </c>
      <c r="C5" s="402"/>
      <c r="D5" s="402"/>
    </row>
    <row r="6" spans="2:4" ht="15.75" x14ac:dyDescent="0.25">
      <c r="B6" s="149" t="s">
        <v>300</v>
      </c>
      <c r="C6" s="150"/>
      <c r="D6" s="150"/>
    </row>
    <row r="7" spans="2:4" ht="15.75" x14ac:dyDescent="0.25">
      <c r="B7" s="402" t="s">
        <v>241</v>
      </c>
      <c r="C7" s="402"/>
      <c r="D7" s="402"/>
    </row>
    <row r="8" spans="2:4" ht="15.75" x14ac:dyDescent="0.25">
      <c r="B8" s="401" t="s">
        <v>242</v>
      </c>
      <c r="C8" s="401"/>
      <c r="D8" s="401"/>
    </row>
    <row r="9" spans="2:4" x14ac:dyDescent="0.25">
      <c r="B9" s="34"/>
      <c r="C9" s="34"/>
      <c r="D9" s="44"/>
    </row>
    <row r="10" spans="2:4" x14ac:dyDescent="0.25">
      <c r="B10" s="439" t="s">
        <v>243</v>
      </c>
      <c r="C10" s="439" t="s">
        <v>244</v>
      </c>
      <c r="D10" s="102" t="s">
        <v>246</v>
      </c>
    </row>
    <row r="11" spans="2:4" x14ac:dyDescent="0.25">
      <c r="B11" s="440"/>
      <c r="C11" s="440"/>
      <c r="D11" s="102" t="s">
        <v>389</v>
      </c>
    </row>
    <row r="12" spans="2:4" x14ac:dyDescent="0.25">
      <c r="B12" s="80">
        <v>51</v>
      </c>
      <c r="C12" s="110" t="s">
        <v>140</v>
      </c>
      <c r="D12" s="104">
        <f>SUM(D13)</f>
        <v>80000</v>
      </c>
    </row>
    <row r="13" spans="2:4" x14ac:dyDescent="0.25">
      <c r="B13" s="119">
        <v>512</v>
      </c>
      <c r="C13" s="110" t="s">
        <v>334</v>
      </c>
      <c r="D13" s="106">
        <f>SUM(D14:D14)</f>
        <v>80000</v>
      </c>
    </row>
    <row r="14" spans="2:4" x14ac:dyDescent="0.25">
      <c r="B14" s="88">
        <v>51202</v>
      </c>
      <c r="C14" s="148" t="s">
        <v>390</v>
      </c>
      <c r="D14" s="108">
        <v>80000</v>
      </c>
    </row>
    <row r="15" spans="2:4" x14ac:dyDescent="0.25">
      <c r="B15" s="85">
        <v>54</v>
      </c>
      <c r="C15" s="111" t="s">
        <v>301</v>
      </c>
      <c r="D15" s="106">
        <f>SUM(D16+D27+D33)</f>
        <v>767318.16999999993</v>
      </c>
    </row>
    <row r="16" spans="2:4" x14ac:dyDescent="0.25">
      <c r="B16" s="85">
        <v>541</v>
      </c>
      <c r="C16" s="111" t="s">
        <v>302</v>
      </c>
      <c r="D16" s="106">
        <f>SUM(D17:D26)</f>
        <v>417318.17</v>
      </c>
    </row>
    <row r="17" spans="2:4" x14ac:dyDescent="0.25">
      <c r="B17" s="94">
        <v>54101</v>
      </c>
      <c r="C17" s="109" t="s">
        <v>261</v>
      </c>
      <c r="D17" s="108">
        <v>20000</v>
      </c>
    </row>
    <row r="18" spans="2:4" x14ac:dyDescent="0.25">
      <c r="B18" s="94">
        <v>54104</v>
      </c>
      <c r="C18" s="109" t="s">
        <v>263</v>
      </c>
      <c r="D18" s="108">
        <v>55000</v>
      </c>
    </row>
    <row r="19" spans="2:4" x14ac:dyDescent="0.25">
      <c r="B19" s="94">
        <v>54105</v>
      </c>
      <c r="C19" s="109" t="s">
        <v>264</v>
      </c>
      <c r="D19" s="108">
        <v>1000</v>
      </c>
    </row>
    <row r="20" spans="2:4" x14ac:dyDescent="0.25">
      <c r="B20" s="94">
        <v>54107</v>
      </c>
      <c r="C20" s="109" t="s">
        <v>355</v>
      </c>
      <c r="D20" s="108">
        <v>75000</v>
      </c>
    </row>
    <row r="21" spans="2:4" x14ac:dyDescent="0.25">
      <c r="B21" s="94">
        <v>54110</v>
      </c>
      <c r="C21" s="109" t="s">
        <v>351</v>
      </c>
      <c r="D21" s="108">
        <v>80000</v>
      </c>
    </row>
    <row r="22" spans="2:4" x14ac:dyDescent="0.25">
      <c r="B22" s="94">
        <v>54111</v>
      </c>
      <c r="C22" s="109" t="s">
        <v>391</v>
      </c>
      <c r="D22" s="108">
        <v>85000</v>
      </c>
    </row>
    <row r="23" spans="2:4" x14ac:dyDescent="0.25">
      <c r="B23" s="94">
        <v>54112</v>
      </c>
      <c r="C23" s="109" t="s">
        <v>392</v>
      </c>
      <c r="D23" s="108">
        <v>40000</v>
      </c>
    </row>
    <row r="24" spans="2:4" x14ac:dyDescent="0.25">
      <c r="B24" s="94">
        <v>54115</v>
      </c>
      <c r="C24" s="109" t="s">
        <v>269</v>
      </c>
      <c r="D24" s="108">
        <v>2000</v>
      </c>
    </row>
    <row r="25" spans="2:4" x14ac:dyDescent="0.25">
      <c r="B25" s="94">
        <v>54118</v>
      </c>
      <c r="C25" s="109" t="s">
        <v>310</v>
      </c>
      <c r="D25" s="108">
        <v>20318.169999999998</v>
      </c>
    </row>
    <row r="26" spans="2:4" x14ac:dyDescent="0.25">
      <c r="B26" s="94">
        <v>54199</v>
      </c>
      <c r="C26" s="109" t="s">
        <v>271</v>
      </c>
      <c r="D26" s="108">
        <v>39000</v>
      </c>
    </row>
    <row r="27" spans="2:4" x14ac:dyDescent="0.25">
      <c r="B27" s="85">
        <v>543</v>
      </c>
      <c r="C27" s="111" t="s">
        <v>272</v>
      </c>
      <c r="D27" s="106">
        <f>SUM(D28:D32)</f>
        <v>260000</v>
      </c>
    </row>
    <row r="28" spans="2:4" x14ac:dyDescent="0.25">
      <c r="B28" s="94">
        <v>54304</v>
      </c>
      <c r="C28" s="109" t="s">
        <v>382</v>
      </c>
      <c r="D28" s="108">
        <v>50000</v>
      </c>
    </row>
    <row r="29" spans="2:4" x14ac:dyDescent="0.25">
      <c r="B29" s="94">
        <v>54313</v>
      </c>
      <c r="C29" s="109" t="s">
        <v>276</v>
      </c>
      <c r="D29" s="108">
        <v>10000</v>
      </c>
    </row>
    <row r="30" spans="2:4" x14ac:dyDescent="0.25">
      <c r="B30" s="94">
        <v>54314</v>
      </c>
      <c r="C30" s="109" t="s">
        <v>277</v>
      </c>
      <c r="D30" s="108">
        <v>30000</v>
      </c>
    </row>
    <row r="31" spans="2:4" x14ac:dyDescent="0.25">
      <c r="B31" s="94">
        <v>54316</v>
      </c>
      <c r="C31" s="109" t="s">
        <v>367</v>
      </c>
      <c r="D31" s="108">
        <v>80000</v>
      </c>
    </row>
    <row r="32" spans="2:4" x14ac:dyDescent="0.25">
      <c r="B32" s="94">
        <v>54399</v>
      </c>
      <c r="C32" s="109" t="s">
        <v>278</v>
      </c>
      <c r="D32" s="108">
        <v>90000</v>
      </c>
    </row>
    <row r="33" spans="2:4" x14ac:dyDescent="0.25">
      <c r="B33" s="85">
        <v>545</v>
      </c>
      <c r="C33" s="111" t="s">
        <v>279</v>
      </c>
      <c r="D33" s="106">
        <f>SUM(D34)</f>
        <v>90000</v>
      </c>
    </row>
    <row r="34" spans="2:4" x14ac:dyDescent="0.25">
      <c r="B34" s="94">
        <v>54599</v>
      </c>
      <c r="C34" s="109" t="s">
        <v>393</v>
      </c>
      <c r="D34" s="108">
        <v>90000</v>
      </c>
    </row>
    <row r="35" spans="2:4" x14ac:dyDescent="0.25">
      <c r="B35" s="85">
        <v>55</v>
      </c>
      <c r="C35" s="111" t="s">
        <v>142</v>
      </c>
      <c r="D35" s="106">
        <f>SUM(D36+D38)</f>
        <v>27219.03</v>
      </c>
    </row>
    <row r="36" spans="2:4" x14ac:dyDescent="0.25">
      <c r="B36" s="85">
        <v>553</v>
      </c>
      <c r="C36" s="111" t="s">
        <v>394</v>
      </c>
      <c r="D36" s="106">
        <f>SUM(D37)</f>
        <v>27000</v>
      </c>
    </row>
    <row r="37" spans="2:4" x14ac:dyDescent="0.25">
      <c r="B37" s="94">
        <v>55302</v>
      </c>
      <c r="C37" s="109" t="s">
        <v>395</v>
      </c>
      <c r="D37" s="108">
        <v>27000</v>
      </c>
    </row>
    <row r="38" spans="2:4" x14ac:dyDescent="0.25">
      <c r="B38" s="85">
        <v>556</v>
      </c>
      <c r="C38" s="111" t="s">
        <v>396</v>
      </c>
      <c r="D38" s="106">
        <f>SUM(D39)</f>
        <v>219.03</v>
      </c>
    </row>
    <row r="39" spans="2:4" x14ac:dyDescent="0.25">
      <c r="B39" s="94">
        <v>55603</v>
      </c>
      <c r="C39" s="109" t="s">
        <v>342</v>
      </c>
      <c r="D39" s="108">
        <v>219.03</v>
      </c>
    </row>
    <row r="40" spans="2:4" x14ac:dyDescent="0.25">
      <c r="B40" s="85">
        <v>61</v>
      </c>
      <c r="C40" s="111" t="s">
        <v>295</v>
      </c>
      <c r="D40" s="106">
        <f t="shared" ref="D40" si="0">SUM(D41)</f>
        <v>103157.92</v>
      </c>
    </row>
    <row r="41" spans="2:4" x14ac:dyDescent="0.25">
      <c r="B41" s="85">
        <v>616</v>
      </c>
      <c r="C41" s="111" t="s">
        <v>397</v>
      </c>
      <c r="D41" s="106">
        <f>SUM(D42+D43)</f>
        <v>103157.92</v>
      </c>
    </row>
    <row r="42" spans="2:4" x14ac:dyDescent="0.25">
      <c r="B42" s="94">
        <v>61608</v>
      </c>
      <c r="C42" s="109" t="s">
        <v>398</v>
      </c>
      <c r="D42" s="108">
        <v>21300</v>
      </c>
    </row>
    <row r="43" spans="2:4" x14ac:dyDescent="0.25">
      <c r="B43" s="94">
        <v>61699</v>
      </c>
      <c r="C43" s="109" t="s">
        <v>399</v>
      </c>
      <c r="D43" s="108">
        <v>81857.919999999998</v>
      </c>
    </row>
    <row r="44" spans="2:4" x14ac:dyDescent="0.25">
      <c r="B44" s="94"/>
      <c r="C44" s="109"/>
      <c r="D44" s="108"/>
    </row>
    <row r="45" spans="2:4" x14ac:dyDescent="0.25">
      <c r="B45" s="94"/>
      <c r="C45" s="111" t="s">
        <v>75</v>
      </c>
      <c r="D45" s="106">
        <f>SUM(D12+D15+D35+D40)</f>
        <v>977695.12</v>
      </c>
    </row>
    <row r="46" spans="2:4" x14ac:dyDescent="0.25">
      <c r="B46" s="94"/>
      <c r="C46" s="109"/>
      <c r="D46" s="108"/>
    </row>
    <row r="47" spans="2:4" x14ac:dyDescent="0.25">
      <c r="B47" s="85"/>
      <c r="C47" s="111" t="s">
        <v>65</v>
      </c>
      <c r="D47" s="106">
        <f>SUM(D12+D15+D35+D40)</f>
        <v>977695.12</v>
      </c>
    </row>
    <row r="48" spans="2:4" x14ac:dyDescent="0.25">
      <c r="B48" s="85"/>
      <c r="C48" s="111" t="s">
        <v>66</v>
      </c>
      <c r="D48" s="106">
        <f>SUM(D13+D16+D27+D33+D36+D38+D41)</f>
        <v>977695.12</v>
      </c>
    </row>
    <row r="49" spans="2:4" x14ac:dyDescent="0.25">
      <c r="B49" s="85"/>
      <c r="C49" s="111" t="s">
        <v>67</v>
      </c>
      <c r="D49" s="106">
        <f>SUM(D14+D17+D18+D19+D20+D21+D22+D23+D24+D25+D26+D28+D29+D30+D31+D32+D34+D37+D39+D42+D43)</f>
        <v>977695.12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D33"/>
  <sheetViews>
    <sheetView workbookViewId="0">
      <selection activeCell="J25" sqref="J25"/>
    </sheetView>
  </sheetViews>
  <sheetFormatPr baseColWidth="10" defaultRowHeight="15" x14ac:dyDescent="0.25"/>
  <cols>
    <col min="1" max="1" width="5.42578125" style="33" customWidth="1"/>
    <col min="2" max="2" width="9" style="33" customWidth="1"/>
    <col min="3" max="3" width="43" style="33" customWidth="1"/>
    <col min="4" max="4" width="17.5703125" style="33" customWidth="1"/>
    <col min="5" max="16384" width="11.42578125" style="33"/>
  </cols>
  <sheetData>
    <row r="2" spans="2:4" ht="15.75" x14ac:dyDescent="0.25">
      <c r="B2" s="404" t="s">
        <v>298</v>
      </c>
      <c r="C2" s="404"/>
      <c r="D2" s="404"/>
    </row>
    <row r="3" spans="2:4" ht="15.75" x14ac:dyDescent="0.25">
      <c r="B3" s="357" t="s">
        <v>238</v>
      </c>
      <c r="C3" s="357"/>
      <c r="D3" s="357"/>
    </row>
    <row r="4" spans="2:4" ht="15.75" x14ac:dyDescent="0.25">
      <c r="B4" s="402" t="s">
        <v>239</v>
      </c>
      <c r="C4" s="402"/>
      <c r="D4" s="402"/>
    </row>
    <row r="5" spans="2:4" ht="15.75" x14ac:dyDescent="0.25">
      <c r="B5" s="402" t="s">
        <v>299</v>
      </c>
      <c r="C5" s="402"/>
      <c r="D5" s="402"/>
    </row>
    <row r="6" spans="2:4" ht="15.75" x14ac:dyDescent="0.25">
      <c r="B6" s="149" t="s">
        <v>300</v>
      </c>
      <c r="C6" s="150"/>
      <c r="D6" s="150"/>
    </row>
    <row r="7" spans="2:4" ht="15.75" x14ac:dyDescent="0.25">
      <c r="B7" s="402" t="s">
        <v>241</v>
      </c>
      <c r="C7" s="402"/>
      <c r="D7" s="402"/>
    </row>
    <row r="8" spans="2:4" ht="15.75" x14ac:dyDescent="0.25">
      <c r="B8" s="401" t="s">
        <v>432</v>
      </c>
      <c r="C8" s="401"/>
      <c r="D8" s="401"/>
    </row>
    <row r="9" spans="2:4" x14ac:dyDescent="0.25">
      <c r="B9" s="34"/>
      <c r="C9" s="34"/>
      <c r="D9" s="44"/>
    </row>
    <row r="10" spans="2:4" x14ac:dyDescent="0.25">
      <c r="B10" s="439" t="s">
        <v>243</v>
      </c>
      <c r="C10" s="439" t="s">
        <v>244</v>
      </c>
      <c r="D10" s="102" t="s">
        <v>246</v>
      </c>
    </row>
    <row r="11" spans="2:4" x14ac:dyDescent="0.25">
      <c r="B11" s="440"/>
      <c r="C11" s="440"/>
      <c r="D11" s="102" t="s">
        <v>389</v>
      </c>
    </row>
    <row r="12" spans="2:4" x14ac:dyDescent="0.25">
      <c r="B12" s="85">
        <v>54</v>
      </c>
      <c r="C12" s="111" t="s">
        <v>301</v>
      </c>
      <c r="D12" s="106">
        <f>SUM(D13+D20+D23)</f>
        <v>2180.5699999999997</v>
      </c>
    </row>
    <row r="13" spans="2:4" x14ac:dyDescent="0.25">
      <c r="B13" s="85">
        <v>541</v>
      </c>
      <c r="C13" s="111" t="s">
        <v>302</v>
      </c>
      <c r="D13" s="106">
        <f>SUM(D14:D19)</f>
        <v>1730.57</v>
      </c>
    </row>
    <row r="14" spans="2:4" x14ac:dyDescent="0.25">
      <c r="B14" s="94">
        <v>54101</v>
      </c>
      <c r="C14" s="109" t="s">
        <v>261</v>
      </c>
      <c r="D14" s="108">
        <v>300</v>
      </c>
    </row>
    <row r="15" spans="2:4" x14ac:dyDescent="0.25">
      <c r="B15" s="94">
        <v>54104</v>
      </c>
      <c r="C15" s="109" t="s">
        <v>263</v>
      </c>
      <c r="D15" s="108">
        <v>500</v>
      </c>
    </row>
    <row r="16" spans="2:4" x14ac:dyDescent="0.25">
      <c r="B16" s="94">
        <v>54105</v>
      </c>
      <c r="C16" s="109" t="s">
        <v>264</v>
      </c>
      <c r="D16" s="108">
        <v>70</v>
      </c>
    </row>
    <row r="17" spans="2:4" x14ac:dyDescent="0.25">
      <c r="B17" s="94">
        <v>54111</v>
      </c>
      <c r="C17" s="109" t="s">
        <v>391</v>
      </c>
      <c r="D17" s="108">
        <v>310.57</v>
      </c>
    </row>
    <row r="18" spans="2:4" x14ac:dyDescent="0.25">
      <c r="B18" s="94">
        <v>54112</v>
      </c>
      <c r="C18" s="109" t="s">
        <v>392</v>
      </c>
      <c r="D18" s="108">
        <v>450</v>
      </c>
    </row>
    <row r="19" spans="2:4" x14ac:dyDescent="0.25">
      <c r="B19" s="94">
        <v>54199</v>
      </c>
      <c r="C19" s="109" t="s">
        <v>271</v>
      </c>
      <c r="D19" s="108">
        <v>100</v>
      </c>
    </row>
    <row r="20" spans="2:4" x14ac:dyDescent="0.25">
      <c r="B20" s="85">
        <v>543</v>
      </c>
      <c r="C20" s="111" t="s">
        <v>272</v>
      </c>
      <c r="D20" s="106">
        <f>SUM(D21:D22)</f>
        <v>350</v>
      </c>
    </row>
    <row r="21" spans="2:4" x14ac:dyDescent="0.25">
      <c r="B21" s="94">
        <v>54304</v>
      </c>
      <c r="C21" s="109" t="s">
        <v>382</v>
      </c>
      <c r="D21" s="108">
        <v>200</v>
      </c>
    </row>
    <row r="22" spans="2:4" x14ac:dyDescent="0.25">
      <c r="B22" s="94">
        <v>54313</v>
      </c>
      <c r="C22" s="109" t="s">
        <v>276</v>
      </c>
      <c r="D22" s="108">
        <v>150</v>
      </c>
    </row>
    <row r="23" spans="2:4" x14ac:dyDescent="0.25">
      <c r="B23" s="85">
        <v>545</v>
      </c>
      <c r="C23" s="111" t="s">
        <v>279</v>
      </c>
      <c r="D23" s="106">
        <f>SUM(D24)</f>
        <v>100</v>
      </c>
    </row>
    <row r="24" spans="2:4" x14ac:dyDescent="0.25">
      <c r="B24" s="94">
        <v>54599</v>
      </c>
      <c r="C24" s="109" t="s">
        <v>393</v>
      </c>
      <c r="D24" s="108">
        <v>100</v>
      </c>
    </row>
    <row r="25" spans="2:4" x14ac:dyDescent="0.25">
      <c r="B25" s="85">
        <v>55</v>
      </c>
      <c r="C25" s="111" t="s">
        <v>142</v>
      </c>
      <c r="D25" s="106">
        <f>SUM(+D26)</f>
        <v>50</v>
      </c>
    </row>
    <row r="26" spans="2:4" x14ac:dyDescent="0.25">
      <c r="B26" s="85">
        <v>556</v>
      </c>
      <c r="C26" s="111" t="s">
        <v>396</v>
      </c>
      <c r="D26" s="106">
        <f>SUM(D27)</f>
        <v>50</v>
      </c>
    </row>
    <row r="27" spans="2:4" x14ac:dyDescent="0.25">
      <c r="B27" s="94">
        <v>55603</v>
      </c>
      <c r="C27" s="109" t="s">
        <v>342</v>
      </c>
      <c r="D27" s="108">
        <v>50</v>
      </c>
    </row>
    <row r="28" spans="2:4" x14ac:dyDescent="0.25">
      <c r="B28" s="94"/>
      <c r="C28" s="109"/>
      <c r="D28" s="108"/>
    </row>
    <row r="29" spans="2:4" x14ac:dyDescent="0.25">
      <c r="B29" s="94"/>
      <c r="C29" s="111" t="s">
        <v>75</v>
      </c>
      <c r="D29" s="106">
        <f>SUM(+D12+D25)</f>
        <v>2230.5699999999997</v>
      </c>
    </row>
    <row r="30" spans="2:4" x14ac:dyDescent="0.25">
      <c r="B30" s="94"/>
      <c r="C30" s="109"/>
      <c r="D30" s="108"/>
    </row>
    <row r="31" spans="2:4" x14ac:dyDescent="0.25">
      <c r="B31" s="85"/>
      <c r="C31" s="111" t="s">
        <v>65</v>
      </c>
      <c r="D31" s="106">
        <f>SUM(+D12+D25)</f>
        <v>2230.5699999999997</v>
      </c>
    </row>
    <row r="32" spans="2:4" x14ac:dyDescent="0.25">
      <c r="B32" s="85"/>
      <c r="C32" s="111" t="s">
        <v>66</v>
      </c>
      <c r="D32" s="106">
        <f>SUM(D13+D20+D23+D26)</f>
        <v>2230.5699999999997</v>
      </c>
    </row>
    <row r="33" spans="2:4" x14ac:dyDescent="0.25">
      <c r="B33" s="85"/>
      <c r="C33" s="111" t="s">
        <v>67</v>
      </c>
      <c r="D33" s="106">
        <f>SUM(D14+D15+D16+D17+D18+D19+D21+D22+D24+D27)</f>
        <v>2230.5699999999997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D29"/>
  <sheetViews>
    <sheetView workbookViewId="0">
      <selection activeCell="H13" sqref="H13"/>
    </sheetView>
  </sheetViews>
  <sheetFormatPr baseColWidth="10" defaultRowHeight="15" x14ac:dyDescent="0.25"/>
  <cols>
    <col min="1" max="1" width="3.5703125" style="33" customWidth="1"/>
    <col min="2" max="2" width="9.7109375" style="33" customWidth="1"/>
    <col min="3" max="3" width="43.7109375" style="33" customWidth="1"/>
    <col min="4" max="4" width="23.7109375" style="33" customWidth="1"/>
    <col min="5" max="16384" width="11.42578125" style="33"/>
  </cols>
  <sheetData>
    <row r="2" spans="2:4" ht="15.75" x14ac:dyDescent="0.25">
      <c r="B2" s="404" t="s">
        <v>298</v>
      </c>
      <c r="C2" s="404"/>
      <c r="D2" s="404"/>
    </row>
    <row r="3" spans="2:4" ht="15.75" x14ac:dyDescent="0.25">
      <c r="B3" s="357" t="s">
        <v>238</v>
      </c>
      <c r="C3" s="357"/>
      <c r="D3" s="357"/>
    </row>
    <row r="4" spans="2:4" ht="15.75" x14ac:dyDescent="0.25">
      <c r="B4" s="402" t="s">
        <v>239</v>
      </c>
      <c r="C4" s="402"/>
      <c r="D4" s="402"/>
    </row>
    <row r="5" spans="2:4" ht="15.75" x14ac:dyDescent="0.25">
      <c r="B5" s="402" t="s">
        <v>299</v>
      </c>
      <c r="C5" s="402"/>
      <c r="D5" s="402"/>
    </row>
    <row r="6" spans="2:4" ht="15.75" x14ac:dyDescent="0.25">
      <c r="B6" s="149" t="s">
        <v>300</v>
      </c>
      <c r="C6" s="150"/>
      <c r="D6" s="150"/>
    </row>
    <row r="7" spans="2:4" ht="15.75" x14ac:dyDescent="0.25">
      <c r="B7" s="402" t="s">
        <v>241</v>
      </c>
      <c r="C7" s="402"/>
      <c r="D7" s="402"/>
    </row>
    <row r="8" spans="2:4" ht="15.75" x14ac:dyDescent="0.25">
      <c r="B8" s="401" t="s">
        <v>455</v>
      </c>
      <c r="C8" s="401"/>
      <c r="D8" s="401"/>
    </row>
    <row r="9" spans="2:4" x14ac:dyDescent="0.25">
      <c r="B9" s="34"/>
      <c r="C9" s="34"/>
      <c r="D9" s="44"/>
    </row>
    <row r="10" spans="2:4" x14ac:dyDescent="0.25">
      <c r="B10" s="439" t="s">
        <v>243</v>
      </c>
      <c r="C10" s="439" t="s">
        <v>244</v>
      </c>
      <c r="D10" s="102" t="s">
        <v>246</v>
      </c>
    </row>
    <row r="11" spans="2:4" x14ac:dyDescent="0.25">
      <c r="B11" s="440"/>
      <c r="C11" s="440"/>
      <c r="D11" s="102" t="s">
        <v>389</v>
      </c>
    </row>
    <row r="12" spans="2:4" x14ac:dyDescent="0.25">
      <c r="B12" s="85">
        <v>54</v>
      </c>
      <c r="C12" s="111" t="s">
        <v>301</v>
      </c>
      <c r="D12" s="106">
        <f>SUM(D13+D16+D19)</f>
        <v>3716.9</v>
      </c>
    </row>
    <row r="13" spans="2:4" x14ac:dyDescent="0.25">
      <c r="B13" s="85">
        <v>541</v>
      </c>
      <c r="C13" s="111" t="s">
        <v>302</v>
      </c>
      <c r="D13" s="106">
        <f>SUM(D14:D15)</f>
        <v>1600</v>
      </c>
    </row>
    <row r="14" spans="2:4" x14ac:dyDescent="0.25">
      <c r="B14" s="94">
        <v>54101</v>
      </c>
      <c r="C14" s="109" t="s">
        <v>261</v>
      </c>
      <c r="D14" s="108">
        <v>900</v>
      </c>
    </row>
    <row r="15" spans="2:4" x14ac:dyDescent="0.25">
      <c r="B15" s="94">
        <v>54199</v>
      </c>
      <c r="C15" s="109" t="s">
        <v>271</v>
      </c>
      <c r="D15" s="108">
        <v>700</v>
      </c>
    </row>
    <row r="16" spans="2:4" x14ac:dyDescent="0.25">
      <c r="B16" s="85">
        <v>543</v>
      </c>
      <c r="C16" s="111" t="s">
        <v>272</v>
      </c>
      <c r="D16" s="106">
        <f>SUM(D17:D18)</f>
        <v>1116.9000000000001</v>
      </c>
    </row>
    <row r="17" spans="2:4" x14ac:dyDescent="0.25">
      <c r="B17" s="94">
        <v>54304</v>
      </c>
      <c r="C17" s="109" t="s">
        <v>382</v>
      </c>
      <c r="D17" s="108">
        <v>600</v>
      </c>
    </row>
    <row r="18" spans="2:4" x14ac:dyDescent="0.25">
      <c r="B18" s="94">
        <v>54399</v>
      </c>
      <c r="C18" s="109" t="s">
        <v>278</v>
      </c>
      <c r="D18" s="108">
        <v>516.9</v>
      </c>
    </row>
    <row r="19" spans="2:4" x14ac:dyDescent="0.25">
      <c r="B19" s="85">
        <v>545</v>
      </c>
      <c r="C19" s="111" t="s">
        <v>279</v>
      </c>
      <c r="D19" s="106">
        <f>SUM(D20)</f>
        <v>1000</v>
      </c>
    </row>
    <row r="20" spans="2:4" x14ac:dyDescent="0.25">
      <c r="B20" s="94">
        <v>54599</v>
      </c>
      <c r="C20" s="109" t="s">
        <v>393</v>
      </c>
      <c r="D20" s="108">
        <v>1000</v>
      </c>
    </row>
    <row r="21" spans="2:4" x14ac:dyDescent="0.25">
      <c r="B21" s="85">
        <v>55</v>
      </c>
      <c r="C21" s="111" t="s">
        <v>142</v>
      </c>
      <c r="D21" s="106">
        <f>SUM(+D22)</f>
        <v>25</v>
      </c>
    </row>
    <row r="22" spans="2:4" x14ac:dyDescent="0.25">
      <c r="B22" s="85">
        <v>556</v>
      </c>
      <c r="C22" s="111" t="s">
        <v>396</v>
      </c>
      <c r="D22" s="106">
        <f>SUM(D23)</f>
        <v>25</v>
      </c>
    </row>
    <row r="23" spans="2:4" x14ac:dyDescent="0.25">
      <c r="B23" s="94">
        <v>55603</v>
      </c>
      <c r="C23" s="109" t="s">
        <v>342</v>
      </c>
      <c r="D23" s="108">
        <v>25</v>
      </c>
    </row>
    <row r="24" spans="2:4" x14ac:dyDescent="0.25">
      <c r="B24" s="94"/>
      <c r="C24" s="109"/>
      <c r="D24" s="108"/>
    </row>
    <row r="25" spans="2:4" x14ac:dyDescent="0.25">
      <c r="B25" s="94"/>
      <c r="C25" s="111" t="s">
        <v>75</v>
      </c>
      <c r="D25" s="106">
        <f>SUM(D12+D21)</f>
        <v>3741.9</v>
      </c>
    </row>
    <row r="26" spans="2:4" x14ac:dyDescent="0.25">
      <c r="B26" s="94"/>
      <c r="C26" s="109"/>
      <c r="D26" s="108"/>
    </row>
    <row r="27" spans="2:4" x14ac:dyDescent="0.25">
      <c r="B27" s="85"/>
      <c r="C27" s="111" t="s">
        <v>65</v>
      </c>
      <c r="D27" s="106">
        <f>SUM(D12+D21)</f>
        <v>3741.9</v>
      </c>
    </row>
    <row r="28" spans="2:4" x14ac:dyDescent="0.25">
      <c r="B28" s="85"/>
      <c r="C28" s="111" t="s">
        <v>66</v>
      </c>
      <c r="D28" s="106">
        <f>SUM(D13+D16+D19+D22)</f>
        <v>3741.9</v>
      </c>
    </row>
    <row r="29" spans="2:4" x14ac:dyDescent="0.25">
      <c r="B29" s="85"/>
      <c r="C29" s="111" t="s">
        <v>67</v>
      </c>
      <c r="D29" s="106">
        <f>SUM(D14+D15+D17+D18+D20+D23)</f>
        <v>3741.9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36"/>
  <sheetViews>
    <sheetView zoomScaleNormal="100" workbookViewId="0">
      <selection activeCell="C42" sqref="C42"/>
    </sheetView>
  </sheetViews>
  <sheetFormatPr baseColWidth="10" defaultRowHeight="15" x14ac:dyDescent="0.25"/>
  <cols>
    <col min="1" max="1" width="7.28515625" style="207" customWidth="1"/>
    <col min="2" max="2" width="30.7109375" style="207" customWidth="1"/>
    <col min="3" max="3" width="22.28515625" style="207" customWidth="1"/>
    <col min="4" max="4" width="18.85546875" style="207" customWidth="1"/>
    <col min="5" max="16384" width="11.42578125" style="207"/>
  </cols>
  <sheetData>
    <row r="2" spans="2:4" ht="18" x14ac:dyDescent="0.25">
      <c r="B2" s="380" t="s">
        <v>401</v>
      </c>
      <c r="C2" s="381"/>
      <c r="D2" s="382"/>
    </row>
    <row r="3" spans="2:4" ht="18" x14ac:dyDescent="0.25">
      <c r="B3" s="201" t="s">
        <v>147</v>
      </c>
      <c r="C3" s="201" t="s">
        <v>448</v>
      </c>
      <c r="D3" s="201" t="s">
        <v>148</v>
      </c>
    </row>
    <row r="4" spans="2:4" ht="15.75" x14ac:dyDescent="0.25">
      <c r="B4" s="285" t="s">
        <v>149</v>
      </c>
      <c r="C4" s="294">
        <f>+'CONCEJO MPAL'!D64</f>
        <v>172356.4</v>
      </c>
      <c r="D4" s="294">
        <f>'CONCEJO MPAL'!E62</f>
        <v>105279.95</v>
      </c>
    </row>
    <row r="5" spans="2:4" ht="15.75" x14ac:dyDescent="0.25">
      <c r="B5" s="285" t="s">
        <v>150</v>
      </c>
      <c r="C5" s="294">
        <f>+DESPACHO!D60</f>
        <v>151766.62</v>
      </c>
      <c r="D5" s="294">
        <f>+DESPACHO!E58</f>
        <v>91832.81</v>
      </c>
    </row>
    <row r="6" spans="2:4" ht="15.75" x14ac:dyDescent="0.25">
      <c r="B6" s="285" t="s">
        <v>151</v>
      </c>
      <c r="C6" s="294">
        <f>+SINDICATURA!D33</f>
        <v>18425</v>
      </c>
      <c r="D6" s="294">
        <f>SINDICATURA!E31</f>
        <v>4882.5</v>
      </c>
    </row>
    <row r="7" spans="2:4" ht="15.75" x14ac:dyDescent="0.25">
      <c r="B7" s="285" t="s">
        <v>152</v>
      </c>
      <c r="C7" s="294">
        <f>+SECRETARIA!D36</f>
        <v>22889</v>
      </c>
      <c r="D7" s="294">
        <f>SECRETARIA!E34</f>
        <v>10044</v>
      </c>
    </row>
    <row r="8" spans="2:4" ht="15.75" x14ac:dyDescent="0.25">
      <c r="B8" s="285" t="s">
        <v>153</v>
      </c>
      <c r="C8" s="294">
        <f>+JURIDICO!D36</f>
        <v>9540</v>
      </c>
      <c r="D8" s="294">
        <f>JURIDICO!E34</f>
        <v>4650</v>
      </c>
    </row>
    <row r="9" spans="2:4" ht="15.75" x14ac:dyDescent="0.25">
      <c r="B9" s="285" t="s">
        <v>154</v>
      </c>
      <c r="C9" s="294">
        <f>+GERENCIA!D40</f>
        <v>20332.5</v>
      </c>
      <c r="D9" s="294">
        <f>GERENCIA!E38</f>
        <v>7661.5</v>
      </c>
    </row>
    <row r="10" spans="2:4" ht="15.75" x14ac:dyDescent="0.25">
      <c r="B10" s="285" t="s">
        <v>155</v>
      </c>
      <c r="C10" s="294">
        <f>+AUDITORIA!D37</f>
        <v>6578.25</v>
      </c>
      <c r="D10" s="294">
        <f>AUDITORIA!E35</f>
        <v>5231.25</v>
      </c>
    </row>
    <row r="11" spans="2:4" ht="15.75" x14ac:dyDescent="0.25">
      <c r="B11" s="285" t="s">
        <v>156</v>
      </c>
      <c r="C11" s="294">
        <f>+RRHH!D39</f>
        <v>53876.6</v>
      </c>
      <c r="D11" s="294">
        <f>RRHH!E37</f>
        <v>9765</v>
      </c>
    </row>
    <row r="12" spans="2:4" ht="15.75" x14ac:dyDescent="0.25">
      <c r="B12" s="285" t="s">
        <v>157</v>
      </c>
      <c r="C12" s="294">
        <f>+CONTABILIDAD!D34</f>
        <v>13960.55</v>
      </c>
      <c r="D12" s="294">
        <f>CONTABILIDAD!E32</f>
        <v>5859</v>
      </c>
    </row>
    <row r="13" spans="2:4" ht="15.75" x14ac:dyDescent="0.25">
      <c r="B13" s="285" t="s">
        <v>158</v>
      </c>
      <c r="C13" s="294">
        <f>+PRESUPUESTO!D31</f>
        <v>8352</v>
      </c>
      <c r="D13" s="294">
        <f>PRESUPUESTO!E29</f>
        <v>11160</v>
      </c>
    </row>
    <row r="14" spans="2:4" ht="15.75" x14ac:dyDescent="0.25">
      <c r="B14" s="285" t="s">
        <v>159</v>
      </c>
      <c r="C14" s="294">
        <f>+TESORERIA!D36</f>
        <v>42725.5</v>
      </c>
      <c r="D14" s="294">
        <f>TESORERIA!E34</f>
        <v>22152.5</v>
      </c>
    </row>
    <row r="15" spans="2:4" ht="15.75" x14ac:dyDescent="0.25">
      <c r="B15" s="285" t="s">
        <v>160</v>
      </c>
      <c r="C15" s="294">
        <f>+UATM!D45</f>
        <v>59345.75</v>
      </c>
      <c r="D15" s="294">
        <f>UATM!E43</f>
        <v>23016</v>
      </c>
    </row>
    <row r="16" spans="2:4" ht="15.75" x14ac:dyDescent="0.25">
      <c r="B16" s="285" t="s">
        <v>161</v>
      </c>
      <c r="C16" s="294">
        <f>+UACI!D33</f>
        <v>21845</v>
      </c>
      <c r="D16" s="294">
        <f>UACI!E31</f>
        <v>10462.5</v>
      </c>
    </row>
    <row r="17" spans="2:4" ht="15.75" x14ac:dyDescent="0.25">
      <c r="B17" s="285" t="s">
        <v>162</v>
      </c>
      <c r="C17" s="294">
        <f>+MERCADO!D36</f>
        <v>16625.849999999999</v>
      </c>
      <c r="D17" s="294">
        <f>MERCADO!E34</f>
        <v>8370</v>
      </c>
    </row>
    <row r="18" spans="2:4" ht="15.75" x14ac:dyDescent="0.25">
      <c r="B18" s="285" t="s">
        <v>163</v>
      </c>
      <c r="C18" s="294">
        <f>+'REGISTRO FAM'!D36</f>
        <v>25362.510000000002</v>
      </c>
      <c r="D18" s="294">
        <f>'REGISTRO FAM'!E34</f>
        <v>13531.5</v>
      </c>
    </row>
    <row r="19" spans="2:4" ht="15.75" x14ac:dyDescent="0.25">
      <c r="B19" s="285" t="s">
        <v>164</v>
      </c>
      <c r="C19" s="294">
        <f>+CEMENTERIO!D34</f>
        <v>5315.75</v>
      </c>
      <c r="D19" s="294">
        <f>CEMENTERIO!E32</f>
        <v>2790</v>
      </c>
    </row>
    <row r="20" spans="2:4" ht="15.75" x14ac:dyDescent="0.25">
      <c r="B20" s="285" t="s">
        <v>165</v>
      </c>
      <c r="C20" s="294">
        <f>+DISTRITO!D47</f>
        <v>33073</v>
      </c>
      <c r="D20" s="294">
        <f>DISTRITO!E45</f>
        <v>58630</v>
      </c>
    </row>
    <row r="21" spans="2:4" ht="15.75" x14ac:dyDescent="0.25">
      <c r="B21" s="285" t="s">
        <v>166</v>
      </c>
      <c r="C21" s="294">
        <f>+PROYECTOS!D44</f>
        <v>37974.910000000003</v>
      </c>
      <c r="D21" s="294">
        <f>PROYECTOS!E44</f>
        <v>17405</v>
      </c>
    </row>
    <row r="22" spans="2:4" ht="15.75" x14ac:dyDescent="0.25">
      <c r="B22" s="285" t="s">
        <v>167</v>
      </c>
      <c r="C22" s="294">
        <f>+'ACCESO A LA INF PUBLICA'!D35</f>
        <v>4508.96</v>
      </c>
      <c r="D22" s="294">
        <f>'ACCESO A LA INF PUBLICA'!E33</f>
        <v>3487.5</v>
      </c>
    </row>
    <row r="23" spans="2:4" ht="15.75" x14ac:dyDescent="0.25">
      <c r="B23" s="285" t="s">
        <v>168</v>
      </c>
      <c r="C23" s="294">
        <f>+'DESARROLLO TEC.'!D36</f>
        <v>8792.75</v>
      </c>
      <c r="D23" s="294">
        <f>'DESARROLLO TEC.'!E34</f>
        <v>4185</v>
      </c>
    </row>
    <row r="24" spans="2:4" ht="15.75" x14ac:dyDescent="0.25">
      <c r="B24" s="285" t="s">
        <v>169</v>
      </c>
      <c r="C24" s="294">
        <f>+COMUNICACIONES!D37</f>
        <v>13774.15</v>
      </c>
      <c r="D24" s="294">
        <f>COMUNICACIONES!E35</f>
        <v>5664</v>
      </c>
    </row>
    <row r="25" spans="2:4" ht="15.75" x14ac:dyDescent="0.25">
      <c r="B25" s="285" t="s">
        <v>170</v>
      </c>
      <c r="C25" s="294">
        <f>+CAM!D38</f>
        <v>189925</v>
      </c>
      <c r="D25" s="294">
        <f>+CAM!E38</f>
        <v>33817.5</v>
      </c>
    </row>
    <row r="26" spans="2:4" ht="15.75" x14ac:dyDescent="0.25">
      <c r="B26" s="285" t="s">
        <v>171</v>
      </c>
      <c r="C26" s="294">
        <f>+DHI!D41</f>
        <v>69542.5</v>
      </c>
      <c r="D26" s="294">
        <f>DHI!E39</f>
        <v>23017.5</v>
      </c>
    </row>
    <row r="27" spans="2:4" ht="15.75" x14ac:dyDescent="0.25">
      <c r="B27" s="285" t="s">
        <v>172</v>
      </c>
      <c r="C27" s="294">
        <f>+SG!D52</f>
        <v>294940.5</v>
      </c>
      <c r="D27" s="294">
        <f>+SG!E50</f>
        <v>185460.99000000002</v>
      </c>
    </row>
    <row r="28" spans="2:4" ht="15.75" x14ac:dyDescent="0.25">
      <c r="B28" s="285" t="s">
        <v>173</v>
      </c>
      <c r="C28" s="294">
        <f>+'MEDIO AMBIENTE'!D41</f>
        <v>10319</v>
      </c>
      <c r="D28" s="294">
        <f>'MEDIO AMBIENTE'!E39</f>
        <v>6922.5</v>
      </c>
    </row>
    <row r="29" spans="2:4" ht="15.75" x14ac:dyDescent="0.25">
      <c r="B29" s="285" t="s">
        <v>174</v>
      </c>
      <c r="C29" s="294">
        <f>+'GESTION DE RIESGO'!D41</f>
        <v>22993.68</v>
      </c>
      <c r="D29" s="294">
        <f>+'GESTION DE RIESGO'!E39</f>
        <v>12596.970000000001</v>
      </c>
    </row>
    <row r="30" spans="2:4" ht="15.75" x14ac:dyDescent="0.25">
      <c r="B30" s="285" t="s">
        <v>175</v>
      </c>
      <c r="C30" s="294">
        <f>+UDEL!D33</f>
        <v>13460</v>
      </c>
      <c r="D30" s="294">
        <f>UDEL!E31</f>
        <v>6277.5</v>
      </c>
    </row>
    <row r="31" spans="2:4" ht="15.75" x14ac:dyDescent="0.25">
      <c r="B31" s="285" t="s">
        <v>176</v>
      </c>
      <c r="C31" s="294">
        <f>'PROMOCION SOCIAL'!D36</f>
        <v>113969.87</v>
      </c>
      <c r="D31" s="294">
        <f>'PROMOCION SOCIAL'!E36</f>
        <v>34092.630000000005</v>
      </c>
    </row>
    <row r="32" spans="2:4" ht="15.75" x14ac:dyDescent="0.25">
      <c r="B32" s="285" t="s">
        <v>177</v>
      </c>
      <c r="C32" s="294">
        <f>'GESTION Y COOPERACION'!D30</f>
        <v>18166.25</v>
      </c>
      <c r="D32" s="294">
        <f>+'GESTION Y COOPERACION'!E32</f>
        <v>0</v>
      </c>
    </row>
    <row r="33" spans="2:4" ht="15.75" x14ac:dyDescent="0.25">
      <c r="B33" s="285" t="s">
        <v>457</v>
      </c>
      <c r="C33" s="294">
        <f>+'GASTO DONACION'!D25</f>
        <v>3741.9</v>
      </c>
      <c r="D33" s="294">
        <v>0</v>
      </c>
    </row>
    <row r="34" spans="2:4" ht="15.75" x14ac:dyDescent="0.25">
      <c r="B34" s="288" t="s">
        <v>178</v>
      </c>
      <c r="C34" s="295">
        <f>SUM(C4:C33)</f>
        <v>1484479.7499999995</v>
      </c>
      <c r="D34" s="295">
        <f>SUM(D4:D32)</f>
        <v>728245.6</v>
      </c>
    </row>
    <row r="35" spans="2:4" ht="15.75" x14ac:dyDescent="0.25">
      <c r="B35" s="288" t="s">
        <v>179</v>
      </c>
      <c r="C35" s="295">
        <f>+'PRESU INGRESOS'!E71</f>
        <v>1484479.75</v>
      </c>
      <c r="D35" s="296">
        <f>+'PRESU INGRESOS'!D52+51526.12+'PRESU INGRESOS'!D64</f>
        <v>728245.6</v>
      </c>
    </row>
    <row r="36" spans="2:4" ht="15.75" x14ac:dyDescent="0.25">
      <c r="B36" s="288" t="s">
        <v>128</v>
      </c>
      <c r="C36" s="295">
        <f>C35-C34</f>
        <v>0</v>
      </c>
      <c r="D36" s="295">
        <f>D35-D34</f>
        <v>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35"/>
  <sheetViews>
    <sheetView workbookViewId="0">
      <pane ySplit="4" topLeftCell="A5" activePane="bottomLeft" state="frozen"/>
      <selection pane="bottomLeft" activeCell="J11" sqref="J11"/>
    </sheetView>
  </sheetViews>
  <sheetFormatPr baseColWidth="10" defaultRowHeight="14.25" x14ac:dyDescent="0.2"/>
  <cols>
    <col min="1" max="1" width="5" style="208" customWidth="1"/>
    <col min="2" max="2" width="29" style="208" customWidth="1"/>
    <col min="3" max="3" width="15.42578125" style="208" customWidth="1"/>
    <col min="4" max="4" width="16.140625" style="208" customWidth="1"/>
    <col min="5" max="5" width="17" style="208" customWidth="1"/>
    <col min="6" max="6" width="6.42578125" style="208" customWidth="1"/>
    <col min="7" max="7" width="2.85546875" style="208" customWidth="1"/>
    <col min="8" max="8" width="3" style="208" customWidth="1"/>
    <col min="9" max="9" width="30.28515625" style="208" customWidth="1"/>
    <col min="10" max="10" width="15.28515625" style="208" customWidth="1"/>
    <col min="11" max="11" width="14.140625" style="208" bestFit="1" customWidth="1"/>
    <col min="12" max="12" width="16.42578125" style="208" customWidth="1"/>
    <col min="13" max="16384" width="11.42578125" style="208"/>
  </cols>
  <sheetData>
    <row r="2" spans="2:12" ht="15" x14ac:dyDescent="0.25">
      <c r="C2" s="217">
        <v>51</v>
      </c>
      <c r="J2" s="217">
        <v>51</v>
      </c>
    </row>
    <row r="3" spans="2:12" ht="18" x14ac:dyDescent="0.25">
      <c r="B3" s="383" t="s">
        <v>460</v>
      </c>
      <c r="C3" s="383"/>
      <c r="D3" s="383"/>
      <c r="E3" s="383"/>
      <c r="F3" s="222"/>
      <c r="G3" s="222"/>
      <c r="H3" s="222"/>
      <c r="I3" s="383" t="s">
        <v>180</v>
      </c>
      <c r="J3" s="383"/>
      <c r="K3" s="383"/>
      <c r="L3" s="383"/>
    </row>
    <row r="4" spans="2:12" ht="18" x14ac:dyDescent="0.25">
      <c r="B4" s="348" t="s">
        <v>181</v>
      </c>
      <c r="C4" s="348" t="s">
        <v>407</v>
      </c>
      <c r="D4" s="223" t="s">
        <v>408</v>
      </c>
      <c r="E4" s="348" t="s">
        <v>182</v>
      </c>
      <c r="F4" s="222"/>
      <c r="G4" s="222"/>
      <c r="H4" s="222"/>
      <c r="I4" s="292" t="s">
        <v>181</v>
      </c>
      <c r="J4" s="292">
        <v>101</v>
      </c>
      <c r="K4" s="293">
        <v>401501</v>
      </c>
      <c r="L4" s="292" t="s">
        <v>182</v>
      </c>
    </row>
    <row r="5" spans="2:12" ht="15" x14ac:dyDescent="0.2">
      <c r="B5" s="221" t="s">
        <v>149</v>
      </c>
      <c r="C5" s="224">
        <f>+'CONCEJO MPAL'!D12</f>
        <v>57600</v>
      </c>
      <c r="D5" s="224">
        <f>+'CONCEJO MPAL'!D14+'CONCEJO MPAL'!D16+'CONCEJO MPAL'!D18</f>
        <v>34360</v>
      </c>
      <c r="E5" s="225">
        <f>SUM(C5:D5)</f>
        <v>91960</v>
      </c>
      <c r="F5" s="226"/>
      <c r="G5" s="222"/>
      <c r="H5" s="222"/>
      <c r="I5" s="285" t="s">
        <v>149</v>
      </c>
      <c r="J5" s="286">
        <f>+'CONCEJO MPAL'!E12</f>
        <v>57600</v>
      </c>
      <c r="K5" s="286">
        <f>+'CONCEJO MPAL'!E14+'CONCEJO MPAL'!E16+'CONCEJO MPAL'!E18</f>
        <v>9360</v>
      </c>
      <c r="L5" s="287">
        <f>SUM(J5:K5)</f>
        <v>66960</v>
      </c>
    </row>
    <row r="6" spans="2:12" ht="15" x14ac:dyDescent="0.2">
      <c r="B6" s="221" t="s">
        <v>195</v>
      </c>
      <c r="C6" s="224">
        <f>+'GESTION Y COOPERACION'!D14</f>
        <v>14900</v>
      </c>
      <c r="D6" s="224">
        <f>+'GESTION Y COOPERACION'!D17+'GESTION Y COOPERACION'!D19</f>
        <v>2291.25</v>
      </c>
      <c r="E6" s="225">
        <f>SUM(C6:D6)</f>
        <v>17191.25</v>
      </c>
      <c r="F6" s="226"/>
      <c r="G6" s="222"/>
      <c r="H6" s="222"/>
      <c r="I6" s="285" t="s">
        <v>195</v>
      </c>
      <c r="J6" s="286">
        <f>+'GESTION Y COOPERACION'!E14</f>
        <v>0</v>
      </c>
      <c r="K6" s="286">
        <f>+'GESTION Y COOPERACION'!E17+'GESTION Y COOPERACION'!E19</f>
        <v>0</v>
      </c>
      <c r="L6" s="287">
        <f>SUM(J6:K6)</f>
        <v>0</v>
      </c>
    </row>
    <row r="7" spans="2:12" ht="15" x14ac:dyDescent="0.2">
      <c r="B7" s="221" t="s">
        <v>150</v>
      </c>
      <c r="C7" s="224">
        <f>+DESPACHO!D12</f>
        <v>28040</v>
      </c>
      <c r="D7" s="224">
        <f>+DESPACHO!D15+DESPACHO!D17+DESPACHO!D19</f>
        <v>16277</v>
      </c>
      <c r="E7" s="225">
        <f t="shared" ref="E7:E33" si="0">SUM(C7:D7)</f>
        <v>44317</v>
      </c>
      <c r="F7" s="226"/>
      <c r="G7" s="222"/>
      <c r="H7" s="222"/>
      <c r="I7" s="285" t="s">
        <v>150</v>
      </c>
      <c r="J7" s="286">
        <f>+DESPACHO!E12</f>
        <v>7520</v>
      </c>
      <c r="K7" s="286">
        <f>+DESPACHO!E15+DESPACHO!E17</f>
        <v>1222</v>
      </c>
      <c r="L7" s="287">
        <f t="shared" ref="L7:L33" si="1">SUM(J7:K7)</f>
        <v>8742</v>
      </c>
    </row>
    <row r="8" spans="2:12" ht="15" x14ac:dyDescent="0.2">
      <c r="B8" s="221" t="s">
        <v>183</v>
      </c>
      <c r="C8" s="224">
        <f>+SINDICATURA!D12</f>
        <v>15200</v>
      </c>
      <c r="D8" s="224">
        <f>+SINDICATURA!D15+SINDICATURA!D17</f>
        <v>2340</v>
      </c>
      <c r="E8" s="225">
        <f t="shared" si="0"/>
        <v>17540</v>
      </c>
      <c r="F8" s="226"/>
      <c r="G8" s="222"/>
      <c r="H8" s="222"/>
      <c r="I8" s="285" t="s">
        <v>183</v>
      </c>
      <c r="J8" s="286">
        <f>+SINDICATURA!E12</f>
        <v>4200</v>
      </c>
      <c r="K8" s="286">
        <f>+SINDICATURA!E15+SINDICATURA!E17</f>
        <v>682.5</v>
      </c>
      <c r="L8" s="287">
        <f t="shared" si="1"/>
        <v>4882.5</v>
      </c>
    </row>
    <row r="9" spans="2:12" ht="15" x14ac:dyDescent="0.2">
      <c r="B9" s="221" t="s">
        <v>184</v>
      </c>
      <c r="C9" s="224">
        <f>+SECRETARIA!D12</f>
        <v>16180</v>
      </c>
      <c r="D9" s="224">
        <f>+SECRETARIA!D15+SECRETARIA!D17</f>
        <v>2379</v>
      </c>
      <c r="E9" s="225">
        <f t="shared" si="0"/>
        <v>18559</v>
      </c>
      <c r="F9" s="226"/>
      <c r="G9" s="222"/>
      <c r="H9" s="222"/>
      <c r="I9" s="285" t="s">
        <v>184</v>
      </c>
      <c r="J9" s="286">
        <f>+SECRETARIA!E12</f>
        <v>8640</v>
      </c>
      <c r="K9" s="286">
        <f>+SECRETARIA!E15+SECRETARIA!E17</f>
        <v>1404</v>
      </c>
      <c r="L9" s="287">
        <f t="shared" si="1"/>
        <v>10044</v>
      </c>
    </row>
    <row r="10" spans="2:12" ht="15" x14ac:dyDescent="0.2">
      <c r="B10" s="221" t="s">
        <v>153</v>
      </c>
      <c r="C10" s="224">
        <f>+JURIDICO!D12</f>
        <v>6050</v>
      </c>
      <c r="D10" s="224">
        <f>+JURIDICO!D15+JURIDICO!D17</f>
        <v>780</v>
      </c>
      <c r="E10" s="225">
        <f t="shared" si="0"/>
        <v>6830</v>
      </c>
      <c r="F10" s="226"/>
      <c r="G10" s="222"/>
      <c r="H10" s="222"/>
      <c r="I10" s="285" t="s">
        <v>153</v>
      </c>
      <c r="J10" s="286">
        <f>+JURIDICO!E12</f>
        <v>4000</v>
      </c>
      <c r="K10" s="286">
        <f>+JURIDICO!E15+JURIDICO!E17</f>
        <v>650</v>
      </c>
      <c r="L10" s="287">
        <f t="shared" si="1"/>
        <v>4650</v>
      </c>
    </row>
    <row r="11" spans="2:12" ht="15" x14ac:dyDescent="0.2">
      <c r="B11" s="221" t="s">
        <v>185</v>
      </c>
      <c r="C11" s="224">
        <f>+GERENCIA!D12</f>
        <v>15820</v>
      </c>
      <c r="D11" s="224">
        <f>+GERENCIA!D15+GERENCIA!D17</f>
        <v>2437.5</v>
      </c>
      <c r="E11" s="225">
        <f t="shared" si="0"/>
        <v>18257.5</v>
      </c>
      <c r="F11" s="226"/>
      <c r="G11" s="222"/>
      <c r="H11" s="222"/>
      <c r="I11" s="285" t="s">
        <v>185</v>
      </c>
      <c r="J11" s="286">
        <f>+GERENCIA!E12</f>
        <v>4440</v>
      </c>
      <c r="K11" s="286">
        <f>+GERENCIA!E15+GERENCIA!E17</f>
        <v>721.5</v>
      </c>
      <c r="L11" s="287">
        <f t="shared" si="1"/>
        <v>5161.5</v>
      </c>
    </row>
    <row r="12" spans="2:12" ht="15" x14ac:dyDescent="0.2">
      <c r="B12" s="221" t="s">
        <v>155</v>
      </c>
      <c r="C12" s="225">
        <f>+AUDITORIA!D12</f>
        <v>4950</v>
      </c>
      <c r="D12" s="224">
        <f>+AUDITORIA!D15+AUDITORIA!D17</f>
        <v>731.25</v>
      </c>
      <c r="E12" s="225">
        <f t="shared" si="0"/>
        <v>5681.25</v>
      </c>
      <c r="F12" s="226"/>
      <c r="G12" s="222"/>
      <c r="H12" s="222"/>
      <c r="I12" s="285" t="s">
        <v>155</v>
      </c>
      <c r="J12" s="287">
        <f>+AUDITORIA!E12</f>
        <v>4500</v>
      </c>
      <c r="K12" s="287">
        <f>+AUDITORIA!E15+AUDITORIA!E17</f>
        <v>731.25</v>
      </c>
      <c r="L12" s="287">
        <f t="shared" si="1"/>
        <v>5231.25</v>
      </c>
    </row>
    <row r="13" spans="2:12" ht="15" x14ac:dyDescent="0.2">
      <c r="B13" s="221" t="s">
        <v>186</v>
      </c>
      <c r="C13" s="224">
        <f>+RRHH!D12+RRHH!D15</f>
        <v>42560</v>
      </c>
      <c r="D13" s="224">
        <f>+RRHH!D17+RRHH!D19</f>
        <v>1891.5</v>
      </c>
      <c r="E13" s="225">
        <f t="shared" si="0"/>
        <v>44451.5</v>
      </c>
      <c r="F13" s="226"/>
      <c r="G13" s="222"/>
      <c r="H13" s="222"/>
      <c r="I13" s="285" t="s">
        <v>186</v>
      </c>
      <c r="J13" s="286">
        <f>+RRHH!E12+RRHH!E15</f>
        <v>8400</v>
      </c>
      <c r="K13" s="286">
        <f>+RRHH!E17+RRHH!E19</f>
        <v>1365</v>
      </c>
      <c r="L13" s="287">
        <f t="shared" si="1"/>
        <v>9765</v>
      </c>
    </row>
    <row r="14" spans="2:12" ht="15" x14ac:dyDescent="0.2">
      <c r="B14" s="221" t="s">
        <v>157</v>
      </c>
      <c r="C14" s="224">
        <f>+CONTABILIDAD!D12</f>
        <v>9570</v>
      </c>
      <c r="D14" s="224">
        <f>+CONTABILIDAD!D15+CONTABILIDAD!D17</f>
        <v>1413.75</v>
      </c>
      <c r="E14" s="225">
        <f t="shared" si="0"/>
        <v>10983.75</v>
      </c>
      <c r="F14" s="226"/>
      <c r="G14" s="222"/>
      <c r="H14" s="222"/>
      <c r="I14" s="285" t="s">
        <v>157</v>
      </c>
      <c r="J14" s="286">
        <f>+CONTABILIDAD!E12</f>
        <v>5040</v>
      </c>
      <c r="K14" s="286">
        <f>+CONTABILIDAD!E15+CONTABILIDAD!E17</f>
        <v>819</v>
      </c>
      <c r="L14" s="287">
        <f>SUM(J14:K14)</f>
        <v>5859</v>
      </c>
    </row>
    <row r="15" spans="2:12" ht="15" x14ac:dyDescent="0.2">
      <c r="B15" s="221" t="s">
        <v>158</v>
      </c>
      <c r="C15" s="224">
        <f>+PRESUPUESTO!D12</f>
        <v>6290</v>
      </c>
      <c r="D15" s="224">
        <f>+PRESUPUESTO!D15+PRESUPUESTO!D17</f>
        <v>819</v>
      </c>
      <c r="E15" s="225">
        <f t="shared" si="0"/>
        <v>7109</v>
      </c>
      <c r="F15" s="226"/>
      <c r="G15" s="222"/>
      <c r="H15" s="222"/>
      <c r="I15" s="285" t="s">
        <v>158</v>
      </c>
      <c r="J15" s="286">
        <f>+PRESUPUESTO!E12</f>
        <v>9600</v>
      </c>
      <c r="K15" s="286">
        <f>+PRESUPUESTO!E15+PRESUPUESTO!E17</f>
        <v>1560</v>
      </c>
      <c r="L15" s="287">
        <f t="shared" si="1"/>
        <v>11160</v>
      </c>
    </row>
    <row r="16" spans="2:12" ht="15" x14ac:dyDescent="0.2">
      <c r="B16" s="221" t="s">
        <v>159</v>
      </c>
      <c r="C16" s="224">
        <f>+TESORERIA!D12</f>
        <v>32870</v>
      </c>
      <c r="D16" s="224">
        <f>+TESORERIA!D15+TESORERIA!D17</f>
        <v>4855.5</v>
      </c>
      <c r="E16" s="225">
        <f t="shared" si="0"/>
        <v>37725.5</v>
      </c>
      <c r="F16" s="226"/>
      <c r="G16" s="222"/>
      <c r="H16" s="222"/>
      <c r="I16" s="285" t="s">
        <v>159</v>
      </c>
      <c r="J16" s="286">
        <f>+TESORERIA!E12</f>
        <v>11400</v>
      </c>
      <c r="K16" s="286">
        <f>+TESORERIA!E15+TESORERIA!E17</f>
        <v>1852.5</v>
      </c>
      <c r="L16" s="287">
        <f t="shared" si="1"/>
        <v>13252.5</v>
      </c>
    </row>
    <row r="17" spans="2:12" ht="15" x14ac:dyDescent="0.2">
      <c r="B17" s="221" t="s">
        <v>160</v>
      </c>
      <c r="C17" s="224">
        <f>+UATM!D12</f>
        <v>31285</v>
      </c>
      <c r="D17" s="224">
        <f>+UATM!D15+UATM!D17</f>
        <v>4572.75</v>
      </c>
      <c r="E17" s="225">
        <f t="shared" si="0"/>
        <v>35857.75</v>
      </c>
      <c r="F17" s="226"/>
      <c r="G17" s="222"/>
      <c r="H17" s="222"/>
      <c r="I17" s="285" t="s">
        <v>160</v>
      </c>
      <c r="J17" s="286">
        <f>+UATM!E12</f>
        <v>16800</v>
      </c>
      <c r="K17" s="286">
        <f>+UATM!E15+UATM!E17</f>
        <v>2730</v>
      </c>
      <c r="L17" s="287">
        <f t="shared" si="1"/>
        <v>19530</v>
      </c>
    </row>
    <row r="18" spans="2:12" ht="15" x14ac:dyDescent="0.2">
      <c r="B18" s="221" t="s">
        <v>161</v>
      </c>
      <c r="C18" s="224">
        <f>+UACI!D12</f>
        <v>14800</v>
      </c>
      <c r="D18" s="224">
        <f>+UACI!D15+UACI!D17</f>
        <v>2145</v>
      </c>
      <c r="E18" s="225">
        <f t="shared" si="0"/>
        <v>16945</v>
      </c>
      <c r="F18" s="226"/>
      <c r="G18" s="222"/>
      <c r="H18" s="222"/>
      <c r="I18" s="285" t="s">
        <v>161</v>
      </c>
      <c r="J18" s="286">
        <f>+UACI!E12</f>
        <v>9000</v>
      </c>
      <c r="K18" s="286">
        <f>+UACI!E15+UACI!E17</f>
        <v>1462.5</v>
      </c>
      <c r="L18" s="287">
        <f t="shared" si="1"/>
        <v>10462.5</v>
      </c>
    </row>
    <row r="19" spans="2:12" ht="15" x14ac:dyDescent="0.2">
      <c r="B19" s="221" t="s">
        <v>187</v>
      </c>
      <c r="C19" s="224">
        <f>+MERCADO!D12</f>
        <v>10550</v>
      </c>
      <c r="D19" s="224">
        <f>+MERCADO!D16+MERCADO!D18</f>
        <v>1527.5</v>
      </c>
      <c r="E19" s="225">
        <f t="shared" si="0"/>
        <v>12077.5</v>
      </c>
      <c r="F19" s="226"/>
      <c r="G19" s="222"/>
      <c r="H19" s="222"/>
      <c r="I19" s="285" t="s">
        <v>187</v>
      </c>
      <c r="J19" s="286">
        <f>+MERCADO!E12</f>
        <v>7200</v>
      </c>
      <c r="K19" s="286">
        <f>+MERCADO!E16+MERCADO!E18</f>
        <v>1170</v>
      </c>
      <c r="L19" s="287">
        <f t="shared" si="1"/>
        <v>8370</v>
      </c>
    </row>
    <row r="20" spans="2:12" ht="15" x14ac:dyDescent="0.2">
      <c r="B20" s="221" t="s">
        <v>188</v>
      </c>
      <c r="C20" s="224">
        <f>+'REGISTRO FAM'!D13</f>
        <v>19020</v>
      </c>
      <c r="D20" s="224">
        <f>+'REGISTRO FAM'!D16+'REGISTRO FAM'!D18</f>
        <v>2730</v>
      </c>
      <c r="E20" s="225">
        <f t="shared" si="0"/>
        <v>21750</v>
      </c>
      <c r="F20" s="226"/>
      <c r="G20" s="222"/>
      <c r="H20" s="222"/>
      <c r="I20" s="285" t="s">
        <v>188</v>
      </c>
      <c r="J20" s="286">
        <f>+'REGISTRO FAM'!E13</f>
        <v>11640</v>
      </c>
      <c r="K20" s="286">
        <f>+'REGISTRO FAM'!E16+'REGISTRO FAM'!E18</f>
        <v>1891.5</v>
      </c>
      <c r="L20" s="287">
        <f t="shared" si="1"/>
        <v>13531.5</v>
      </c>
    </row>
    <row r="21" spans="2:12" ht="15" x14ac:dyDescent="0.2">
      <c r="B21" s="221" t="s">
        <v>164</v>
      </c>
      <c r="C21" s="224">
        <f>+CEMENTERIO!D13</f>
        <v>2800</v>
      </c>
      <c r="D21" s="224">
        <f>+CEMENTERIO!D16+CEMENTERIO!D18</f>
        <v>390</v>
      </c>
      <c r="E21" s="225">
        <f t="shared" si="0"/>
        <v>3190</v>
      </c>
      <c r="F21" s="226"/>
      <c r="G21" s="222"/>
      <c r="H21" s="222"/>
      <c r="I21" s="285" t="s">
        <v>164</v>
      </c>
      <c r="J21" s="286">
        <f>+CEMENTERIO!E13</f>
        <v>2400</v>
      </c>
      <c r="K21" s="286">
        <f>+CEMENTERIO!E16+CEMENTERIO!E18</f>
        <v>390</v>
      </c>
      <c r="L21" s="287">
        <f t="shared" si="1"/>
        <v>2790</v>
      </c>
    </row>
    <row r="22" spans="2:12" ht="15" x14ac:dyDescent="0.2">
      <c r="B22" s="221" t="s">
        <v>189</v>
      </c>
      <c r="C22" s="224">
        <f>+DISTRITO!D13</f>
        <v>21170</v>
      </c>
      <c r="D22" s="224">
        <f>+DISTRITO!D16+DISTRITO!D18</f>
        <v>3003</v>
      </c>
      <c r="E22" s="225">
        <f t="shared" si="0"/>
        <v>24173</v>
      </c>
      <c r="F22" s="226"/>
      <c r="G22" s="222"/>
      <c r="H22" s="222"/>
      <c r="I22" s="285" t="s">
        <v>189</v>
      </c>
      <c r="J22" s="286">
        <f>+DISTRITO!E13</f>
        <v>16800</v>
      </c>
      <c r="K22" s="286">
        <f>+DISTRITO!E16+DISTRITO!E18</f>
        <v>2730</v>
      </c>
      <c r="L22" s="287">
        <f t="shared" si="1"/>
        <v>19530</v>
      </c>
    </row>
    <row r="23" spans="2:12" ht="15" x14ac:dyDescent="0.2">
      <c r="B23" s="221" t="s">
        <v>166</v>
      </c>
      <c r="C23" s="224">
        <f>+PROYECTOS!D13+PROYECTOS!D16</f>
        <v>19950</v>
      </c>
      <c r="D23" s="224">
        <f>+PROYECTOS!D19+PROYECTOS!D21</f>
        <v>2145</v>
      </c>
      <c r="E23" s="225">
        <f>SUM(C23:D23)</f>
        <v>22095</v>
      </c>
      <c r="F23" s="226"/>
      <c r="G23" s="222"/>
      <c r="H23" s="222"/>
      <c r="I23" s="285" t="s">
        <v>166</v>
      </c>
      <c r="J23" s="286">
        <f>+PROYECTOS!E13+PROYECTOS!E16</f>
        <v>10800</v>
      </c>
      <c r="K23" s="286">
        <f>+PROYECTOS!E19+PROYECTOS!E21</f>
        <v>1755</v>
      </c>
      <c r="L23" s="287">
        <f>SUM(J23:K23)</f>
        <v>12555</v>
      </c>
    </row>
    <row r="24" spans="2:12" ht="15" x14ac:dyDescent="0.2">
      <c r="B24" s="221" t="s">
        <v>190</v>
      </c>
      <c r="C24" s="224">
        <f>+'ACCESO A LA INF PUBLICA'!D13</f>
        <v>3450</v>
      </c>
      <c r="D24" s="224">
        <f>+'ACCESO A LA INF PUBLICA'!D16+'ACCESO A LA INF PUBLICA'!D18</f>
        <v>487.5</v>
      </c>
      <c r="E24" s="225">
        <f t="shared" si="0"/>
        <v>3937.5</v>
      </c>
      <c r="F24" s="226"/>
      <c r="G24" s="222"/>
      <c r="H24" s="222"/>
      <c r="I24" s="285" t="s">
        <v>190</v>
      </c>
      <c r="J24" s="286">
        <f>+'ACCESO A LA INF PUBLICA'!E13</f>
        <v>3000</v>
      </c>
      <c r="K24" s="286">
        <f>+'ACCESO A LA INF PUBLICA'!E16+'ACCESO A LA INF PUBLICA'!E18</f>
        <v>487.5</v>
      </c>
      <c r="L24" s="287">
        <f t="shared" si="1"/>
        <v>3487.5</v>
      </c>
    </row>
    <row r="25" spans="2:12" ht="15" x14ac:dyDescent="0.2">
      <c r="B25" s="221" t="s">
        <v>191</v>
      </c>
      <c r="C25" s="224">
        <f>+'DESARROLLO TEC.'!D13</f>
        <v>4050</v>
      </c>
      <c r="D25" s="224">
        <f>+'DESARROLLO TEC.'!D16+'DESARROLLO TEC.'!D18</f>
        <v>585</v>
      </c>
      <c r="E25" s="225">
        <f t="shared" si="0"/>
        <v>4635</v>
      </c>
      <c r="F25" s="226"/>
      <c r="G25" s="222"/>
      <c r="H25" s="222"/>
      <c r="I25" s="285" t="s">
        <v>191</v>
      </c>
      <c r="J25" s="286">
        <f>+'DESARROLLO TEC.'!E13</f>
        <v>3600</v>
      </c>
      <c r="K25" s="286">
        <f>+'DESARROLLO TEC.'!E16+'DESARROLLO TEC.'!E18</f>
        <v>585</v>
      </c>
      <c r="L25" s="287">
        <f t="shared" si="1"/>
        <v>4185</v>
      </c>
    </row>
    <row r="26" spans="2:12" ht="15" x14ac:dyDescent="0.2">
      <c r="B26" s="221" t="s">
        <v>169</v>
      </c>
      <c r="C26" s="224">
        <f>+COMUNICACIONES!D13</f>
        <v>7090</v>
      </c>
      <c r="D26" s="224">
        <f>+COMUNICACIONES!D16+COMUNICACIONES!D18</f>
        <v>1014</v>
      </c>
      <c r="E26" s="225">
        <f t="shared" si="0"/>
        <v>8104</v>
      </c>
      <c r="F26" s="226"/>
      <c r="G26" s="222"/>
      <c r="H26" s="222"/>
      <c r="I26" s="285" t="s">
        <v>169</v>
      </c>
      <c r="J26" s="286">
        <f>+COMUNICACIONES!E13</f>
        <v>4800</v>
      </c>
      <c r="K26" s="286">
        <f>+COMUNICACIONES!E16+COMUNICACIONES!E18</f>
        <v>780</v>
      </c>
      <c r="L26" s="287">
        <f t="shared" si="1"/>
        <v>5580</v>
      </c>
    </row>
    <row r="27" spans="2:12" ht="15" x14ac:dyDescent="0.2">
      <c r="B27" s="221" t="s">
        <v>170</v>
      </c>
      <c r="C27" s="224">
        <f>+CAM!D13</f>
        <v>152465</v>
      </c>
      <c r="D27" s="224">
        <f>+CAM!D17+CAM!D19</f>
        <v>21840</v>
      </c>
      <c r="E27" s="225">
        <f t="shared" si="0"/>
        <v>174305</v>
      </c>
      <c r="F27" s="226"/>
      <c r="G27" s="222"/>
      <c r="H27" s="222"/>
      <c r="I27" s="285" t="s">
        <v>170</v>
      </c>
      <c r="J27" s="286">
        <f>+CAM!E13</f>
        <v>24600</v>
      </c>
      <c r="K27" s="286">
        <f>+CAM!E17+CAM!E19</f>
        <v>1267.5</v>
      </c>
      <c r="L27" s="287">
        <f t="shared" si="1"/>
        <v>25867.5</v>
      </c>
    </row>
    <row r="28" spans="2:12" ht="15" x14ac:dyDescent="0.2">
      <c r="B28" s="221" t="s">
        <v>171</v>
      </c>
      <c r="C28" s="224">
        <f>+DHI!D13</f>
        <v>54750</v>
      </c>
      <c r="D28" s="224">
        <f>+DHI!D16+DHI!D18</f>
        <v>8092.5</v>
      </c>
      <c r="E28" s="225">
        <f t="shared" si="0"/>
        <v>62842.5</v>
      </c>
      <c r="F28" s="226"/>
      <c r="G28" s="222"/>
      <c r="H28" s="222"/>
      <c r="I28" s="285" t="s">
        <v>171</v>
      </c>
      <c r="J28" s="286">
        <f>+DHI!E13</f>
        <v>19800</v>
      </c>
      <c r="K28" s="286">
        <f>+DHI!E16+DHI!E18</f>
        <v>3217.5</v>
      </c>
      <c r="L28" s="287">
        <f t="shared" si="1"/>
        <v>23017.5</v>
      </c>
    </row>
    <row r="29" spans="2:12" ht="15" x14ac:dyDescent="0.2">
      <c r="B29" s="221" t="s">
        <v>192</v>
      </c>
      <c r="C29" s="224">
        <f>+SG!D13</f>
        <v>148550</v>
      </c>
      <c r="D29" s="224">
        <f>+SG!D17+SG!D19</f>
        <v>21040.5</v>
      </c>
      <c r="E29" s="225">
        <f t="shared" si="0"/>
        <v>169590.5</v>
      </c>
      <c r="F29" s="226"/>
      <c r="G29" s="222"/>
      <c r="H29" s="222"/>
      <c r="I29" s="285" t="s">
        <v>192</v>
      </c>
      <c r="J29" s="286">
        <f>+SG!E13</f>
        <v>21382</v>
      </c>
      <c r="K29" s="286">
        <f>+SG!E17+SG!E19</f>
        <v>3474.92</v>
      </c>
      <c r="L29" s="287">
        <f t="shared" si="1"/>
        <v>24856.92</v>
      </c>
    </row>
    <row r="30" spans="2:12" ht="15" x14ac:dyDescent="0.2">
      <c r="B30" s="221" t="s">
        <v>173</v>
      </c>
      <c r="C30" s="224">
        <f>+'MEDIO AMBIENTE'!D13</f>
        <v>6820</v>
      </c>
      <c r="D30" s="224">
        <f>+'MEDIO AMBIENTE'!D16+'MEDIO AMBIENTE'!D18</f>
        <v>975</v>
      </c>
      <c r="E30" s="225">
        <f t="shared" si="0"/>
        <v>7795</v>
      </c>
      <c r="F30" s="226"/>
      <c r="G30" s="222"/>
      <c r="H30" s="222"/>
      <c r="I30" s="285" t="s">
        <v>173</v>
      </c>
      <c r="J30" s="286">
        <f>+'MEDIO AMBIENTE'!E13</f>
        <v>4440</v>
      </c>
      <c r="K30" s="286">
        <f>+'MEDIO AMBIENTE'!E16+'MEDIO AMBIENTE'!E18</f>
        <v>721.5</v>
      </c>
      <c r="L30" s="287">
        <f t="shared" si="1"/>
        <v>5161.5</v>
      </c>
    </row>
    <row r="31" spans="2:12" ht="15" x14ac:dyDescent="0.2">
      <c r="B31" s="221" t="s">
        <v>193</v>
      </c>
      <c r="C31" s="224">
        <f>+'GESTION DE RIESGO'!D13</f>
        <v>9850</v>
      </c>
      <c r="D31" s="224">
        <f>+'GESTION DE RIESGO'!D17+'GESTION DE RIESGO'!D19</f>
        <v>1170</v>
      </c>
      <c r="E31" s="225">
        <f>SUM(C31:D31)</f>
        <v>11020</v>
      </c>
      <c r="F31" s="226"/>
      <c r="G31" s="222"/>
      <c r="H31" s="222"/>
      <c r="I31" s="285" t="s">
        <v>193</v>
      </c>
      <c r="J31" s="286">
        <f>+'GESTION DE RIESGO'!E13</f>
        <v>7200</v>
      </c>
      <c r="K31" s="286">
        <f>+'GESTION DE RIESGO'!E17+'GESTION DE RIESGO'!E19</f>
        <v>1170</v>
      </c>
      <c r="L31" s="287">
        <f t="shared" si="1"/>
        <v>8370</v>
      </c>
    </row>
    <row r="32" spans="2:12" ht="15" x14ac:dyDescent="0.2">
      <c r="B32" s="221" t="s">
        <v>175</v>
      </c>
      <c r="C32" s="224">
        <f>+UDEL!D13</f>
        <v>11250</v>
      </c>
      <c r="D32" s="224">
        <f>+UDEL!D16+UDEL!D18</f>
        <v>1560</v>
      </c>
      <c r="E32" s="225">
        <f t="shared" si="0"/>
        <v>12810</v>
      </c>
      <c r="F32" s="226"/>
      <c r="G32" s="222"/>
      <c r="H32" s="222"/>
      <c r="I32" s="285" t="s">
        <v>175</v>
      </c>
      <c r="J32" s="286">
        <f>+UDEL!E13</f>
        <v>5400</v>
      </c>
      <c r="K32" s="286">
        <f>+UDEL!E16+UDEL!E18</f>
        <v>877.5</v>
      </c>
      <c r="L32" s="287">
        <f t="shared" si="1"/>
        <v>6277.5</v>
      </c>
    </row>
    <row r="33" spans="2:12" ht="15" x14ac:dyDescent="0.2">
      <c r="B33" s="221" t="s">
        <v>194</v>
      </c>
      <c r="C33" s="224">
        <f>+'PROMOCION SOCIAL'!D13</f>
        <v>89730</v>
      </c>
      <c r="D33" s="224">
        <f>+'PROMOCION SOCIAL'!D16+'PROMOCION SOCIAL'!D18</f>
        <v>13199.869999999999</v>
      </c>
      <c r="E33" s="225">
        <f t="shared" si="0"/>
        <v>102929.87</v>
      </c>
      <c r="F33" s="226"/>
      <c r="G33" s="222"/>
      <c r="H33" s="222"/>
      <c r="I33" s="285" t="s">
        <v>194</v>
      </c>
      <c r="J33" s="286">
        <f>+'PROMOCION SOCIAL'!E13</f>
        <v>21370</v>
      </c>
      <c r="K33" s="286">
        <f>+'PROMOCION SOCIAL'!E16+'PROMOCION SOCIAL'!E18</f>
        <v>3472.63</v>
      </c>
      <c r="L33" s="287">
        <f t="shared" si="1"/>
        <v>24842.63</v>
      </c>
    </row>
    <row r="34" spans="2:12" ht="15.75" x14ac:dyDescent="0.25">
      <c r="B34" s="288" t="s">
        <v>178</v>
      </c>
      <c r="C34" s="289">
        <f>SUM(C5:C33)</f>
        <v>857610</v>
      </c>
      <c r="D34" s="289">
        <f>SUM(D5:D33)</f>
        <v>157053.37</v>
      </c>
      <c r="E34" s="290">
        <f>SUM(E5:E33)</f>
        <v>1014663.37</v>
      </c>
      <c r="F34" s="226"/>
      <c r="G34" s="222"/>
      <c r="H34" s="222"/>
      <c r="I34" s="288" t="s">
        <v>178</v>
      </c>
      <c r="J34" s="289">
        <f>SUM(J5:J33)</f>
        <v>315572</v>
      </c>
      <c r="K34" s="289">
        <f>SUM(K5:K33)</f>
        <v>48550.799999999996</v>
      </c>
      <c r="L34" s="290">
        <f>SUM(L5:L33)</f>
        <v>364122.8</v>
      </c>
    </row>
    <row r="35" spans="2:12" ht="15" x14ac:dyDescent="0.2">
      <c r="I35" s="291"/>
      <c r="J35" s="291"/>
      <c r="K35" s="291"/>
      <c r="L35" s="291"/>
    </row>
  </sheetData>
  <mergeCells count="2">
    <mergeCell ref="B3:E3"/>
    <mergeCell ref="I3:L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K76"/>
  <sheetViews>
    <sheetView workbookViewId="0">
      <selection activeCell="J5" sqref="J5"/>
    </sheetView>
  </sheetViews>
  <sheetFormatPr baseColWidth="10" defaultRowHeight="15" x14ac:dyDescent="0.25"/>
  <cols>
    <col min="1" max="1" width="5.42578125" style="228" customWidth="1"/>
    <col min="2" max="2" width="5.140625" style="228" customWidth="1"/>
    <col min="3" max="3" width="37.28515625" style="228" customWidth="1"/>
    <col min="4" max="4" width="25.7109375" style="228" customWidth="1"/>
    <col min="5" max="5" width="7" style="228" customWidth="1"/>
    <col min="6" max="8" width="4.140625" style="228" customWidth="1"/>
    <col min="9" max="9" width="5.7109375" style="228" customWidth="1"/>
    <col min="10" max="10" width="35.85546875" style="228" customWidth="1"/>
    <col min="11" max="11" width="20.28515625" style="228" customWidth="1"/>
    <col min="12" max="16384" width="11.42578125" style="228"/>
  </cols>
  <sheetData>
    <row r="2" spans="3:11" ht="30" customHeight="1" x14ac:dyDescent="0.25">
      <c r="C2" s="385" t="s">
        <v>196</v>
      </c>
      <c r="D2" s="385"/>
      <c r="E2" s="227"/>
      <c r="F2" s="227"/>
      <c r="G2" s="227"/>
      <c r="H2" s="227"/>
      <c r="I2" s="227"/>
      <c r="J2" s="385" t="s">
        <v>197</v>
      </c>
      <c r="K2" s="385"/>
    </row>
    <row r="3" spans="3:11" ht="30" x14ac:dyDescent="0.25">
      <c r="C3" s="190" t="s">
        <v>198</v>
      </c>
      <c r="D3" s="190" t="s">
        <v>210</v>
      </c>
      <c r="E3" s="229"/>
      <c r="F3" s="229"/>
      <c r="G3" s="229"/>
      <c r="H3" s="229"/>
      <c r="I3" s="229"/>
      <c r="J3" s="190" t="s">
        <v>198</v>
      </c>
      <c r="K3" s="190" t="s">
        <v>211</v>
      </c>
    </row>
    <row r="4" spans="3:11" x14ac:dyDescent="0.25">
      <c r="C4" s="230" t="s">
        <v>149</v>
      </c>
      <c r="D4" s="231">
        <f>+'CONCEJO MPAL'!D20</f>
        <v>50646.400000000001</v>
      </c>
      <c r="E4" s="232"/>
      <c r="F4" s="233"/>
      <c r="G4" s="233"/>
      <c r="H4" s="233"/>
      <c r="I4" s="234"/>
      <c r="J4" s="230" t="s">
        <v>149</v>
      </c>
      <c r="K4" s="231">
        <f>+'CONCEJO MPAL'!E20</f>
        <v>32619.95</v>
      </c>
    </row>
    <row r="5" spans="3:11" x14ac:dyDescent="0.25">
      <c r="C5" s="230" t="s">
        <v>150</v>
      </c>
      <c r="D5" s="231">
        <f>+DESPACHO!D21</f>
        <v>107449.62</v>
      </c>
      <c r="E5" s="2"/>
      <c r="F5" s="3"/>
      <c r="G5" s="3"/>
      <c r="H5" s="3"/>
      <c r="I5" s="4"/>
      <c r="J5" s="230" t="s">
        <v>150</v>
      </c>
      <c r="K5" s="231">
        <f>+DESPACHO!E21</f>
        <v>76090.81</v>
      </c>
    </row>
    <row r="6" spans="3:11" x14ac:dyDescent="0.25">
      <c r="C6" s="230" t="s">
        <v>151</v>
      </c>
      <c r="D6" s="231">
        <f>+SINDICATURA!D19</f>
        <v>385</v>
      </c>
      <c r="E6" s="2"/>
      <c r="F6" s="3"/>
      <c r="G6" s="3"/>
      <c r="H6" s="3"/>
      <c r="I6" s="4"/>
      <c r="J6" s="230" t="s">
        <v>151</v>
      </c>
      <c r="K6" s="231">
        <f>+SINDICATURA!E19</f>
        <v>0</v>
      </c>
    </row>
    <row r="7" spans="3:11" x14ac:dyDescent="0.25">
      <c r="C7" s="230" t="s">
        <v>184</v>
      </c>
      <c r="D7" s="231">
        <f>+SECRETARIA!D19</f>
        <v>2730</v>
      </c>
      <c r="E7" s="2"/>
      <c r="F7" s="3"/>
      <c r="G7" s="3"/>
      <c r="H7" s="3"/>
      <c r="I7" s="4"/>
      <c r="J7" s="230" t="s">
        <v>184</v>
      </c>
      <c r="K7" s="231">
        <f>+SECRETARIA!E19</f>
        <v>0</v>
      </c>
    </row>
    <row r="8" spans="3:11" x14ac:dyDescent="0.25">
      <c r="C8" s="230" t="s">
        <v>153</v>
      </c>
      <c r="D8" s="231">
        <f>+JURIDICO!D19</f>
        <v>2210</v>
      </c>
      <c r="E8" s="2"/>
      <c r="F8" s="3"/>
      <c r="G8" s="3"/>
      <c r="H8" s="3"/>
      <c r="I8" s="4"/>
      <c r="J8" s="230" t="s">
        <v>153</v>
      </c>
      <c r="K8" s="231">
        <f>+JURIDICO!E19</f>
        <v>0</v>
      </c>
    </row>
    <row r="9" spans="3:11" x14ac:dyDescent="0.25">
      <c r="C9" s="230" t="s">
        <v>154</v>
      </c>
      <c r="D9" s="231">
        <f>+GERENCIA!D19</f>
        <v>1875</v>
      </c>
      <c r="E9" s="2"/>
      <c r="F9" s="3"/>
      <c r="G9" s="3"/>
      <c r="H9" s="3"/>
      <c r="I9" s="4"/>
      <c r="J9" s="230" t="s">
        <v>154</v>
      </c>
      <c r="K9" s="231">
        <f>+GERENCIA!E19</f>
        <v>2500</v>
      </c>
    </row>
    <row r="10" spans="3:11" x14ac:dyDescent="0.25">
      <c r="C10" s="230" t="s">
        <v>155</v>
      </c>
      <c r="D10" s="231">
        <f>+AUDITORIA!D19</f>
        <v>697</v>
      </c>
      <c r="E10" s="2"/>
      <c r="F10" s="3"/>
      <c r="G10" s="3"/>
      <c r="H10" s="3"/>
      <c r="I10" s="4"/>
      <c r="J10" s="230" t="s">
        <v>155</v>
      </c>
      <c r="K10" s="231">
        <f>+AUDITORIA!E19</f>
        <v>0</v>
      </c>
    </row>
    <row r="11" spans="3:11" x14ac:dyDescent="0.25">
      <c r="C11" s="230" t="s">
        <v>156</v>
      </c>
      <c r="D11" s="231">
        <f>+RRHH!D21</f>
        <v>8925.1</v>
      </c>
      <c r="E11" s="2"/>
      <c r="F11" s="3"/>
      <c r="G11" s="3"/>
      <c r="H11" s="3"/>
      <c r="I11" s="4"/>
      <c r="J11" s="230" t="s">
        <v>156</v>
      </c>
      <c r="K11" s="231">
        <f>+RRHH!E21</f>
        <v>0</v>
      </c>
    </row>
    <row r="12" spans="3:11" x14ac:dyDescent="0.25">
      <c r="C12" s="230" t="s">
        <v>157</v>
      </c>
      <c r="D12" s="231">
        <f>+CONTABILIDAD!D19</f>
        <v>2826.8</v>
      </c>
      <c r="E12" s="2"/>
      <c r="F12" s="3"/>
      <c r="G12" s="3"/>
      <c r="H12" s="3"/>
      <c r="I12" s="4"/>
      <c r="J12" s="230" t="s">
        <v>157</v>
      </c>
      <c r="K12" s="231">
        <f>+CONTABILIDAD!E19</f>
        <v>0</v>
      </c>
    </row>
    <row r="13" spans="3:11" x14ac:dyDescent="0.25">
      <c r="C13" s="230" t="s">
        <v>158</v>
      </c>
      <c r="D13" s="231">
        <f>+PRESUPUESTO!D19</f>
        <v>443</v>
      </c>
      <c r="E13" s="2"/>
      <c r="F13" s="3"/>
      <c r="G13" s="3"/>
      <c r="H13" s="3"/>
      <c r="I13" s="4"/>
      <c r="J13" s="230" t="s">
        <v>158</v>
      </c>
      <c r="K13" s="231">
        <f>+PRESUPUESTO!E19</f>
        <v>0</v>
      </c>
    </row>
    <row r="14" spans="3:11" x14ac:dyDescent="0.25">
      <c r="C14" s="230" t="s">
        <v>159</v>
      </c>
      <c r="D14" s="231">
        <f>+TESORERIA!D19</f>
        <v>4100</v>
      </c>
      <c r="E14" s="2"/>
      <c r="F14" s="3"/>
      <c r="G14" s="3"/>
      <c r="H14" s="3"/>
      <c r="I14" s="4"/>
      <c r="J14" s="230" t="s">
        <v>159</v>
      </c>
      <c r="K14" s="231">
        <f>+TESORERIA!E19</f>
        <v>8000</v>
      </c>
    </row>
    <row r="15" spans="3:11" x14ac:dyDescent="0.25">
      <c r="C15" s="230" t="s">
        <v>160</v>
      </c>
      <c r="D15" s="231">
        <f>+UATM!D19</f>
        <v>13488</v>
      </c>
      <c r="E15" s="2"/>
      <c r="F15" s="3"/>
      <c r="G15" s="3"/>
      <c r="H15" s="3"/>
      <c r="I15" s="4"/>
      <c r="J15" s="230" t="s">
        <v>160</v>
      </c>
      <c r="K15" s="231">
        <f>+UATM!E19</f>
        <v>161</v>
      </c>
    </row>
    <row r="16" spans="3:11" x14ac:dyDescent="0.25">
      <c r="C16" s="230" t="s">
        <v>161</v>
      </c>
      <c r="D16" s="231">
        <f>+UACI!D19</f>
        <v>4200</v>
      </c>
      <c r="E16" s="2"/>
      <c r="F16" s="3"/>
      <c r="G16" s="3"/>
      <c r="H16" s="3"/>
      <c r="I16" s="4"/>
      <c r="J16" s="230" t="s">
        <v>161</v>
      </c>
      <c r="K16" s="231">
        <f>+UACI!E19</f>
        <v>0</v>
      </c>
    </row>
    <row r="17" spans="3:11" x14ac:dyDescent="0.25">
      <c r="C17" s="230" t="s">
        <v>199</v>
      </c>
      <c r="D17" s="231">
        <f>+MERCADO!D20</f>
        <v>4548.3500000000004</v>
      </c>
      <c r="E17" s="2"/>
      <c r="F17" s="3"/>
      <c r="G17" s="3"/>
      <c r="H17" s="3"/>
      <c r="I17" s="4"/>
      <c r="J17" s="230" t="s">
        <v>199</v>
      </c>
      <c r="K17" s="231">
        <f>+MERCADO!E20</f>
        <v>0</v>
      </c>
    </row>
    <row r="18" spans="3:11" x14ac:dyDescent="0.25">
      <c r="C18" s="230" t="s">
        <v>200</v>
      </c>
      <c r="D18" s="231">
        <f>+'REGISTRO FAM'!D20</f>
        <v>2812.51</v>
      </c>
      <c r="E18" s="2"/>
      <c r="F18" s="3"/>
      <c r="G18" s="3"/>
      <c r="H18" s="3"/>
      <c r="I18" s="4"/>
      <c r="J18" s="230" t="s">
        <v>200</v>
      </c>
      <c r="K18" s="231">
        <f>+'REGISTRO FAM'!E20</f>
        <v>0</v>
      </c>
    </row>
    <row r="19" spans="3:11" x14ac:dyDescent="0.25">
      <c r="C19" s="230" t="s">
        <v>201</v>
      </c>
      <c r="D19" s="231">
        <f>+CEMENTERIO!D20</f>
        <v>2125.75</v>
      </c>
      <c r="E19" s="2"/>
      <c r="F19" s="3"/>
      <c r="G19" s="3"/>
      <c r="H19" s="3"/>
      <c r="I19" s="4"/>
      <c r="J19" s="230" t="s">
        <v>201</v>
      </c>
      <c r="K19" s="231">
        <f>+CEMENTERIO!E20</f>
        <v>0</v>
      </c>
    </row>
    <row r="20" spans="3:11" x14ac:dyDescent="0.25">
      <c r="C20" s="230" t="s">
        <v>165</v>
      </c>
      <c r="D20" s="231">
        <f>+DISTRITO!D20</f>
        <v>8450</v>
      </c>
      <c r="E20" s="2"/>
      <c r="F20" s="3"/>
      <c r="G20" s="3"/>
      <c r="H20" s="3"/>
      <c r="I20" s="4"/>
      <c r="J20" s="230" t="s">
        <v>165</v>
      </c>
      <c r="K20" s="231">
        <f>+DISTRITO!E20</f>
        <v>39100</v>
      </c>
    </row>
    <row r="21" spans="3:11" x14ac:dyDescent="0.25">
      <c r="C21" s="230" t="s">
        <v>166</v>
      </c>
      <c r="D21" s="231">
        <f>+PROYECTOS!D23</f>
        <v>15879.91</v>
      </c>
      <c r="E21" s="2"/>
      <c r="F21" s="3"/>
      <c r="G21" s="3"/>
      <c r="H21" s="3"/>
      <c r="I21" s="4"/>
      <c r="J21" s="230" t="s">
        <v>166</v>
      </c>
      <c r="K21" s="231">
        <f>+PROYECTOS!E23</f>
        <v>3350</v>
      </c>
    </row>
    <row r="22" spans="3:11" x14ac:dyDescent="0.25">
      <c r="C22" s="230" t="s">
        <v>202</v>
      </c>
      <c r="D22" s="231">
        <f>+'ACCESO A LA INF PUBLICA'!D20</f>
        <v>471.46000000000004</v>
      </c>
      <c r="E22" s="2"/>
      <c r="F22" s="3"/>
      <c r="G22" s="3"/>
      <c r="H22" s="3"/>
      <c r="I22" s="4"/>
      <c r="J22" s="230" t="s">
        <v>202</v>
      </c>
      <c r="K22" s="231">
        <f>+'ACCESO A LA INF PUBLICA'!E20</f>
        <v>0</v>
      </c>
    </row>
    <row r="23" spans="3:11" x14ac:dyDescent="0.25">
      <c r="C23" s="230" t="s">
        <v>203</v>
      </c>
      <c r="D23" s="231">
        <f>+'DESARROLLO TEC.'!D20</f>
        <v>1107.75</v>
      </c>
      <c r="E23" s="2"/>
      <c r="F23" s="3"/>
      <c r="G23" s="3"/>
      <c r="H23" s="3"/>
      <c r="I23" s="4"/>
      <c r="J23" s="230" t="s">
        <v>203</v>
      </c>
      <c r="K23" s="231">
        <f>+'DESARROLLO TEC.'!E20</f>
        <v>0</v>
      </c>
    </row>
    <row r="24" spans="3:11" x14ac:dyDescent="0.25">
      <c r="C24" s="230" t="s">
        <v>169</v>
      </c>
      <c r="D24" s="231">
        <f>+COMUNICACIONES!D20</f>
        <v>4470.1499999999996</v>
      </c>
      <c r="E24" s="2"/>
      <c r="F24" s="3"/>
      <c r="G24" s="3"/>
      <c r="H24" s="3"/>
      <c r="I24" s="4"/>
      <c r="J24" s="230" t="s">
        <v>169</v>
      </c>
      <c r="K24" s="231">
        <f>+COMUNICACIONES!E20</f>
        <v>0</v>
      </c>
    </row>
    <row r="25" spans="3:11" x14ac:dyDescent="0.25">
      <c r="C25" s="230" t="s">
        <v>170</v>
      </c>
      <c r="D25" s="231">
        <f>+CAM!D21</f>
        <v>15620</v>
      </c>
      <c r="E25" s="2"/>
      <c r="F25" s="3"/>
      <c r="G25" s="3"/>
      <c r="H25" s="3"/>
      <c r="I25" s="4"/>
      <c r="J25" s="230" t="s">
        <v>170</v>
      </c>
      <c r="K25" s="231">
        <f>+CAM!E21</f>
        <v>7660</v>
      </c>
    </row>
    <row r="26" spans="3:11" x14ac:dyDescent="0.25">
      <c r="C26" s="230" t="s">
        <v>171</v>
      </c>
      <c r="D26" s="231">
        <f>+DHI!D20</f>
        <v>5700</v>
      </c>
      <c r="E26" s="2"/>
      <c r="F26" s="3"/>
      <c r="G26" s="3"/>
      <c r="H26" s="3"/>
      <c r="I26" s="4"/>
      <c r="J26" s="230" t="s">
        <v>171</v>
      </c>
      <c r="K26" s="231">
        <f>+DHI!E20</f>
        <v>0</v>
      </c>
    </row>
    <row r="27" spans="3:11" x14ac:dyDescent="0.25">
      <c r="C27" s="230" t="s">
        <v>172</v>
      </c>
      <c r="D27" s="231">
        <f>+SG!D21</f>
        <v>125350</v>
      </c>
      <c r="E27" s="2"/>
      <c r="F27" s="3"/>
      <c r="G27" s="3"/>
      <c r="H27" s="3"/>
      <c r="I27" s="4"/>
      <c r="J27" s="230" t="s">
        <v>172</v>
      </c>
      <c r="K27" s="231">
        <f>+SG!E21</f>
        <v>160604.07</v>
      </c>
    </row>
    <row r="28" spans="3:11" x14ac:dyDescent="0.25">
      <c r="C28" s="230" t="s">
        <v>173</v>
      </c>
      <c r="D28" s="231">
        <f>+'MEDIO AMBIENTE'!D20</f>
        <v>2374</v>
      </c>
      <c r="E28" s="2"/>
      <c r="F28" s="3"/>
      <c r="G28" s="3"/>
      <c r="H28" s="3"/>
      <c r="I28" s="4"/>
      <c r="J28" s="230" t="s">
        <v>173</v>
      </c>
      <c r="K28" s="231">
        <f>+'MEDIO AMBIENTE'!E20</f>
        <v>1761</v>
      </c>
    </row>
    <row r="29" spans="3:11" x14ac:dyDescent="0.25">
      <c r="C29" s="230" t="s">
        <v>174</v>
      </c>
      <c r="D29" s="231">
        <f>+'GESTION DE RIESGO'!D21</f>
        <v>11973.68</v>
      </c>
      <c r="E29" s="2"/>
      <c r="F29" s="3"/>
      <c r="G29" s="3"/>
      <c r="H29" s="3"/>
      <c r="I29" s="4"/>
      <c r="J29" s="230" t="s">
        <v>174</v>
      </c>
      <c r="K29" s="231">
        <f>+'GESTION DE RIESGO'!E21</f>
        <v>4226.97</v>
      </c>
    </row>
    <row r="30" spans="3:11" x14ac:dyDescent="0.25">
      <c r="C30" s="230" t="s">
        <v>175</v>
      </c>
      <c r="D30" s="231">
        <f>+UDEL!D20</f>
        <v>650</v>
      </c>
      <c r="E30" s="2"/>
      <c r="F30" s="3"/>
      <c r="G30" s="3"/>
      <c r="H30" s="3"/>
      <c r="I30" s="4"/>
      <c r="J30" s="230" t="s">
        <v>175</v>
      </c>
      <c r="K30" s="231">
        <f>+UDEL!E20</f>
        <v>0</v>
      </c>
    </row>
    <row r="31" spans="3:11" x14ac:dyDescent="0.25">
      <c r="C31" s="230" t="s">
        <v>204</v>
      </c>
      <c r="D31" s="231">
        <f>+'PROMOCION SOCIAL'!D20</f>
        <v>10640</v>
      </c>
      <c r="E31" s="2"/>
      <c r="F31" s="3"/>
      <c r="G31" s="3"/>
      <c r="H31" s="3"/>
      <c r="I31" s="4"/>
      <c r="J31" s="230" t="s">
        <v>204</v>
      </c>
      <c r="K31" s="231">
        <f>+'PROMOCION SOCIAL'!E20</f>
        <v>9250</v>
      </c>
    </row>
    <row r="32" spans="3:11" x14ac:dyDescent="0.25">
      <c r="C32" s="230" t="s">
        <v>195</v>
      </c>
      <c r="D32" s="231">
        <f>+'GESTION Y COOPERACION'!D21</f>
        <v>975</v>
      </c>
      <c r="E32" s="2"/>
      <c r="F32" s="3"/>
      <c r="G32" s="3"/>
      <c r="H32" s="3"/>
      <c r="I32" s="4"/>
      <c r="J32" s="230" t="s">
        <v>195</v>
      </c>
      <c r="K32" s="231">
        <f>+'GESTION Y COOPERACION'!E21</f>
        <v>0</v>
      </c>
    </row>
    <row r="33" spans="3:11" x14ac:dyDescent="0.25">
      <c r="C33" s="235" t="s">
        <v>75</v>
      </c>
      <c r="D33" s="236">
        <f>SUM(D4:D32)</f>
        <v>413124.48</v>
      </c>
      <c r="E33" s="237"/>
      <c r="F33" s="238"/>
      <c r="G33" s="238"/>
      <c r="H33" s="238"/>
      <c r="I33" s="239"/>
      <c r="J33" s="235" t="s">
        <v>75</v>
      </c>
      <c r="K33" s="236">
        <f>SUM(K4:K32)</f>
        <v>345323.8</v>
      </c>
    </row>
    <row r="34" spans="3:11" x14ac:dyDescent="0.25">
      <c r="F34" s="240"/>
      <c r="G34" s="240"/>
      <c r="H34" s="240"/>
    </row>
    <row r="35" spans="3:11" x14ac:dyDescent="0.25">
      <c r="F35" s="240"/>
      <c r="G35" s="240"/>
      <c r="H35" s="240"/>
    </row>
    <row r="36" spans="3:11" x14ac:dyDescent="0.25">
      <c r="C36" s="386" t="s">
        <v>205</v>
      </c>
      <c r="D36" s="386"/>
      <c r="F36" s="240"/>
      <c r="G36" s="240"/>
      <c r="H36" s="240"/>
      <c r="J36" s="386" t="s">
        <v>206</v>
      </c>
      <c r="K36" s="386"/>
    </row>
    <row r="37" spans="3:11" ht="30" x14ac:dyDescent="0.25">
      <c r="C37" s="190" t="s">
        <v>198</v>
      </c>
      <c r="D37" s="190" t="s">
        <v>210</v>
      </c>
      <c r="F37" s="240"/>
      <c r="G37" s="240"/>
      <c r="H37" s="240"/>
      <c r="J37" s="190" t="s">
        <v>198</v>
      </c>
      <c r="K37" s="190" t="s">
        <v>211</v>
      </c>
    </row>
    <row r="38" spans="3:11" x14ac:dyDescent="0.25">
      <c r="C38" s="241" t="s">
        <v>149</v>
      </c>
      <c r="D38" s="242">
        <f>+'CONCEJO MPAL'!D47</f>
        <v>27450</v>
      </c>
      <c r="F38" s="240"/>
      <c r="G38" s="240"/>
      <c r="H38" s="240"/>
      <c r="J38" s="241" t="s">
        <v>149</v>
      </c>
      <c r="K38" s="242">
        <f>+'CONCEJO MPAL'!E47</f>
        <v>0</v>
      </c>
    </row>
    <row r="39" spans="3:11" x14ac:dyDescent="0.25">
      <c r="C39" s="241" t="s">
        <v>159</v>
      </c>
      <c r="D39" s="205">
        <f>+TESORERIA!D30</f>
        <v>900</v>
      </c>
      <c r="F39" s="240"/>
      <c r="G39" s="240"/>
      <c r="H39" s="240"/>
      <c r="J39" s="241" t="s">
        <v>159</v>
      </c>
      <c r="K39" s="205">
        <f>+TESORERIA!E30</f>
        <v>900</v>
      </c>
    </row>
    <row r="40" spans="3:11" x14ac:dyDescent="0.25">
      <c r="C40" s="241" t="s">
        <v>160</v>
      </c>
      <c r="D40" s="205">
        <f>+UATM!D34</f>
        <v>10000</v>
      </c>
      <c r="F40" s="240"/>
      <c r="G40" s="240"/>
      <c r="H40" s="240"/>
      <c r="J40" s="241" t="s">
        <v>160</v>
      </c>
      <c r="K40" s="205">
        <f>+UATM!E34</f>
        <v>0</v>
      </c>
    </row>
    <row r="41" spans="3:11" x14ac:dyDescent="0.25">
      <c r="C41" s="235" t="s">
        <v>75</v>
      </c>
      <c r="D41" s="236">
        <f>SUM(D38:D40)</f>
        <v>38350</v>
      </c>
      <c r="F41" s="240"/>
      <c r="G41" s="240"/>
      <c r="H41" s="240"/>
      <c r="J41" s="243" t="s">
        <v>75</v>
      </c>
      <c r="K41" s="231">
        <f>SUM(K38:K40)</f>
        <v>900</v>
      </c>
    </row>
    <row r="42" spans="3:11" x14ac:dyDescent="0.25">
      <c r="F42" s="240"/>
      <c r="G42" s="240"/>
      <c r="H42" s="240"/>
    </row>
    <row r="43" spans="3:11" x14ac:dyDescent="0.25">
      <c r="F43" s="240"/>
      <c r="G43" s="240"/>
      <c r="H43" s="240"/>
    </row>
    <row r="44" spans="3:11" ht="30" customHeight="1" x14ac:dyDescent="0.25">
      <c r="C44" s="386" t="s">
        <v>207</v>
      </c>
      <c r="D44" s="386"/>
      <c r="F44" s="240"/>
      <c r="G44" s="240"/>
      <c r="H44" s="240"/>
      <c r="J44" s="384" t="s">
        <v>207</v>
      </c>
      <c r="K44" s="384"/>
    </row>
    <row r="45" spans="3:11" ht="30" x14ac:dyDescent="0.25">
      <c r="C45" s="190" t="s">
        <v>198</v>
      </c>
      <c r="D45" s="190" t="s">
        <v>210</v>
      </c>
      <c r="F45" s="240"/>
      <c r="G45" s="240"/>
      <c r="H45" s="240"/>
      <c r="J45" s="190" t="s">
        <v>198</v>
      </c>
      <c r="K45" s="190" t="s">
        <v>211</v>
      </c>
    </row>
    <row r="46" spans="3:11" x14ac:dyDescent="0.25">
      <c r="C46" s="241" t="s">
        <v>149</v>
      </c>
      <c r="D46" s="242">
        <f>+'CONCEJO MPAL'!D51</f>
        <v>1500</v>
      </c>
      <c r="F46" s="240"/>
      <c r="G46" s="240"/>
      <c r="H46" s="240"/>
      <c r="J46" s="241" t="s">
        <v>149</v>
      </c>
      <c r="K46" s="242">
        <f>+'CONCEJO MPAL'!E51</f>
        <v>5700</v>
      </c>
    </row>
    <row r="47" spans="3:11" x14ac:dyDescent="0.25">
      <c r="C47" s="241"/>
      <c r="D47" s="205"/>
      <c r="F47" s="240"/>
      <c r="G47" s="240"/>
      <c r="H47" s="240"/>
      <c r="J47" s="241"/>
      <c r="K47" s="205"/>
    </row>
    <row r="48" spans="3:11" x14ac:dyDescent="0.25">
      <c r="C48" s="235" t="s">
        <v>75</v>
      </c>
      <c r="D48" s="236">
        <f>SUM(D46:D47)</f>
        <v>1500</v>
      </c>
      <c r="F48" s="240"/>
      <c r="G48" s="240"/>
      <c r="H48" s="240"/>
      <c r="J48" s="243" t="s">
        <v>75</v>
      </c>
      <c r="K48" s="231">
        <f>SUM(K46:K47)</f>
        <v>5700</v>
      </c>
    </row>
    <row r="49" spans="3:11" x14ac:dyDescent="0.25">
      <c r="F49" s="240"/>
      <c r="G49" s="240"/>
      <c r="H49" s="240"/>
    </row>
    <row r="50" spans="3:11" x14ac:dyDescent="0.25">
      <c r="F50" s="240"/>
      <c r="G50" s="240"/>
      <c r="H50" s="240"/>
    </row>
    <row r="52" spans="3:11" ht="30" customHeight="1" x14ac:dyDescent="0.25">
      <c r="C52" s="384" t="s">
        <v>208</v>
      </c>
      <c r="D52" s="384"/>
      <c r="E52" s="240"/>
      <c r="F52" s="240"/>
      <c r="G52" s="240"/>
      <c r="H52" s="240"/>
      <c r="I52" s="240"/>
      <c r="J52" s="384" t="s">
        <v>209</v>
      </c>
      <c r="K52" s="384"/>
    </row>
    <row r="53" spans="3:11" ht="30" x14ac:dyDescent="0.25">
      <c r="C53" s="190" t="s">
        <v>198</v>
      </c>
      <c r="D53" s="190" t="s">
        <v>210</v>
      </c>
      <c r="E53" s="244"/>
      <c r="F53" s="229"/>
      <c r="G53" s="229"/>
      <c r="H53" s="229"/>
      <c r="I53" s="245"/>
      <c r="J53" s="190" t="s">
        <v>198</v>
      </c>
      <c r="K53" s="190" t="s">
        <v>211</v>
      </c>
    </row>
    <row r="54" spans="3:11" x14ac:dyDescent="0.25">
      <c r="C54" s="230" t="s">
        <v>149</v>
      </c>
      <c r="D54" s="242">
        <f>+'CONCEJO MPAL'!D58</f>
        <v>800</v>
      </c>
      <c r="E54" s="232"/>
      <c r="F54" s="233"/>
      <c r="G54" s="233"/>
      <c r="H54" s="233"/>
      <c r="I54" s="234"/>
      <c r="J54" s="230" t="s">
        <v>149</v>
      </c>
      <c r="K54" s="205">
        <f>+'CONCEJO MPAL'!E58</f>
        <v>0</v>
      </c>
    </row>
    <row r="55" spans="3:11" x14ac:dyDescent="0.25">
      <c r="C55" s="230" t="s">
        <v>150</v>
      </c>
      <c r="D55" s="205">
        <f>+DESPACHO!D53</f>
        <v>0</v>
      </c>
      <c r="E55" s="2"/>
      <c r="F55" s="3"/>
      <c r="G55" s="3"/>
      <c r="H55" s="3"/>
      <c r="I55" s="4"/>
      <c r="J55" s="230" t="s">
        <v>150</v>
      </c>
      <c r="K55" s="205">
        <f>+DESPACHO!E53</f>
        <v>7000</v>
      </c>
    </row>
    <row r="56" spans="3:11" x14ac:dyDescent="0.25">
      <c r="C56" s="230" t="s">
        <v>151</v>
      </c>
      <c r="D56" s="205">
        <f>+SINDICATURA!D27</f>
        <v>500</v>
      </c>
      <c r="E56" s="2"/>
      <c r="F56" s="3"/>
      <c r="G56" s="3"/>
      <c r="H56" s="3"/>
      <c r="I56" s="4"/>
      <c r="J56" s="230" t="s">
        <v>151</v>
      </c>
      <c r="K56" s="205">
        <f>+SINDICATURA!E27</f>
        <v>0</v>
      </c>
    </row>
    <row r="57" spans="3:11" x14ac:dyDescent="0.25">
      <c r="C57" s="230" t="s">
        <v>184</v>
      </c>
      <c r="D57" s="205">
        <f>+SECRETARIA!D29</f>
        <v>1600</v>
      </c>
      <c r="E57" s="2"/>
      <c r="F57" s="3"/>
      <c r="G57" s="3"/>
      <c r="H57" s="3"/>
      <c r="I57" s="4"/>
      <c r="J57" s="230" t="s">
        <v>184</v>
      </c>
      <c r="K57" s="205">
        <f>+SECRETARIA!E29</f>
        <v>0</v>
      </c>
    </row>
    <row r="58" spans="3:11" x14ac:dyDescent="0.25">
      <c r="C58" s="230" t="s">
        <v>153</v>
      </c>
      <c r="D58" s="205">
        <f>+JURIDICO!D29</f>
        <v>500</v>
      </c>
      <c r="E58" s="2"/>
      <c r="F58" s="3"/>
      <c r="G58" s="3"/>
      <c r="H58" s="3"/>
      <c r="I58" s="4"/>
      <c r="J58" s="230" t="s">
        <v>153</v>
      </c>
      <c r="K58" s="205">
        <f>+JURIDICO!E29</f>
        <v>0</v>
      </c>
    </row>
    <row r="59" spans="3:11" x14ac:dyDescent="0.25">
      <c r="C59" s="230" t="s">
        <v>154</v>
      </c>
      <c r="D59" s="205">
        <f>+GERENCIA!D34</f>
        <v>200</v>
      </c>
      <c r="E59" s="2"/>
      <c r="F59" s="3"/>
      <c r="G59" s="3"/>
      <c r="H59" s="3"/>
      <c r="I59" s="4"/>
      <c r="J59" s="230" t="s">
        <v>154</v>
      </c>
      <c r="K59" s="205">
        <f>+GERENCIA!E34</f>
        <v>0</v>
      </c>
    </row>
    <row r="60" spans="3:11" x14ac:dyDescent="0.25">
      <c r="C60" s="230" t="s">
        <v>155</v>
      </c>
      <c r="D60" s="205">
        <f>+AUDITORIA!D31</f>
        <v>200</v>
      </c>
      <c r="E60" s="2"/>
      <c r="F60" s="3"/>
      <c r="G60" s="3"/>
      <c r="H60" s="3"/>
      <c r="I60" s="4"/>
      <c r="J60" s="230" t="s">
        <v>155</v>
      </c>
      <c r="K60" s="205">
        <f>+AUDITORIA!E31</f>
        <v>0</v>
      </c>
    </row>
    <row r="61" spans="3:11" x14ac:dyDescent="0.25">
      <c r="C61" s="230" t="s">
        <v>156</v>
      </c>
      <c r="D61" s="205">
        <f>+RRHH!D33</f>
        <v>500</v>
      </c>
      <c r="E61" s="2"/>
      <c r="F61" s="3"/>
      <c r="G61" s="3"/>
      <c r="H61" s="3"/>
      <c r="I61" s="4"/>
      <c r="J61" s="230" t="s">
        <v>156</v>
      </c>
      <c r="K61" s="205">
        <f>+RRHH!E33</f>
        <v>0</v>
      </c>
    </row>
    <row r="62" spans="3:11" x14ac:dyDescent="0.25">
      <c r="C62" s="230" t="s">
        <v>158</v>
      </c>
      <c r="D62" s="205">
        <f>+PRESUPUESTO!D25</f>
        <v>800</v>
      </c>
      <c r="E62" s="2"/>
      <c r="F62" s="3"/>
      <c r="G62" s="3"/>
      <c r="H62" s="3"/>
      <c r="I62" s="4"/>
      <c r="J62" s="230" t="s">
        <v>409</v>
      </c>
      <c r="K62" s="205">
        <f>+PRESUPUESTO!E25</f>
        <v>0</v>
      </c>
    </row>
    <row r="63" spans="3:11" x14ac:dyDescent="0.25">
      <c r="C63" s="230" t="s">
        <v>157</v>
      </c>
      <c r="D63" s="205">
        <f>+CONTABILIDAD!D28</f>
        <v>150</v>
      </c>
      <c r="E63" s="2"/>
      <c r="F63" s="3"/>
      <c r="G63" s="3"/>
      <c r="H63" s="3"/>
      <c r="I63" s="4"/>
      <c r="J63" s="230" t="s">
        <v>157</v>
      </c>
      <c r="K63" s="205">
        <f>+CONTABILIDAD!E28</f>
        <v>0</v>
      </c>
    </row>
    <row r="64" spans="3:11" x14ac:dyDescent="0.25">
      <c r="C64" s="230" t="s">
        <v>160</v>
      </c>
      <c r="D64" s="205">
        <f>+UATM!D37</f>
        <v>0</v>
      </c>
      <c r="E64" s="2"/>
      <c r="F64" s="3"/>
      <c r="G64" s="3"/>
      <c r="H64" s="3"/>
      <c r="I64" s="4"/>
      <c r="J64" s="230" t="s">
        <v>160</v>
      </c>
      <c r="K64" s="205">
        <f>+UATM!E37</f>
        <v>3325</v>
      </c>
    </row>
    <row r="65" spans="3:11" x14ac:dyDescent="0.25">
      <c r="C65" s="230" t="s">
        <v>161</v>
      </c>
      <c r="D65" s="205">
        <f>+UACI!D27</f>
        <v>700</v>
      </c>
      <c r="E65" s="2"/>
      <c r="F65" s="3"/>
      <c r="G65" s="3"/>
      <c r="H65" s="3"/>
      <c r="I65" s="4"/>
      <c r="J65" s="230" t="s">
        <v>161</v>
      </c>
      <c r="K65" s="205">
        <f>+UACI!E27</f>
        <v>0</v>
      </c>
    </row>
    <row r="66" spans="3:11" x14ac:dyDescent="0.25">
      <c r="C66" s="230" t="s">
        <v>200</v>
      </c>
      <c r="D66" s="205">
        <f>+'REGISTRO FAM'!D30</f>
        <v>800</v>
      </c>
      <c r="E66" s="2"/>
      <c r="F66" s="3"/>
      <c r="G66" s="3"/>
      <c r="H66" s="3"/>
      <c r="I66" s="4"/>
      <c r="J66" s="230" t="s">
        <v>200</v>
      </c>
      <c r="K66" s="205">
        <f>+'REGISTRO FAM'!E30</f>
        <v>0</v>
      </c>
    </row>
    <row r="67" spans="3:11" x14ac:dyDescent="0.25">
      <c r="C67" s="230" t="s">
        <v>189</v>
      </c>
      <c r="D67" s="205">
        <f>+DISTRITO!D41</f>
        <v>450</v>
      </c>
      <c r="E67" s="2"/>
      <c r="F67" s="3"/>
      <c r="G67" s="3"/>
      <c r="H67" s="3"/>
      <c r="I67" s="4"/>
      <c r="J67" s="230" t="s">
        <v>189</v>
      </c>
      <c r="K67" s="205">
        <f>+DISTRITO!E41</f>
        <v>0</v>
      </c>
    </row>
    <row r="68" spans="3:11" x14ac:dyDescent="0.25">
      <c r="C68" s="230" t="s">
        <v>166</v>
      </c>
      <c r="D68" s="205">
        <f>+PROYECTOS!D40</f>
        <v>0</v>
      </c>
      <c r="E68" s="2"/>
      <c r="F68" s="3"/>
      <c r="G68" s="3"/>
      <c r="H68" s="3"/>
      <c r="I68" s="4"/>
      <c r="J68" s="230" t="s">
        <v>166</v>
      </c>
      <c r="K68" s="205">
        <f>+PROYECTOS!E40</f>
        <v>1500</v>
      </c>
    </row>
    <row r="69" spans="3:11" x14ac:dyDescent="0.25">
      <c r="C69" s="230" t="s">
        <v>202</v>
      </c>
      <c r="D69" s="205">
        <f>+'ACCESO A LA INF PUBLICA'!D29</f>
        <v>100</v>
      </c>
      <c r="E69" s="2"/>
      <c r="F69" s="3"/>
      <c r="G69" s="3"/>
      <c r="H69" s="3"/>
      <c r="I69" s="4"/>
      <c r="J69" s="230" t="s">
        <v>202</v>
      </c>
      <c r="K69" s="205">
        <f>+'ACCESO A LA INF PUBLICA'!E29</f>
        <v>0</v>
      </c>
    </row>
    <row r="70" spans="3:11" x14ac:dyDescent="0.25">
      <c r="C70" s="230" t="s">
        <v>203</v>
      </c>
      <c r="D70" s="205">
        <f>+'DESARROLLO TEC.'!D30</f>
        <v>3050</v>
      </c>
      <c r="E70" s="2"/>
      <c r="F70" s="3"/>
      <c r="G70" s="3"/>
      <c r="H70" s="3"/>
      <c r="I70" s="4"/>
      <c r="J70" s="230" t="s">
        <v>203</v>
      </c>
      <c r="K70" s="205">
        <f>+'DESARROLLO TEC.'!E30</f>
        <v>0</v>
      </c>
    </row>
    <row r="71" spans="3:11" x14ac:dyDescent="0.25">
      <c r="C71" s="230" t="s">
        <v>169</v>
      </c>
      <c r="D71" s="205">
        <f>+COMUNICACIONES!D30</f>
        <v>1200</v>
      </c>
      <c r="E71" s="2"/>
      <c r="F71" s="3"/>
      <c r="G71" s="3"/>
      <c r="H71" s="3"/>
      <c r="I71" s="4"/>
      <c r="J71" s="230" t="s">
        <v>169</v>
      </c>
      <c r="K71" s="205">
        <f>+COMUNICACIONES!E30</f>
        <v>84</v>
      </c>
    </row>
    <row r="72" spans="3:11" x14ac:dyDescent="0.25">
      <c r="C72" s="230" t="s">
        <v>170</v>
      </c>
      <c r="D72" s="205">
        <f>+CAM!D34</f>
        <v>0</v>
      </c>
      <c r="E72" s="2"/>
      <c r="F72" s="3"/>
      <c r="G72" s="3"/>
      <c r="H72" s="3"/>
      <c r="I72" s="4"/>
      <c r="J72" s="230" t="s">
        <v>170</v>
      </c>
      <c r="K72" s="205">
        <f>+CAM!E34</f>
        <v>290</v>
      </c>
    </row>
    <row r="73" spans="3:11" x14ac:dyDescent="0.25">
      <c r="C73" s="230" t="s">
        <v>171</v>
      </c>
      <c r="D73" s="205">
        <f>+DHI!D35</f>
        <v>1000</v>
      </c>
      <c r="E73" s="2"/>
      <c r="F73" s="3"/>
      <c r="G73" s="3"/>
      <c r="H73" s="3"/>
      <c r="I73" s="4"/>
      <c r="J73" s="230" t="s">
        <v>171</v>
      </c>
      <c r="K73" s="205">
        <f>+DHI!E35</f>
        <v>0</v>
      </c>
    </row>
    <row r="74" spans="3:11" x14ac:dyDescent="0.25">
      <c r="C74" s="230" t="s">
        <v>173</v>
      </c>
      <c r="D74" s="205">
        <f>+'MEDIO AMBIENTE'!D35</f>
        <v>150</v>
      </c>
      <c r="E74" s="2"/>
      <c r="F74" s="3"/>
      <c r="G74" s="3"/>
      <c r="H74" s="3"/>
      <c r="I74" s="4"/>
      <c r="J74" s="230" t="s">
        <v>173</v>
      </c>
      <c r="K74" s="205">
        <f>+'MEDIO AMBIENTE'!E35</f>
        <v>0</v>
      </c>
    </row>
    <row r="75" spans="3:11" x14ac:dyDescent="0.25">
      <c r="C75" s="230" t="s">
        <v>204</v>
      </c>
      <c r="D75" s="205">
        <f>+'PROMOCION SOCIAL'!D32</f>
        <v>400</v>
      </c>
      <c r="E75" s="2"/>
      <c r="F75" s="3"/>
      <c r="G75" s="3"/>
      <c r="H75" s="3"/>
      <c r="I75" s="4"/>
      <c r="J75" s="230" t="s">
        <v>204</v>
      </c>
      <c r="K75" s="205">
        <f>+'PROMOCION SOCIAL'!E32</f>
        <v>0</v>
      </c>
    </row>
    <row r="76" spans="3:11" x14ac:dyDescent="0.25">
      <c r="C76" s="235" t="s">
        <v>75</v>
      </c>
      <c r="D76" s="236">
        <f>SUM(D54:D75)</f>
        <v>13100</v>
      </c>
      <c r="E76" s="237"/>
      <c r="F76" s="238"/>
      <c r="G76" s="238"/>
      <c r="H76" s="238"/>
      <c r="I76" s="239"/>
      <c r="J76" s="190" t="s">
        <v>75</v>
      </c>
      <c r="K76" s="231">
        <f>SUM(K54:K75)</f>
        <v>12199</v>
      </c>
    </row>
  </sheetData>
  <mergeCells count="8">
    <mergeCell ref="J52:K52"/>
    <mergeCell ref="C52:D52"/>
    <mergeCell ref="J2:K2"/>
    <mergeCell ref="C2:D2"/>
    <mergeCell ref="C36:D36"/>
    <mergeCell ref="J36:K36"/>
    <mergeCell ref="C44:D44"/>
    <mergeCell ref="J44:K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5"/>
  <sheetViews>
    <sheetView workbookViewId="0">
      <selection activeCell="C24" sqref="C24"/>
    </sheetView>
  </sheetViews>
  <sheetFormatPr baseColWidth="10" defaultRowHeight="15" x14ac:dyDescent="0.25"/>
  <cols>
    <col min="1" max="2" width="11.42578125" style="20"/>
    <col min="3" max="3" width="43.7109375" style="20" customWidth="1"/>
    <col min="4" max="4" width="18.140625" style="20" customWidth="1"/>
    <col min="5" max="16384" width="11.42578125" style="20"/>
  </cols>
  <sheetData>
    <row r="2" spans="2:4" ht="15.75" x14ac:dyDescent="0.25">
      <c r="B2" s="387" t="s">
        <v>223</v>
      </c>
      <c r="C2" s="388"/>
      <c r="D2" s="389"/>
    </row>
    <row r="3" spans="2:4" ht="15.75" x14ac:dyDescent="0.25">
      <c r="B3" s="7"/>
      <c r="C3" s="8" t="s">
        <v>410</v>
      </c>
      <c r="D3" s="9">
        <f>+'PRESU INGRESOS'!E51</f>
        <v>1250438.23</v>
      </c>
    </row>
    <row r="4" spans="2:4" ht="15.75" x14ac:dyDescent="0.25">
      <c r="B4" s="10"/>
      <c r="C4" s="11" t="s">
        <v>212</v>
      </c>
      <c r="D4" s="12">
        <f>+'PRESU INGRESOS'!E61+'PRESU INGRESOS'!E60</f>
        <v>5299.62</v>
      </c>
    </row>
    <row r="5" spans="2:4" ht="15.75" x14ac:dyDescent="0.25">
      <c r="B5" s="10"/>
      <c r="C5" s="11" t="s">
        <v>1</v>
      </c>
      <c r="D5" s="12">
        <f>+'PRESU INGRESOS'!E67</f>
        <v>225000</v>
      </c>
    </row>
    <row r="6" spans="2:4" ht="15.75" x14ac:dyDescent="0.25">
      <c r="B6" s="10"/>
      <c r="C6" s="11" t="s">
        <v>213</v>
      </c>
      <c r="D6" s="12">
        <f>SUM(D3:D5)</f>
        <v>1480737.85</v>
      </c>
    </row>
    <row r="7" spans="2:4" ht="15.75" x14ac:dyDescent="0.25">
      <c r="B7" s="13"/>
      <c r="C7" s="14"/>
      <c r="D7" s="13"/>
    </row>
    <row r="8" spans="2:4" ht="15.75" x14ac:dyDescent="0.25">
      <c r="B8" s="5" t="s">
        <v>214</v>
      </c>
      <c r="C8" s="5" t="s">
        <v>215</v>
      </c>
      <c r="D8" s="5" t="s">
        <v>216</v>
      </c>
    </row>
    <row r="9" spans="2:4" ht="15.75" x14ac:dyDescent="0.25">
      <c r="B9" s="15">
        <v>1</v>
      </c>
      <c r="C9" s="6" t="s">
        <v>217</v>
      </c>
      <c r="D9" s="246">
        <f>+REMUNERACIONES!E34</f>
        <v>1014663.37</v>
      </c>
    </row>
    <row r="10" spans="2:4" ht="15.75" x14ac:dyDescent="0.25">
      <c r="B10" s="15">
        <f>B9+1</f>
        <v>2</v>
      </c>
      <c r="C10" s="6" t="s">
        <v>218</v>
      </c>
      <c r="D10" s="16">
        <f>+GASTO!D33</f>
        <v>413124.48</v>
      </c>
    </row>
    <row r="11" spans="2:4" ht="15.75" x14ac:dyDescent="0.25">
      <c r="B11" s="15">
        <v>3</v>
      </c>
      <c r="C11" s="6" t="s">
        <v>219</v>
      </c>
      <c r="D11" s="16">
        <f>+GASTO!D41</f>
        <v>38350</v>
      </c>
    </row>
    <row r="12" spans="2:4" ht="15.75" x14ac:dyDescent="0.25">
      <c r="B12" s="15">
        <v>4</v>
      </c>
      <c r="C12" s="6" t="s">
        <v>220</v>
      </c>
      <c r="D12" s="16">
        <f>+GASTO!D48</f>
        <v>1500</v>
      </c>
    </row>
    <row r="13" spans="2:4" ht="15.75" x14ac:dyDescent="0.25">
      <c r="B13" s="15">
        <v>5</v>
      </c>
      <c r="C13" s="6" t="s">
        <v>221</v>
      </c>
      <c r="D13" s="16">
        <f>+GASTO!D76</f>
        <v>13100</v>
      </c>
    </row>
    <row r="14" spans="2:4" ht="31.5" x14ac:dyDescent="0.25">
      <c r="B14" s="15"/>
      <c r="C14" s="6" t="s">
        <v>222</v>
      </c>
      <c r="D14" s="16">
        <f>SUM(D9:D13)</f>
        <v>1480737.85</v>
      </c>
    </row>
    <row r="15" spans="2:4" ht="15.75" x14ac:dyDescent="0.25">
      <c r="B15" s="17"/>
      <c r="C15" s="18"/>
      <c r="D15" s="19"/>
    </row>
  </sheetData>
  <mergeCells count="1">
    <mergeCell ref="B2:D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15"/>
  <sheetViews>
    <sheetView workbookViewId="0">
      <selection activeCell="C25" sqref="C25"/>
    </sheetView>
  </sheetViews>
  <sheetFormatPr baseColWidth="10" defaultRowHeight="15" x14ac:dyDescent="0.25"/>
  <cols>
    <col min="1" max="1" width="4.140625" style="20" customWidth="1"/>
    <col min="2" max="2" width="6.85546875" style="20" customWidth="1"/>
    <col min="3" max="3" width="51.5703125" style="20" customWidth="1"/>
    <col min="4" max="4" width="20.7109375" style="20" customWidth="1"/>
    <col min="5" max="16384" width="11.42578125" style="20"/>
  </cols>
  <sheetData>
    <row r="2" spans="2:4" x14ac:dyDescent="0.25">
      <c r="B2" s="390" t="s">
        <v>223</v>
      </c>
      <c r="C2" s="391"/>
      <c r="D2" s="392"/>
    </row>
    <row r="3" spans="2:4" ht="15.75" x14ac:dyDescent="0.25">
      <c r="B3" s="21"/>
      <c r="C3" s="22" t="s">
        <v>224</v>
      </c>
      <c r="D3" s="12">
        <f>+'PRESU INGRESOS'!D52</f>
        <v>666624.24</v>
      </c>
    </row>
    <row r="4" spans="2:4" ht="15.75" x14ac:dyDescent="0.25">
      <c r="B4" s="21"/>
      <c r="C4" s="11" t="s">
        <v>225</v>
      </c>
      <c r="D4" s="206">
        <f>+'PRESU INGRESOS'!D64</f>
        <v>10095.24</v>
      </c>
    </row>
    <row r="5" spans="2:4" ht="15.75" x14ac:dyDescent="0.25">
      <c r="B5" s="21"/>
      <c r="C5" s="11" t="s">
        <v>447</v>
      </c>
      <c r="D5" s="12">
        <v>51526.12</v>
      </c>
    </row>
    <row r="6" spans="2:4" ht="18" x14ac:dyDescent="0.25">
      <c r="B6" s="21"/>
      <c r="C6" s="11" t="s">
        <v>213</v>
      </c>
      <c r="D6" s="48">
        <f>SUM(D3:D5)</f>
        <v>728245.6</v>
      </c>
    </row>
    <row r="7" spans="2:4" x14ac:dyDescent="0.25">
      <c r="B7" s="23"/>
      <c r="C7" s="24"/>
      <c r="D7" s="25"/>
    </row>
    <row r="8" spans="2:4" ht="15.75" x14ac:dyDescent="0.25">
      <c r="B8" s="5" t="s">
        <v>214</v>
      </c>
      <c r="C8" s="5" t="s">
        <v>215</v>
      </c>
      <c r="D8" s="5" t="s">
        <v>216</v>
      </c>
    </row>
    <row r="9" spans="2:4" ht="15.75" x14ac:dyDescent="0.25">
      <c r="B9" s="15">
        <v>1</v>
      </c>
      <c r="C9" s="6" t="s">
        <v>217</v>
      </c>
      <c r="D9" s="16">
        <f>+REMUNERACIONES!L34</f>
        <v>364122.8</v>
      </c>
    </row>
    <row r="10" spans="2:4" ht="15.75" x14ac:dyDescent="0.25">
      <c r="B10" s="15">
        <f>B9+1</f>
        <v>2</v>
      </c>
      <c r="C10" s="6" t="s">
        <v>226</v>
      </c>
      <c r="D10" s="16">
        <f>+GASTO!K33</f>
        <v>345323.8</v>
      </c>
    </row>
    <row r="11" spans="2:4" ht="15.75" x14ac:dyDescent="0.25">
      <c r="B11" s="15">
        <v>3</v>
      </c>
      <c r="C11" s="6" t="s">
        <v>219</v>
      </c>
      <c r="D11" s="16">
        <f>+GASTO!K41</f>
        <v>900</v>
      </c>
    </row>
    <row r="12" spans="2:4" ht="15.75" x14ac:dyDescent="0.25">
      <c r="B12" s="15">
        <v>4</v>
      </c>
      <c r="C12" s="6" t="s">
        <v>227</v>
      </c>
      <c r="D12" s="16">
        <f>+GASTO!K48</f>
        <v>5700</v>
      </c>
    </row>
    <row r="13" spans="2:4" ht="15.75" x14ac:dyDescent="0.25">
      <c r="B13" s="15">
        <v>5</v>
      </c>
      <c r="C13" s="6" t="s">
        <v>221</v>
      </c>
      <c r="D13" s="16">
        <f>+GASTO!K76</f>
        <v>12199</v>
      </c>
    </row>
    <row r="14" spans="2:4" ht="15.75" x14ac:dyDescent="0.25">
      <c r="B14" s="15"/>
      <c r="C14" s="6" t="s">
        <v>228</v>
      </c>
      <c r="D14" s="16">
        <f>SUM(D9:D13)</f>
        <v>728245.6</v>
      </c>
    </row>
    <row r="15" spans="2:4" x14ac:dyDescent="0.25">
      <c r="B15" s="26"/>
      <c r="C15" s="27"/>
      <c r="D15" s="28"/>
    </row>
  </sheetData>
  <mergeCells count="1">
    <mergeCell ref="B2:D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47</vt:i4>
      </vt:variant>
    </vt:vector>
  </HeadingPairs>
  <TitlesOfParts>
    <vt:vector size="47" baseType="lpstr">
      <vt:lpstr>formato de ingresos</vt:lpstr>
      <vt:lpstr>PRESU INGRESOS</vt:lpstr>
      <vt:lpstr>CONSOLIDADO I Y E</vt:lpstr>
      <vt:lpstr>TOTAL DE I Y G</vt:lpstr>
      <vt:lpstr>GASTO DIF.</vt:lpstr>
      <vt:lpstr>REMUNERACIONES</vt:lpstr>
      <vt:lpstr>GASTO</vt:lpstr>
      <vt:lpstr>F.PROPIOS</vt:lpstr>
      <vt:lpstr>FODES 25%</vt:lpstr>
      <vt:lpstr>FODES 75%</vt:lpstr>
      <vt:lpstr>CTA FISDL</vt:lpstr>
      <vt:lpstr>DONACIONES</vt:lpstr>
      <vt:lpstr>CONCEJO Y GESTION Y COOPERACION</vt:lpstr>
      <vt:lpstr>CONCEJO MPAL</vt:lpstr>
      <vt:lpstr>GESTION Y COOPERACION</vt:lpstr>
      <vt:lpstr>DESPACHO</vt:lpstr>
      <vt:lpstr>SINDICATURA</vt:lpstr>
      <vt:lpstr>SECRETARIA</vt:lpstr>
      <vt:lpstr>JURIDICO</vt:lpstr>
      <vt:lpstr>GERENCIA</vt:lpstr>
      <vt:lpstr>AUDITORIA</vt:lpstr>
      <vt:lpstr>RRHH</vt:lpstr>
      <vt:lpstr>UFI</vt:lpstr>
      <vt:lpstr>PRESUPUESTO</vt:lpstr>
      <vt:lpstr>TESORERIA</vt:lpstr>
      <vt:lpstr>CONTABILIDAD</vt:lpstr>
      <vt:lpstr>UATM</vt:lpstr>
      <vt:lpstr>UACI</vt:lpstr>
      <vt:lpstr>MERCADO</vt:lpstr>
      <vt:lpstr>REGISTRO FAM</vt:lpstr>
      <vt:lpstr>CEMENTERIO</vt:lpstr>
      <vt:lpstr>DISTRITO</vt:lpstr>
      <vt:lpstr>PROYECTOS</vt:lpstr>
      <vt:lpstr>ACCESO A LA INF PUBLICA</vt:lpstr>
      <vt:lpstr>DESARROLLO TEC.</vt:lpstr>
      <vt:lpstr>COMUNICACIONES</vt:lpstr>
      <vt:lpstr>CAM</vt:lpstr>
      <vt:lpstr>DHI</vt:lpstr>
      <vt:lpstr>SG</vt:lpstr>
      <vt:lpstr>MED. AMBIENTE Y GESTION DE RIES</vt:lpstr>
      <vt:lpstr>MEDIO AMBIENTE</vt:lpstr>
      <vt:lpstr>GESTION DE RIESGO</vt:lpstr>
      <vt:lpstr>UDEL</vt:lpstr>
      <vt:lpstr>PROMOCION SOCIAL</vt:lpstr>
      <vt:lpstr>FODES 75% GASTO</vt:lpstr>
      <vt:lpstr>GASTO FISDL</vt:lpstr>
      <vt:lpstr>GASTO DONACION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PC7</cp:lastModifiedBy>
  <cp:lastPrinted>2019-06-25T19:46:17Z</cp:lastPrinted>
  <dcterms:created xsi:type="dcterms:W3CDTF">2018-12-13T14:39:46Z</dcterms:created>
  <dcterms:modified xsi:type="dcterms:W3CDTF">2020-07-24T14:23:33Z</dcterms:modified>
</cp:coreProperties>
</file>