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elaida\Desktop\ACCESO A LA INFORMACION\"/>
    </mc:Choice>
  </mc:AlternateContent>
  <workbookProtection workbookAlgorithmName="SHA-512" workbookHashValue="wuQJ4zYgPsjDqeSR3iBM9cNp1sESUKcs4Vkw00DKz5e81kLdgfd8p3f3EOeMYntsTdWDUoDNHxYCpYNMrwE6jQ==" workbookSaltValue="oLPdYNT0oetyiDV0+Ax+9w==" workbookSpinCount="100000" lockStructure="1"/>
  <bookViews>
    <workbookView xWindow="0" yWindow="0" windowWidth="20490" windowHeight="7755" tabRatio="595" activeTab="1"/>
  </bookViews>
  <sheets>
    <sheet name="CARAT" sheetId="23" r:id="rId1"/>
    <sheet name="Decreto" sheetId="15" r:id="rId2"/>
    <sheet name="PRESU.INSTITUCIONAL" sheetId="29" r:id="rId3"/>
    <sheet name="ESTR. PRES" sheetId="20" r:id="rId4"/>
    <sheet name="LT" sheetId="3" r:id="rId5"/>
    <sheet name="CEP" sheetId="48" r:id="rId6"/>
    <sheet name="SUELDOS " sheetId="37" state="hidden" r:id="rId7"/>
    <sheet name="SUELDOS PROYECTADOS2012" sheetId="38" state="hidden" r:id="rId8"/>
    <sheet name="SUELDOS APROBADOS 2017" sheetId="44" state="hidden" r:id="rId9"/>
    <sheet name="Remurac. X Lt" sheetId="21" r:id="rId10"/>
    <sheet name="Plan 1" sheetId="7" r:id="rId11"/>
    <sheet name="Plan 2" sheetId="8" r:id="rId12"/>
    <sheet name="Plan 3" sheetId="9" r:id="rId13"/>
    <sheet name="Plan 4" sheetId="10" r:id="rId14"/>
    <sheet name="Plan 5" sheetId="6" r:id="rId15"/>
    <sheet name="Plan 8" sheetId="52" r:id="rId16"/>
    <sheet name="Plan 10" sheetId="5" r:id="rId17"/>
    <sheet name="Plan 12" sheetId="12" state="hidden" r:id="rId18"/>
    <sheet name="Plan 13" sheetId="13" r:id="rId19"/>
    <sheet name="desagregacion de ctas." sheetId="28" r:id="rId20"/>
    <sheet name="comparativo de ingresos" sheetId="53" r:id="rId21"/>
    <sheet name="comparativo egresos" sheetId="54" r:id="rId22"/>
    <sheet name="Flujo de caja año 2010" sheetId="39" state="hidden" r:id="rId23"/>
  </sheets>
  <definedNames>
    <definedName name="_xlnm._FilterDatabase" localSheetId="21" hidden="1">'comparativo egresos'!#REF!</definedName>
    <definedName name="_xlnm._FilterDatabase" localSheetId="9" hidden="1">'Remurac. X Lt'!$A$7:$B$7</definedName>
    <definedName name="_xlnm._FilterDatabase" localSheetId="6" hidden="1">'SUELDOS '!$H$1:$H$222</definedName>
    <definedName name="_xlnm._FilterDatabase" localSheetId="8" hidden="1">'SUELDOS APROBADOS 2017'!$F$1:$F$250</definedName>
    <definedName name="_xlnm._FilterDatabase" localSheetId="7" hidden="1">'SUELDOS PROYECTADOS2012'!$D$9:$D$108</definedName>
  </definedNames>
  <calcPr calcId="152511"/>
</workbook>
</file>

<file path=xl/calcChain.xml><?xml version="1.0" encoding="utf-8"?>
<calcChain xmlns="http://schemas.openxmlformats.org/spreadsheetml/2006/main">
  <c r="F125" i="44" l="1"/>
  <c r="F123" i="44"/>
  <c r="F115" i="44"/>
  <c r="F105" i="44"/>
  <c r="F58" i="44"/>
  <c r="F21" i="44"/>
  <c r="V25" i="44" l="1"/>
  <c r="V32" i="44" l="1"/>
  <c r="V27" i="44"/>
  <c r="V23" i="44"/>
  <c r="V21" i="44"/>
  <c r="V16" i="44"/>
  <c r="V37" i="44" l="1"/>
  <c r="Q26" i="44" l="1"/>
  <c r="Q27" i="44" s="1"/>
  <c r="F320" i="28" l="1"/>
  <c r="D138" i="28" l="1"/>
  <c r="E298" i="6" l="1"/>
  <c r="J129" i="28"/>
  <c r="J130" i="28"/>
  <c r="J131" i="28"/>
  <c r="J132" i="28"/>
  <c r="J133" i="28"/>
  <c r="J134" i="28"/>
  <c r="J135" i="28"/>
  <c r="J136" i="28"/>
  <c r="J137" i="28"/>
  <c r="F140" i="44"/>
  <c r="F139" i="44"/>
  <c r="E140" i="44"/>
  <c r="G140" i="44"/>
  <c r="H140" i="44"/>
  <c r="E139" i="44"/>
  <c r="G139" i="44" s="1"/>
  <c r="H139" i="44" l="1"/>
  <c r="L140" i="44"/>
  <c r="M140" i="44" s="1"/>
  <c r="L139" i="44"/>
  <c r="M139" i="44" l="1"/>
  <c r="I141" i="44" l="1"/>
  <c r="K141" i="44"/>
  <c r="Q83" i="28"/>
  <c r="F96" i="44"/>
  <c r="E96" i="44"/>
  <c r="H96" i="44" s="1"/>
  <c r="F12" i="44"/>
  <c r="E12" i="44"/>
  <c r="G12" i="44" s="1"/>
  <c r="L12" i="44" s="1"/>
  <c r="M12" i="44" s="1"/>
  <c r="H12" i="44"/>
  <c r="G96" i="44" l="1"/>
  <c r="L96" i="44" s="1"/>
  <c r="M96" i="44" s="1"/>
  <c r="F196" i="44"/>
  <c r="F195" i="44"/>
  <c r="F194" i="44"/>
  <c r="F193" i="44"/>
  <c r="F192" i="44"/>
  <c r="F191" i="44"/>
  <c r="F190" i="44"/>
  <c r="F189" i="44"/>
  <c r="F188" i="44"/>
  <c r="F187" i="44"/>
  <c r="F186" i="44"/>
  <c r="F185" i="44"/>
  <c r="F138" i="44"/>
  <c r="F137" i="44"/>
  <c r="F136" i="44"/>
  <c r="F135" i="44"/>
  <c r="F134" i="44"/>
  <c r="F133" i="44"/>
  <c r="F132" i="44"/>
  <c r="F131" i="44"/>
  <c r="F130" i="44"/>
  <c r="F129" i="44"/>
  <c r="F128" i="44"/>
  <c r="F127" i="44"/>
  <c r="F126" i="44"/>
  <c r="F121" i="44"/>
  <c r="F120" i="44"/>
  <c r="F119" i="44"/>
  <c r="F118" i="44"/>
  <c r="F117" i="44"/>
  <c r="F116" i="44"/>
  <c r="F114" i="44"/>
  <c r="F112" i="44"/>
  <c r="F110" i="44"/>
  <c r="F109" i="44"/>
  <c r="F108" i="44"/>
  <c r="F107" i="44"/>
  <c r="F104" i="44"/>
  <c r="F103" i="44"/>
  <c r="F100" i="44"/>
  <c r="F99" i="44"/>
  <c r="F98" i="44"/>
  <c r="F97" i="44"/>
  <c r="F60" i="44"/>
  <c r="F59" i="44"/>
  <c r="F57" i="44"/>
  <c r="F56" i="44"/>
  <c r="F55" i="44"/>
  <c r="F54" i="44"/>
  <c r="F53" i="44"/>
  <c r="F35" i="44"/>
  <c r="F34" i="44"/>
  <c r="F31" i="44"/>
  <c r="F16" i="44"/>
  <c r="F15" i="44"/>
  <c r="I198" i="44"/>
  <c r="K198" i="44"/>
  <c r="D198" i="44"/>
  <c r="E185" i="44"/>
  <c r="H185" i="44" l="1"/>
  <c r="F198" i="44"/>
  <c r="J185" i="44"/>
  <c r="Q143" i="28"/>
  <c r="E138" i="44"/>
  <c r="G138" i="44" s="1"/>
  <c r="L185" i="44" l="1"/>
  <c r="H138" i="44"/>
  <c r="L138" i="44" s="1"/>
  <c r="M138" i="44" s="1"/>
  <c r="G31" i="54"/>
  <c r="H31" i="54"/>
  <c r="I31" i="54"/>
  <c r="J31" i="54"/>
  <c r="J132" i="54" s="1"/>
  <c r="G32" i="54"/>
  <c r="H32" i="54"/>
  <c r="I32" i="54"/>
  <c r="J32" i="54"/>
  <c r="K132" i="54"/>
  <c r="L132" i="54"/>
  <c r="M132" i="54"/>
  <c r="M185" i="44" l="1"/>
  <c r="H510" i="6"/>
  <c r="E299" i="6"/>
  <c r="E297" i="6" s="1"/>
  <c r="E105" i="44" l="1"/>
  <c r="H105" i="44" s="1"/>
  <c r="E104" i="44"/>
  <c r="H104" i="44" s="1"/>
  <c r="E103" i="44"/>
  <c r="H103" i="44" s="1"/>
  <c r="F102" i="44"/>
  <c r="E102" i="44"/>
  <c r="H102" i="44" s="1"/>
  <c r="F101" i="44"/>
  <c r="E101" i="44"/>
  <c r="H101" i="44" s="1"/>
  <c r="E100" i="44"/>
  <c r="H100" i="44" s="1"/>
  <c r="E99" i="44"/>
  <c r="E98" i="44"/>
  <c r="H98" i="44" s="1"/>
  <c r="E97" i="44"/>
  <c r="E106" i="44"/>
  <c r="G106" i="44" s="1"/>
  <c r="F106" i="44"/>
  <c r="G97" i="44" l="1"/>
  <c r="H106" i="44"/>
  <c r="G103" i="44"/>
  <c r="L103" i="44" s="1"/>
  <c r="H97" i="44"/>
  <c r="G101" i="44"/>
  <c r="L101" i="44" s="1"/>
  <c r="M101" i="44" s="1"/>
  <c r="G98" i="44"/>
  <c r="L98" i="44" s="1"/>
  <c r="M98" i="44" s="1"/>
  <c r="L106" i="44"/>
  <c r="M106" i="44" s="1"/>
  <c r="G105" i="44"/>
  <c r="L97" i="44"/>
  <c r="L105" i="44"/>
  <c r="M105" i="44" s="1"/>
  <c r="H99" i="44"/>
  <c r="G99" i="44"/>
  <c r="G100" i="44"/>
  <c r="L100" i="44" s="1"/>
  <c r="M100" i="44" s="1"/>
  <c r="G102" i="44"/>
  <c r="L102" i="44" s="1"/>
  <c r="M102" i="44" s="1"/>
  <c r="G104" i="44"/>
  <c r="L104" i="44" s="1"/>
  <c r="M104" i="44" s="1"/>
  <c r="O318" i="28"/>
  <c r="P319" i="28" s="1"/>
  <c r="M73" i="5"/>
  <c r="F326" i="28"/>
  <c r="F321" i="28"/>
  <c r="M97" i="44" l="1"/>
  <c r="L99" i="44"/>
  <c r="M99" i="44" s="1"/>
  <c r="M103" i="44"/>
  <c r="P318" i="28"/>
  <c r="C255" i="54"/>
  <c r="C254" i="54" s="1"/>
  <c r="E242" i="54"/>
  <c r="D241" i="54"/>
  <c r="E241" i="54" s="1"/>
  <c r="C241" i="54"/>
  <c r="C240" i="54"/>
  <c r="M213" i="54"/>
  <c r="M212" i="54"/>
  <c r="M211" i="54"/>
  <c r="M210" i="54"/>
  <c r="M209" i="54"/>
  <c r="M208" i="54"/>
  <c r="M207" i="54"/>
  <c r="M206" i="54"/>
  <c r="M205" i="54"/>
  <c r="M204" i="54"/>
  <c r="M203" i="54"/>
  <c r="M202" i="54"/>
  <c r="M201" i="54"/>
  <c r="M200" i="54"/>
  <c r="L200" i="54"/>
  <c r="K200" i="54"/>
  <c r="M199" i="54"/>
  <c r="M198" i="54"/>
  <c r="E198" i="54"/>
  <c r="M197" i="54"/>
  <c r="E197" i="54"/>
  <c r="M196" i="54"/>
  <c r="E196" i="54"/>
  <c r="M195" i="54"/>
  <c r="I195" i="54"/>
  <c r="E195" i="54"/>
  <c r="L194" i="54"/>
  <c r="M194" i="54" s="1"/>
  <c r="K194" i="54"/>
  <c r="I194" i="54"/>
  <c r="H194" i="54"/>
  <c r="G194" i="54"/>
  <c r="D194" i="54"/>
  <c r="E194" i="54" s="1"/>
  <c r="C194" i="54"/>
  <c r="M193" i="54"/>
  <c r="E193" i="54"/>
  <c r="M192" i="54"/>
  <c r="M191" i="54"/>
  <c r="M190" i="54"/>
  <c r="E190" i="54"/>
  <c r="M189" i="54"/>
  <c r="M188" i="54"/>
  <c r="M187" i="54"/>
  <c r="M186" i="54"/>
  <c r="M178" i="54"/>
  <c r="M177" i="54"/>
  <c r="M176" i="54"/>
  <c r="M175" i="54"/>
  <c r="M174" i="54"/>
  <c r="M173" i="54"/>
  <c r="M172" i="54"/>
  <c r="I172" i="54"/>
  <c r="M171" i="54"/>
  <c r="I171" i="54"/>
  <c r="M170" i="54"/>
  <c r="I170" i="54"/>
  <c r="M169" i="54"/>
  <c r="I169" i="54"/>
  <c r="M168" i="54"/>
  <c r="I168" i="54"/>
  <c r="M167" i="54"/>
  <c r="L167" i="54"/>
  <c r="K167" i="54"/>
  <c r="L166" i="54"/>
  <c r="M166" i="54" s="1"/>
  <c r="K166" i="54"/>
  <c r="I166" i="54"/>
  <c r="H166" i="54"/>
  <c r="G166" i="54"/>
  <c r="M165" i="54"/>
  <c r="I165" i="54"/>
  <c r="E165" i="54"/>
  <c r="M164" i="54"/>
  <c r="I164" i="54"/>
  <c r="E164" i="54"/>
  <c r="M163" i="54"/>
  <c r="I163" i="54"/>
  <c r="E163" i="54"/>
  <c r="M162" i="54"/>
  <c r="I162" i="54"/>
  <c r="E162" i="54"/>
  <c r="M161" i="54"/>
  <c r="I161" i="54"/>
  <c r="D161" i="54"/>
  <c r="E161" i="54" s="1"/>
  <c r="C161" i="54"/>
  <c r="M160" i="54"/>
  <c r="I160" i="54"/>
  <c r="E160" i="54"/>
  <c r="M159" i="54"/>
  <c r="I159" i="54"/>
  <c r="D159" i="54"/>
  <c r="E159" i="54" s="1"/>
  <c r="C159" i="54"/>
  <c r="M158" i="54"/>
  <c r="I158" i="54"/>
  <c r="E158" i="54"/>
  <c r="M157" i="54"/>
  <c r="I157" i="54"/>
  <c r="E157" i="54"/>
  <c r="M156" i="54"/>
  <c r="I156" i="54"/>
  <c r="E156" i="54"/>
  <c r="L155" i="54"/>
  <c r="M155" i="54" s="1"/>
  <c r="K155" i="54"/>
  <c r="I155" i="54"/>
  <c r="H155" i="54"/>
  <c r="G155" i="54"/>
  <c r="E155" i="54"/>
  <c r="D155" i="54"/>
  <c r="C155" i="54"/>
  <c r="M154" i="54"/>
  <c r="I154" i="54"/>
  <c r="E154" i="54"/>
  <c r="L153" i="54"/>
  <c r="M153" i="54" s="1"/>
  <c r="K153" i="54"/>
  <c r="I153" i="54"/>
  <c r="H153" i="54"/>
  <c r="G153" i="54"/>
  <c r="E153" i="54"/>
  <c r="D153" i="54"/>
  <c r="C153" i="54"/>
  <c r="M152" i="54"/>
  <c r="I152" i="54"/>
  <c r="E152" i="54"/>
  <c r="M151" i="54"/>
  <c r="I151" i="54"/>
  <c r="E151" i="54"/>
  <c r="D151" i="54"/>
  <c r="C151" i="54"/>
  <c r="M150" i="54"/>
  <c r="I150" i="54"/>
  <c r="E150" i="54"/>
  <c r="M149" i="54"/>
  <c r="I149" i="54"/>
  <c r="E149" i="54"/>
  <c r="M148" i="54"/>
  <c r="I148" i="54"/>
  <c r="E148" i="54"/>
  <c r="M147" i="54"/>
  <c r="L147" i="54"/>
  <c r="K147" i="54"/>
  <c r="I147" i="54"/>
  <c r="E147" i="54"/>
  <c r="D147" i="54"/>
  <c r="C147" i="54"/>
  <c r="I146" i="54"/>
  <c r="E146" i="54"/>
  <c r="M145" i="54"/>
  <c r="I145" i="54"/>
  <c r="E145" i="54"/>
  <c r="M144" i="54"/>
  <c r="I144" i="54"/>
  <c r="E144" i="54"/>
  <c r="M143" i="54"/>
  <c r="I143" i="54"/>
  <c r="I142" i="54" s="1"/>
  <c r="I141" i="54" s="1"/>
  <c r="I258" i="54" s="1"/>
  <c r="E143" i="54"/>
  <c r="L142" i="54"/>
  <c r="L141" i="54" s="1"/>
  <c r="K142" i="54"/>
  <c r="K141" i="54" s="1"/>
  <c r="K258" i="54" s="1"/>
  <c r="H142" i="54"/>
  <c r="G142" i="54"/>
  <c r="G141" i="54" s="1"/>
  <c r="G258" i="54" s="1"/>
  <c r="E142" i="54"/>
  <c r="D142" i="54"/>
  <c r="C142" i="54"/>
  <c r="H141" i="54"/>
  <c r="H258" i="54" s="1"/>
  <c r="C141" i="54"/>
  <c r="C258" i="54" s="1"/>
  <c r="M130" i="54"/>
  <c r="I130" i="54"/>
  <c r="M129" i="54"/>
  <c r="I129" i="54"/>
  <c r="M128" i="54"/>
  <c r="I128" i="54"/>
  <c r="D128" i="54"/>
  <c r="C128" i="54"/>
  <c r="O127" i="54"/>
  <c r="M127" i="54"/>
  <c r="E127" i="54"/>
  <c r="E121" i="54" s="1"/>
  <c r="E120" i="54" s="1"/>
  <c r="O126" i="54"/>
  <c r="M126" i="54"/>
  <c r="E126" i="54"/>
  <c r="O125" i="54"/>
  <c r="O124" i="54"/>
  <c r="M124" i="54"/>
  <c r="E124" i="54"/>
  <c r="O123" i="54"/>
  <c r="O121" i="54" s="1"/>
  <c r="O120" i="54" s="1"/>
  <c r="E123" i="54"/>
  <c r="O122" i="54"/>
  <c r="E122" i="54"/>
  <c r="N121" i="54"/>
  <c r="M121" i="54"/>
  <c r="L121" i="54"/>
  <c r="K121" i="54"/>
  <c r="K120" i="54" s="1"/>
  <c r="J121" i="54"/>
  <c r="I121" i="54"/>
  <c r="H121" i="54"/>
  <c r="G121" i="54"/>
  <c r="G120" i="54" s="1"/>
  <c r="F121" i="54"/>
  <c r="D121" i="54"/>
  <c r="C121" i="54"/>
  <c r="C120" i="54" s="1"/>
  <c r="N120" i="54"/>
  <c r="M120" i="54"/>
  <c r="L120" i="54"/>
  <c r="J120" i="54"/>
  <c r="I120" i="54"/>
  <c r="H120" i="54"/>
  <c r="F120" i="54"/>
  <c r="D120" i="54"/>
  <c r="O119" i="54"/>
  <c r="E119" i="54"/>
  <c r="O118" i="54"/>
  <c r="O116" i="54" s="1"/>
  <c r="E118" i="54"/>
  <c r="E116" i="54" s="1"/>
  <c r="O117" i="54"/>
  <c r="E117" i="54"/>
  <c r="N116" i="54"/>
  <c r="M116" i="54"/>
  <c r="L116" i="54"/>
  <c r="K116" i="54"/>
  <c r="J116" i="54"/>
  <c r="I116" i="54"/>
  <c r="H116" i="54"/>
  <c r="G116" i="54"/>
  <c r="G113" i="54" s="1"/>
  <c r="F116" i="54"/>
  <c r="D116" i="54"/>
  <c r="C116" i="54"/>
  <c r="O115" i="54"/>
  <c r="O114" i="54" s="1"/>
  <c r="E115" i="54"/>
  <c r="N114" i="54"/>
  <c r="M114" i="54"/>
  <c r="L114" i="54"/>
  <c r="K114" i="54"/>
  <c r="J114" i="54"/>
  <c r="I114" i="54"/>
  <c r="I113" i="54" s="1"/>
  <c r="H114" i="54"/>
  <c r="G114" i="54"/>
  <c r="F114" i="54"/>
  <c r="E114" i="54"/>
  <c r="D114" i="54"/>
  <c r="D113" i="54" s="1"/>
  <c r="C114" i="54"/>
  <c r="M113" i="54"/>
  <c r="L113" i="54"/>
  <c r="K113" i="54"/>
  <c r="H113" i="54"/>
  <c r="C113" i="54"/>
  <c r="O112" i="54"/>
  <c r="E112" i="54"/>
  <c r="O111" i="54"/>
  <c r="E111" i="54"/>
  <c r="E109" i="54" s="1"/>
  <c r="O110" i="54"/>
  <c r="E110" i="54"/>
  <c r="O109" i="54"/>
  <c r="N109" i="54"/>
  <c r="M109" i="54"/>
  <c r="L109" i="54"/>
  <c r="K109" i="54"/>
  <c r="J109" i="54"/>
  <c r="I109" i="54"/>
  <c r="H109" i="54"/>
  <c r="G109" i="54"/>
  <c r="F109" i="54"/>
  <c r="D109" i="54"/>
  <c r="C109" i="54"/>
  <c r="O108" i="54"/>
  <c r="E108" i="54"/>
  <c r="O107" i="54"/>
  <c r="E107" i="54"/>
  <c r="O106" i="54"/>
  <c r="O105" i="54" s="1"/>
  <c r="O102" i="54" s="1"/>
  <c r="E106" i="54"/>
  <c r="N105" i="54"/>
  <c r="M105" i="54"/>
  <c r="M102" i="54" s="1"/>
  <c r="L105" i="54"/>
  <c r="K105" i="54"/>
  <c r="J105" i="54"/>
  <c r="I105" i="54"/>
  <c r="I102" i="54" s="1"/>
  <c r="H105" i="54"/>
  <c r="G105" i="54"/>
  <c r="F105" i="54"/>
  <c r="E105" i="54"/>
  <c r="D105" i="54"/>
  <c r="C105" i="54"/>
  <c r="O103" i="54"/>
  <c r="N103" i="54"/>
  <c r="N102" i="54" s="1"/>
  <c r="M103" i="54"/>
  <c r="L103" i="54"/>
  <c r="K103" i="54"/>
  <c r="J103" i="54"/>
  <c r="J102" i="54" s="1"/>
  <c r="I103" i="54"/>
  <c r="H103" i="54"/>
  <c r="G103" i="54"/>
  <c r="F103" i="54"/>
  <c r="F102" i="54" s="1"/>
  <c r="E103" i="54"/>
  <c r="D103" i="54"/>
  <c r="C103" i="54"/>
  <c r="L102" i="54"/>
  <c r="K102" i="54"/>
  <c r="H102" i="54"/>
  <c r="G102" i="54"/>
  <c r="D102" i="54"/>
  <c r="C102" i="54"/>
  <c r="O101" i="54"/>
  <c r="E101" i="54"/>
  <c r="O100" i="54"/>
  <c r="E100" i="54"/>
  <c r="O99" i="54"/>
  <c r="E99" i="54"/>
  <c r="O98" i="54"/>
  <c r="O97" i="54" s="1"/>
  <c r="M98" i="54"/>
  <c r="E98" i="54"/>
  <c r="N97" i="54"/>
  <c r="M97" i="54"/>
  <c r="L97" i="54"/>
  <c r="K97" i="54"/>
  <c r="J97" i="54"/>
  <c r="I97" i="54"/>
  <c r="H97" i="54"/>
  <c r="G97" i="54"/>
  <c r="F97" i="54"/>
  <c r="E97" i="54"/>
  <c r="D97" i="54"/>
  <c r="C97" i="54"/>
  <c r="O96" i="54"/>
  <c r="E96" i="54"/>
  <c r="O95" i="54"/>
  <c r="M95" i="54"/>
  <c r="I95" i="54"/>
  <c r="E95" i="54"/>
  <c r="O94" i="54"/>
  <c r="M94" i="54"/>
  <c r="E94" i="54"/>
  <c r="O93" i="54"/>
  <c r="O92" i="54" s="1"/>
  <c r="M93" i="54"/>
  <c r="M92" i="54" s="1"/>
  <c r="I93" i="54"/>
  <c r="E93" i="54"/>
  <c r="E92" i="54" s="1"/>
  <c r="N92" i="54"/>
  <c r="L92" i="54"/>
  <c r="K92" i="54"/>
  <c r="J92" i="54"/>
  <c r="I92" i="54"/>
  <c r="H92" i="54"/>
  <c r="G92" i="54"/>
  <c r="F92" i="54"/>
  <c r="D92" i="54"/>
  <c r="C92" i="54"/>
  <c r="A88" i="54"/>
  <c r="O79" i="54"/>
  <c r="E79" i="54"/>
  <c r="O78" i="54"/>
  <c r="M78" i="54"/>
  <c r="I78" i="54"/>
  <c r="E78" i="54"/>
  <c r="O77" i="54"/>
  <c r="M77" i="54"/>
  <c r="I77" i="54"/>
  <c r="E77" i="54"/>
  <c r="O76" i="54"/>
  <c r="M76" i="54"/>
  <c r="I76" i="54"/>
  <c r="E76" i="54"/>
  <c r="O75" i="54"/>
  <c r="M75" i="54"/>
  <c r="I75" i="54"/>
  <c r="E75" i="54"/>
  <c r="O74" i="54"/>
  <c r="M74" i="54"/>
  <c r="I74" i="54"/>
  <c r="E74" i="54"/>
  <c r="O73" i="54"/>
  <c r="M73" i="54"/>
  <c r="I73" i="54"/>
  <c r="E73" i="54"/>
  <c r="O72" i="54"/>
  <c r="M72" i="54"/>
  <c r="I72" i="54"/>
  <c r="E72" i="54"/>
  <c r="O71" i="54"/>
  <c r="M71" i="54"/>
  <c r="I71" i="54"/>
  <c r="E71" i="54"/>
  <c r="O70" i="54"/>
  <c r="M70" i="54"/>
  <c r="I70" i="54"/>
  <c r="E70" i="54"/>
  <c r="O69" i="54"/>
  <c r="M69" i="54"/>
  <c r="I69" i="54"/>
  <c r="E69" i="54"/>
  <c r="O68" i="54"/>
  <c r="M68" i="54"/>
  <c r="I68" i="54"/>
  <c r="E68" i="54"/>
  <c r="O67" i="54"/>
  <c r="M67" i="54"/>
  <c r="I67" i="54"/>
  <c r="E67" i="54"/>
  <c r="O66" i="54"/>
  <c r="M66" i="54"/>
  <c r="M65" i="54" s="1"/>
  <c r="I66" i="54"/>
  <c r="E66" i="54"/>
  <c r="O65" i="54"/>
  <c r="N65" i="54"/>
  <c r="L65" i="54"/>
  <c r="K65" i="54"/>
  <c r="I65" i="54"/>
  <c r="E65" i="54"/>
  <c r="O64" i="54"/>
  <c r="M64" i="54"/>
  <c r="I64" i="54"/>
  <c r="E64" i="54"/>
  <c r="O63" i="54"/>
  <c r="M63" i="54"/>
  <c r="I63" i="54"/>
  <c r="E63" i="54"/>
  <c r="O62" i="54"/>
  <c r="M62" i="54"/>
  <c r="I62" i="54"/>
  <c r="E62" i="54"/>
  <c r="O61" i="54"/>
  <c r="M61" i="54"/>
  <c r="I61" i="54"/>
  <c r="E61" i="54"/>
  <c r="O60" i="54"/>
  <c r="O59" i="54" s="1"/>
  <c r="M60" i="54"/>
  <c r="M59" i="54" s="1"/>
  <c r="I60" i="54"/>
  <c r="E60" i="54"/>
  <c r="N59" i="54"/>
  <c r="N31" i="54" s="1"/>
  <c r="L59" i="54"/>
  <c r="K59" i="54"/>
  <c r="K31" i="54" s="1"/>
  <c r="I59" i="54"/>
  <c r="H59" i="54"/>
  <c r="G59" i="54"/>
  <c r="E59" i="54"/>
  <c r="O58" i="54"/>
  <c r="M58" i="54"/>
  <c r="I58" i="54"/>
  <c r="E58" i="54"/>
  <c r="O57" i="54"/>
  <c r="M57" i="54"/>
  <c r="I57" i="54"/>
  <c r="E57" i="54"/>
  <c r="O56" i="54"/>
  <c r="M56" i="54"/>
  <c r="I56" i="54"/>
  <c r="E56" i="54"/>
  <c r="O55" i="54"/>
  <c r="M55" i="54"/>
  <c r="I55" i="54"/>
  <c r="E55" i="54"/>
  <c r="O54" i="54"/>
  <c r="M54" i="54"/>
  <c r="I54" i="54"/>
  <c r="E54" i="54"/>
  <c r="O53" i="54"/>
  <c r="M53" i="54"/>
  <c r="I53" i="54"/>
  <c r="E53" i="54"/>
  <c r="O52" i="54"/>
  <c r="M52" i="54"/>
  <c r="I52" i="54"/>
  <c r="E52" i="54"/>
  <c r="O51" i="54"/>
  <c r="M51" i="54"/>
  <c r="I51" i="54"/>
  <c r="E51" i="54"/>
  <c r="A47" i="54"/>
  <c r="O43" i="54"/>
  <c r="M43" i="54"/>
  <c r="I43" i="54"/>
  <c r="E43" i="54"/>
  <c r="O42" i="54"/>
  <c r="M42" i="54"/>
  <c r="I42" i="54"/>
  <c r="E42" i="54"/>
  <c r="O41" i="54"/>
  <c r="M41" i="54"/>
  <c r="I41" i="54"/>
  <c r="E41" i="54"/>
  <c r="O40" i="54"/>
  <c r="M40" i="54"/>
  <c r="I40" i="54"/>
  <c r="E40" i="54"/>
  <c r="O39" i="54"/>
  <c r="M39" i="54"/>
  <c r="I39" i="54"/>
  <c r="E39" i="54"/>
  <c r="O38" i="54"/>
  <c r="M38" i="54"/>
  <c r="I38" i="54"/>
  <c r="E38" i="54"/>
  <c r="O37" i="54"/>
  <c r="M37" i="54"/>
  <c r="I37" i="54"/>
  <c r="E37" i="54"/>
  <c r="O36" i="54"/>
  <c r="M36" i="54"/>
  <c r="I36" i="54"/>
  <c r="E36" i="54"/>
  <c r="O35" i="54"/>
  <c r="M35" i="54"/>
  <c r="I35" i="54"/>
  <c r="I132" i="54" s="1"/>
  <c r="E35" i="54"/>
  <c r="O34" i="54"/>
  <c r="M34" i="54"/>
  <c r="O33" i="54"/>
  <c r="O32" i="54" s="1"/>
  <c r="O31" i="54" s="1"/>
  <c r="E33" i="54"/>
  <c r="E32" i="54" s="1"/>
  <c r="E31" i="54" s="1"/>
  <c r="N32" i="54"/>
  <c r="M32" i="54"/>
  <c r="L32" i="54"/>
  <c r="K32" i="54"/>
  <c r="F32" i="54"/>
  <c r="D32" i="54"/>
  <c r="C32" i="54"/>
  <c r="L31" i="54"/>
  <c r="H132" i="54"/>
  <c r="G132" i="54"/>
  <c r="F31" i="54"/>
  <c r="D31" i="54"/>
  <c r="C31" i="54"/>
  <c r="M29" i="54"/>
  <c r="M28" i="54"/>
  <c r="M27" i="54"/>
  <c r="M26" i="54"/>
  <c r="D26" i="54"/>
  <c r="C26" i="54"/>
  <c r="M25" i="54"/>
  <c r="M24" i="54"/>
  <c r="D24" i="54"/>
  <c r="C24" i="54"/>
  <c r="M23" i="54"/>
  <c r="M22" i="54"/>
  <c r="M21" i="54"/>
  <c r="M20" i="54" s="1"/>
  <c r="L20" i="54"/>
  <c r="K20" i="54"/>
  <c r="M19" i="54"/>
  <c r="M18" i="54" s="1"/>
  <c r="L18" i="54"/>
  <c r="K18" i="54"/>
  <c r="M17" i="54"/>
  <c r="M16" i="54"/>
  <c r="M15" i="54"/>
  <c r="M14" i="54"/>
  <c r="M13" i="54"/>
  <c r="M12" i="54" s="1"/>
  <c r="L12" i="54"/>
  <c r="L6" i="54" s="1"/>
  <c r="K12" i="54"/>
  <c r="M11" i="54"/>
  <c r="M10" i="54"/>
  <c r="M9" i="54"/>
  <c r="M8" i="54"/>
  <c r="M7" i="54"/>
  <c r="L7" i="54"/>
  <c r="K7" i="54"/>
  <c r="K6" i="54" s="1"/>
  <c r="O113" i="54" l="1"/>
  <c r="E113" i="54"/>
  <c r="O132" i="54"/>
  <c r="F113" i="54"/>
  <c r="F132" i="54" s="1"/>
  <c r="J113" i="54"/>
  <c r="N113" i="54"/>
  <c r="N132" i="54" s="1"/>
  <c r="D132" i="54"/>
  <c r="C132" i="54"/>
  <c r="M141" i="54"/>
  <c r="M258" i="54" s="1"/>
  <c r="L258" i="54"/>
  <c r="M6" i="54"/>
  <c r="M31" i="54"/>
  <c r="E102" i="54"/>
  <c r="D141" i="54"/>
  <c r="M142" i="54"/>
  <c r="D240" i="54"/>
  <c r="E240" i="54" s="1"/>
  <c r="E132" i="54" l="1"/>
  <c r="E141" i="54"/>
  <c r="E258" i="54" s="1"/>
  <c r="D258" i="54"/>
  <c r="F22" i="44" l="1"/>
  <c r="E22" i="44"/>
  <c r="G22" i="44" s="1"/>
  <c r="H22" i="44" l="1"/>
  <c r="L22" i="44" s="1"/>
  <c r="M22" i="44" s="1"/>
  <c r="A226" i="44" l="1"/>
  <c r="A203" i="44"/>
  <c r="A179" i="44"/>
  <c r="A151" i="44"/>
  <c r="A90" i="44"/>
  <c r="A45" i="44"/>
  <c r="H113" i="44"/>
  <c r="E113" i="44"/>
  <c r="H124" i="44"/>
  <c r="H17" i="44"/>
  <c r="I37" i="44"/>
  <c r="J37" i="44"/>
  <c r="K37" i="44"/>
  <c r="F232" i="44"/>
  <c r="F33" i="44"/>
  <c r="F30" i="44"/>
  <c r="F29" i="44"/>
  <c r="F28" i="44"/>
  <c r="F24" i="44"/>
  <c r="F19" i="44"/>
  <c r="F18" i="44"/>
  <c r="F209" i="44"/>
  <c r="F124" i="44"/>
  <c r="F113" i="44"/>
  <c r="F111" i="44"/>
  <c r="F36" i="44"/>
  <c r="F32" i="44"/>
  <c r="F27" i="44"/>
  <c r="F25" i="44"/>
  <c r="F23" i="44"/>
  <c r="F20" i="44"/>
  <c r="F17" i="44"/>
  <c r="F14" i="44"/>
  <c r="F13" i="44"/>
  <c r="F11" i="44"/>
  <c r="F10" i="44"/>
  <c r="E137" i="44"/>
  <c r="E136" i="44"/>
  <c r="G136" i="44" s="1"/>
  <c r="E135" i="44"/>
  <c r="G135" i="44" s="1"/>
  <c r="E133" i="44"/>
  <c r="G133" i="44" s="1"/>
  <c r="E134" i="44"/>
  <c r="H134" i="44" s="1"/>
  <c r="E132" i="44"/>
  <c r="G132" i="44" s="1"/>
  <c r="E130" i="44"/>
  <c r="J130" i="44" s="1"/>
  <c r="G137" i="44" l="1"/>
  <c r="H130" i="44"/>
  <c r="L130" i="44" s="1"/>
  <c r="M130" i="44" s="1"/>
  <c r="H135" i="44"/>
  <c r="L135" i="44" s="1"/>
  <c r="M135" i="44" s="1"/>
  <c r="H132" i="44"/>
  <c r="L132" i="44" s="1"/>
  <c r="M132" i="44" s="1"/>
  <c r="H137" i="44"/>
  <c r="H136" i="44"/>
  <c r="L136" i="44" s="1"/>
  <c r="M136" i="44" s="1"/>
  <c r="H133" i="44"/>
  <c r="L133" i="44" s="1"/>
  <c r="M133" i="44" s="1"/>
  <c r="G134" i="44"/>
  <c r="L134" i="44" s="1"/>
  <c r="M134" i="44" s="1"/>
  <c r="L137" i="44" l="1"/>
  <c r="E26" i="44"/>
  <c r="G26" i="44" s="1"/>
  <c r="M137" i="44" l="1"/>
  <c r="H26" i="44"/>
  <c r="H7" i="53" l="1"/>
  <c r="H8" i="53"/>
  <c r="H9" i="53"/>
  <c r="I9" i="53" s="1"/>
  <c r="H10" i="53"/>
  <c r="I10" i="53" s="1"/>
  <c r="H11" i="53"/>
  <c r="H12" i="53"/>
  <c r="H13" i="53"/>
  <c r="H14" i="53"/>
  <c r="I14" i="53" s="1"/>
  <c r="H15" i="53"/>
  <c r="I15" i="53" s="1"/>
  <c r="H16" i="53"/>
  <c r="H17" i="53"/>
  <c r="I17" i="53" s="1"/>
  <c r="H18" i="53"/>
  <c r="H6" i="53"/>
  <c r="I6" i="53" s="1"/>
  <c r="I7" i="53"/>
  <c r="I8" i="53"/>
  <c r="I11" i="53"/>
  <c r="I12" i="53"/>
  <c r="I13" i="53"/>
  <c r="I16" i="53"/>
  <c r="C21" i="53"/>
  <c r="D5" i="53"/>
  <c r="C5" i="53"/>
  <c r="E31" i="6" l="1"/>
  <c r="E30" i="6" s="1"/>
  <c r="E277" i="6" l="1"/>
  <c r="I277" i="6" s="1"/>
  <c r="I206" i="6"/>
  <c r="E203" i="6"/>
  <c r="E202" i="6" s="1"/>
  <c r="I202" i="6" s="1"/>
  <c r="F89" i="5"/>
  <c r="F90" i="5"/>
  <c r="H92" i="5"/>
  <c r="H93" i="5"/>
  <c r="H10" i="44"/>
  <c r="H11" i="44"/>
  <c r="H13" i="44"/>
  <c r="H14" i="44"/>
  <c r="H23" i="44"/>
  <c r="H106" i="37"/>
  <c r="H141" i="37"/>
  <c r="G141" i="37"/>
  <c r="E32" i="44"/>
  <c r="G32" i="44" s="1"/>
  <c r="I203" i="6" l="1"/>
  <c r="H32" i="44"/>
  <c r="L32" i="44" s="1"/>
  <c r="M32" i="44" s="1"/>
  <c r="L163" i="28" l="1"/>
  <c r="L194" i="28" s="1"/>
  <c r="E195" i="44"/>
  <c r="G76" i="37"/>
  <c r="D210" i="44"/>
  <c r="G201" i="37"/>
  <c r="C203" i="37"/>
  <c r="D203" i="37"/>
  <c r="E203" i="37"/>
  <c r="H201" i="37"/>
  <c r="F210" i="44" s="1"/>
  <c r="K210" i="44"/>
  <c r="J210" i="44"/>
  <c r="I210" i="44"/>
  <c r="E20" i="13"/>
  <c r="K319" i="28"/>
  <c r="M43" i="52"/>
  <c r="M163" i="28" l="1"/>
  <c r="H195" i="44"/>
  <c r="G195" i="44"/>
  <c r="E209" i="44"/>
  <c r="L195" i="44" l="1"/>
  <c r="M195" i="44" s="1"/>
  <c r="E210" i="44"/>
  <c r="H209" i="44"/>
  <c r="H210" i="44" s="1"/>
  <c r="G209" i="44"/>
  <c r="G210" i="44" l="1"/>
  <c r="L209" i="44"/>
  <c r="M209" i="44" l="1"/>
  <c r="L210" i="44"/>
  <c r="M210" i="44" l="1"/>
  <c r="D318" i="28" l="1"/>
  <c r="J76" i="28" l="1"/>
  <c r="K76" i="28"/>
  <c r="J14" i="21"/>
  <c r="I158" i="44"/>
  <c r="J158" i="44"/>
  <c r="K158" i="44"/>
  <c r="D158" i="44"/>
  <c r="E157" i="44"/>
  <c r="H157" i="44" s="1"/>
  <c r="L197" i="44"/>
  <c r="F191" i="37"/>
  <c r="G198" i="37"/>
  <c r="H149" i="37"/>
  <c r="H9" i="44"/>
  <c r="H38" i="37"/>
  <c r="E124" i="44"/>
  <c r="G73" i="37"/>
  <c r="G72" i="37"/>
  <c r="I233" i="44"/>
  <c r="J233" i="44"/>
  <c r="K233" i="44"/>
  <c r="D233" i="44"/>
  <c r="E197" i="44"/>
  <c r="H11" i="21" s="1"/>
  <c r="J11" i="21" s="1"/>
  <c r="E60" i="44"/>
  <c r="H60" i="44" s="1"/>
  <c r="E31" i="44"/>
  <c r="E11" i="44"/>
  <c r="G11" i="44" s="1"/>
  <c r="L11" i="44" s="1"/>
  <c r="M11" i="44" s="1"/>
  <c r="E10" i="44"/>
  <c r="G10" i="44" s="1"/>
  <c r="L10" i="44" s="1"/>
  <c r="M10" i="44" s="1"/>
  <c r="H31" i="44" l="1"/>
  <c r="G31" i="44"/>
  <c r="G157" i="44"/>
  <c r="F13" i="21" s="1"/>
  <c r="D17" i="28" s="1"/>
  <c r="E199" i="6" s="1"/>
  <c r="E158" i="44"/>
  <c r="F10" i="21" s="1"/>
  <c r="J10" i="21" s="1"/>
  <c r="F12" i="21"/>
  <c r="D16" i="28" s="1"/>
  <c r="E197" i="6" s="1"/>
  <c r="H158" i="44"/>
  <c r="L157" i="44"/>
  <c r="E126" i="44"/>
  <c r="G124" i="44"/>
  <c r="L124" i="44" s="1"/>
  <c r="M124" i="44" s="1"/>
  <c r="E232" i="44"/>
  <c r="G60" i="44"/>
  <c r="G87" i="37"/>
  <c r="H229" i="37"/>
  <c r="D233" i="37"/>
  <c r="C233" i="37"/>
  <c r="E231" i="37"/>
  <c r="D231" i="37"/>
  <c r="C231" i="37"/>
  <c r="G229" i="37"/>
  <c r="G233" i="37" s="1"/>
  <c r="H146" i="37"/>
  <c r="G146" i="37"/>
  <c r="H142" i="37"/>
  <c r="G39" i="37"/>
  <c r="H43" i="37"/>
  <c r="L132" i="37"/>
  <c r="G150" i="37"/>
  <c r="G100" i="37"/>
  <c r="H96" i="37"/>
  <c r="G96" i="37"/>
  <c r="G97" i="37"/>
  <c r="L31" i="44" l="1"/>
  <c r="M31" i="44" s="1"/>
  <c r="G158" i="44"/>
  <c r="G126" i="44"/>
  <c r="H126" i="44"/>
  <c r="L158" i="44"/>
  <c r="M157" i="44"/>
  <c r="M158" i="44" s="1"/>
  <c r="L60" i="44"/>
  <c r="M60" i="44" s="1"/>
  <c r="H231" i="37"/>
  <c r="F233" i="44"/>
  <c r="I9" i="21" s="1"/>
  <c r="G232" i="44"/>
  <c r="I13" i="21" s="1"/>
  <c r="E233" i="44"/>
  <c r="I8" i="21" s="1"/>
  <c r="H232" i="44"/>
  <c r="G231" i="37"/>
  <c r="L126" i="44" l="1"/>
  <c r="M126" i="44" s="1"/>
  <c r="H233" i="44"/>
  <c r="I12" i="21"/>
  <c r="I15" i="21" s="1"/>
  <c r="L232" i="44"/>
  <c r="G233" i="44"/>
  <c r="G81" i="37"/>
  <c r="G38" i="37"/>
  <c r="G8" i="37"/>
  <c r="H8" i="37"/>
  <c r="H7" i="37"/>
  <c r="G7" i="37"/>
  <c r="M232" i="44" l="1"/>
  <c r="M233" i="44" s="1"/>
  <c r="L233" i="44"/>
  <c r="H81" i="53" l="1"/>
  <c r="E80" i="53"/>
  <c r="H80" i="53" s="1"/>
  <c r="D80" i="53"/>
  <c r="D79" i="53" s="1"/>
  <c r="C80" i="53"/>
  <c r="C79" i="53" s="1"/>
  <c r="E79" i="53"/>
  <c r="H79" i="53" s="1"/>
  <c r="H78" i="53"/>
  <c r="H77" i="53"/>
  <c r="H76" i="53"/>
  <c r="E75" i="53"/>
  <c r="H75" i="53" s="1"/>
  <c r="D75" i="53"/>
  <c r="C75" i="53"/>
  <c r="H74" i="53"/>
  <c r="H73" i="53" s="1"/>
  <c r="I73" i="53"/>
  <c r="I72" i="53" s="1"/>
  <c r="G73" i="53"/>
  <c r="F73" i="53"/>
  <c r="F72" i="53" s="1"/>
  <c r="E73" i="53"/>
  <c r="E72" i="53" s="1"/>
  <c r="D73" i="53"/>
  <c r="C73" i="53"/>
  <c r="G72" i="53"/>
  <c r="D72" i="53"/>
  <c r="H70" i="53"/>
  <c r="H69" i="53"/>
  <c r="H68" i="53"/>
  <c r="H67" i="53"/>
  <c r="H66" i="53" s="1"/>
  <c r="H65" i="53" s="1"/>
  <c r="I66" i="53"/>
  <c r="G66" i="53"/>
  <c r="G65" i="53" s="1"/>
  <c r="F66" i="53"/>
  <c r="F65" i="53" s="1"/>
  <c r="E66" i="53"/>
  <c r="E65" i="53" s="1"/>
  <c r="C65" i="53"/>
  <c r="I65" i="53"/>
  <c r="D65" i="53"/>
  <c r="H63" i="53"/>
  <c r="I63" i="53" s="1"/>
  <c r="H62" i="53"/>
  <c r="I62" i="53" s="1"/>
  <c r="I60" i="53" s="1"/>
  <c r="H61" i="53"/>
  <c r="G60" i="53"/>
  <c r="F60" i="53"/>
  <c r="E60" i="53"/>
  <c r="D60" i="53"/>
  <c r="C60" i="53"/>
  <c r="H58" i="53"/>
  <c r="H57" i="53" s="1"/>
  <c r="G57" i="53"/>
  <c r="F57" i="53"/>
  <c r="E57" i="53"/>
  <c r="D57" i="53"/>
  <c r="C57" i="53"/>
  <c r="H54" i="53"/>
  <c r="I54" i="53" s="1"/>
  <c r="H53" i="53"/>
  <c r="I53" i="53" s="1"/>
  <c r="H52" i="53"/>
  <c r="I52" i="53" s="1"/>
  <c r="H51" i="53"/>
  <c r="I51" i="53" s="1"/>
  <c r="G50" i="53"/>
  <c r="G49" i="53" s="1"/>
  <c r="F50" i="53"/>
  <c r="E50" i="53"/>
  <c r="E49" i="53"/>
  <c r="H46" i="53"/>
  <c r="H45" i="53"/>
  <c r="I45" i="53" s="1"/>
  <c r="G44" i="53"/>
  <c r="G43" i="53" s="1"/>
  <c r="F44" i="53"/>
  <c r="E44" i="53"/>
  <c r="E43" i="53" s="1"/>
  <c r="F43" i="53"/>
  <c r="H39" i="53"/>
  <c r="I39" i="53" s="1"/>
  <c r="H38" i="53"/>
  <c r="I38" i="53" s="1"/>
  <c r="D37" i="53"/>
  <c r="H37" i="53" s="1"/>
  <c r="C37" i="53"/>
  <c r="H36" i="53"/>
  <c r="I36" i="53" s="1"/>
  <c r="H35" i="53"/>
  <c r="I35" i="53" s="1"/>
  <c r="H34" i="53"/>
  <c r="I34" i="53" s="1"/>
  <c r="H33" i="53"/>
  <c r="I33" i="53" s="1"/>
  <c r="H32" i="53"/>
  <c r="I32" i="53" s="1"/>
  <c r="H31" i="53"/>
  <c r="I31" i="53" s="1"/>
  <c r="H30" i="53"/>
  <c r="H29" i="53"/>
  <c r="I29" i="53" s="1"/>
  <c r="H28" i="53"/>
  <c r="I28" i="53" s="1"/>
  <c r="H27" i="53"/>
  <c r="I27" i="53" s="1"/>
  <c r="H26" i="53"/>
  <c r="I26" i="53" s="1"/>
  <c r="H25" i="53"/>
  <c r="I25" i="53" s="1"/>
  <c r="H24" i="53"/>
  <c r="I24" i="53" s="1"/>
  <c r="H23" i="53"/>
  <c r="I23" i="53" s="1"/>
  <c r="H22" i="53"/>
  <c r="I22" i="53" s="1"/>
  <c r="G21" i="53"/>
  <c r="F21" i="53"/>
  <c r="F20" i="53" s="1"/>
  <c r="E21" i="53"/>
  <c r="D21" i="53"/>
  <c r="D20" i="53" s="1"/>
  <c r="G20" i="53"/>
  <c r="E20" i="53"/>
  <c r="I18" i="53"/>
  <c r="G5" i="53"/>
  <c r="G4" i="53" s="1"/>
  <c r="F5" i="53"/>
  <c r="E5" i="53"/>
  <c r="D4" i="53"/>
  <c r="C4" i="53"/>
  <c r="F4" i="53"/>
  <c r="E4" i="53"/>
  <c r="D90" i="5"/>
  <c r="D89" i="5" s="1"/>
  <c r="D97" i="5"/>
  <c r="D11" i="5"/>
  <c r="D78" i="5"/>
  <c r="H33" i="9"/>
  <c r="G558" i="6"/>
  <c r="G557" i="6" s="1"/>
  <c r="G556" i="6" s="1"/>
  <c r="G554" i="6"/>
  <c r="G553" i="6" s="1"/>
  <c r="G552" i="6" s="1"/>
  <c r="E36" i="10" s="1"/>
  <c r="I561" i="6"/>
  <c r="I560" i="6"/>
  <c r="I559" i="6"/>
  <c r="I555" i="6"/>
  <c r="E337" i="28"/>
  <c r="H331" i="28"/>
  <c r="K331" i="28"/>
  <c r="H448" i="6"/>
  <c r="F453" i="6"/>
  <c r="E339" i="28"/>
  <c r="E188" i="5"/>
  <c r="G187" i="5"/>
  <c r="F186" i="5"/>
  <c r="F185" i="5" s="1"/>
  <c r="F190" i="5" s="1"/>
  <c r="E186" i="5"/>
  <c r="E185" i="5" s="1"/>
  <c r="E189" i="5" s="1"/>
  <c r="E143" i="5"/>
  <c r="E151" i="5"/>
  <c r="G510" i="6"/>
  <c r="H505" i="6"/>
  <c r="H519" i="6" s="1"/>
  <c r="I5" i="53" l="1"/>
  <c r="H5" i="53"/>
  <c r="H4" i="53" s="1"/>
  <c r="C72" i="53"/>
  <c r="I37" i="53"/>
  <c r="C20" i="53"/>
  <c r="C85" i="53" s="1"/>
  <c r="G85" i="53"/>
  <c r="E190" i="5"/>
  <c r="D85" i="53"/>
  <c r="F49" i="53"/>
  <c r="K17" i="53"/>
  <c r="F85" i="53"/>
  <c r="H44" i="53"/>
  <c r="H43" i="53" s="1"/>
  <c r="E85" i="53"/>
  <c r="H72" i="53"/>
  <c r="H21" i="53"/>
  <c r="H20" i="53" s="1"/>
  <c r="H50" i="53"/>
  <c r="H60" i="53"/>
  <c r="G565" i="6"/>
  <c r="G564" i="6" s="1"/>
  <c r="G563" i="6" s="1"/>
  <c r="L45" i="53"/>
  <c r="M45" i="53" s="1"/>
  <c r="I44" i="53"/>
  <c r="I43" i="53" s="1"/>
  <c r="L36" i="53"/>
  <c r="M36" i="53" s="1"/>
  <c r="I21" i="53"/>
  <c r="N30" i="53" s="1"/>
  <c r="I50" i="53"/>
  <c r="I49" i="53" s="1"/>
  <c r="F188" i="5"/>
  <c r="F189" i="5"/>
  <c r="G189" i="5" s="1"/>
  <c r="I554" i="6"/>
  <c r="F36" i="10"/>
  <c r="F35" i="10" s="1"/>
  <c r="I556" i="6"/>
  <c r="E35" i="10"/>
  <c r="H451" i="6"/>
  <c r="I451" i="6" s="1"/>
  <c r="I557" i="6"/>
  <c r="I553" i="6"/>
  <c r="I558" i="6"/>
  <c r="G190" i="5"/>
  <c r="G186" i="5"/>
  <c r="G185" i="5"/>
  <c r="H190" i="5"/>
  <c r="I4" i="53" l="1"/>
  <c r="M30" i="53"/>
  <c r="I565" i="6"/>
  <c r="I564" i="6" s="1"/>
  <c r="I563" i="6" s="1"/>
  <c r="L35" i="10"/>
  <c r="G35" i="9" s="1"/>
  <c r="G34" i="9" s="1"/>
  <c r="H34" i="9" s="1"/>
  <c r="F115" i="8" s="1"/>
  <c r="I20" i="53"/>
  <c r="I85" i="53" s="1"/>
  <c r="H49" i="53"/>
  <c r="H85" i="53" s="1"/>
  <c r="M47" i="53"/>
  <c r="L47" i="53"/>
  <c r="L36" i="10"/>
  <c r="I552" i="6"/>
  <c r="H189" i="5"/>
  <c r="H188" i="5"/>
  <c r="G188" i="5"/>
  <c r="K59" i="12"/>
  <c r="K58" i="12"/>
  <c r="I60" i="12"/>
  <c r="H35" i="9" l="1"/>
  <c r="G36" i="9"/>
  <c r="G421" i="6"/>
  <c r="I421" i="6" s="1"/>
  <c r="F452" i="6"/>
  <c r="F454" i="6"/>
  <c r="E276" i="6"/>
  <c r="I276" i="6" s="1"/>
  <c r="C276" i="6"/>
  <c r="E338" i="28"/>
  <c r="F143" i="5"/>
  <c r="E334" i="28"/>
  <c r="G101" i="37" l="1"/>
  <c r="E196" i="44"/>
  <c r="E109" i="44"/>
  <c r="H109" i="44" s="1"/>
  <c r="E25" i="44"/>
  <c r="H25" i="44" l="1"/>
  <c r="G25" i="44"/>
  <c r="L25" i="44" s="1"/>
  <c r="M25" i="44" s="1"/>
  <c r="G109" i="44"/>
  <c r="L109" i="44" s="1"/>
  <c r="M109" i="44" s="1"/>
  <c r="G196" i="44"/>
  <c r="H196" i="44"/>
  <c r="L196" i="44" l="1"/>
  <c r="M196" i="44" s="1"/>
  <c r="H6" i="37"/>
  <c r="H33" i="37"/>
  <c r="H30" i="37"/>
  <c r="H28" i="37"/>
  <c r="H66" i="37"/>
  <c r="G99" i="37"/>
  <c r="G6" i="37"/>
  <c r="G30" i="37"/>
  <c r="H137" i="5" l="1"/>
  <c r="G136" i="5"/>
  <c r="D16" i="29" s="1"/>
  <c r="F135" i="5"/>
  <c r="G135" i="5" s="1"/>
  <c r="G144" i="5"/>
  <c r="G146" i="5"/>
  <c r="G147" i="5"/>
  <c r="G148" i="5"/>
  <c r="F294" i="6"/>
  <c r="I448" i="6"/>
  <c r="G294" i="6"/>
  <c r="I28" i="10" s="1"/>
  <c r="G215" i="6"/>
  <c r="E259" i="6"/>
  <c r="E201" i="6"/>
  <c r="I201" i="6" s="1"/>
  <c r="H72" i="6"/>
  <c r="H73" i="6"/>
  <c r="H74" i="6"/>
  <c r="H75" i="6"/>
  <c r="H76" i="6"/>
  <c r="H77" i="6"/>
  <c r="H78" i="6"/>
  <c r="H79" i="6"/>
  <c r="H80" i="6"/>
  <c r="H81" i="6"/>
  <c r="H82" i="6"/>
  <c r="H83" i="6"/>
  <c r="G84" i="6"/>
  <c r="G71" i="6" s="1"/>
  <c r="F138" i="37"/>
  <c r="F29" i="37"/>
  <c r="B167" i="37"/>
  <c r="C167" i="37"/>
  <c r="D167" i="37"/>
  <c r="E167" i="37"/>
  <c r="G167" i="37"/>
  <c r="H167" i="37"/>
  <c r="H136" i="5" l="1"/>
  <c r="H134" i="5" s="1"/>
  <c r="H29" i="37"/>
  <c r="G33" i="37"/>
  <c r="E200" i="6"/>
  <c r="I200" i="6" s="1"/>
  <c r="F11" i="37"/>
  <c r="H11" i="37" s="1"/>
  <c r="G70" i="37"/>
  <c r="E54" i="44" l="1"/>
  <c r="H54" i="44" s="1"/>
  <c r="F80" i="37"/>
  <c r="G82" i="37"/>
  <c r="G83" i="37"/>
  <c r="F34" i="37"/>
  <c r="J18" i="28"/>
  <c r="K18" i="28"/>
  <c r="J19" i="28"/>
  <c r="K19" i="28"/>
  <c r="H20" i="28"/>
  <c r="J20" i="28" s="1"/>
  <c r="I20" i="28"/>
  <c r="H21" i="28"/>
  <c r="J21" i="28" s="1"/>
  <c r="I21" i="28"/>
  <c r="H22" i="28"/>
  <c r="J22" i="28" s="1"/>
  <c r="I22" i="28"/>
  <c r="H23" i="28"/>
  <c r="J23" i="28" s="1"/>
  <c r="I23" i="28"/>
  <c r="G20" i="28"/>
  <c r="G21" i="28"/>
  <c r="G22" i="28"/>
  <c r="G23" i="28"/>
  <c r="E21" i="28"/>
  <c r="E22" i="28"/>
  <c r="E23" i="28"/>
  <c r="M197" i="44"/>
  <c r="F197" i="37"/>
  <c r="H9" i="21"/>
  <c r="E127" i="44"/>
  <c r="E128" i="44"/>
  <c r="H128" i="44" s="1"/>
  <c r="E129" i="44"/>
  <c r="E131" i="44"/>
  <c r="H127" i="44" l="1"/>
  <c r="H129" i="44"/>
  <c r="H131" i="44"/>
  <c r="G131" i="44"/>
  <c r="J129" i="44"/>
  <c r="J141" i="44" s="1"/>
  <c r="G197" i="37"/>
  <c r="F218" i="28"/>
  <c r="F338" i="6" s="1"/>
  <c r="G54" i="44"/>
  <c r="G80" i="37"/>
  <c r="E59" i="44"/>
  <c r="H59" i="44" s="1"/>
  <c r="D10" i="28"/>
  <c r="D142" i="28" s="1"/>
  <c r="F15" i="21"/>
  <c r="K23" i="28"/>
  <c r="K22" i="28"/>
  <c r="K21" i="28"/>
  <c r="K20" i="28"/>
  <c r="G127" i="44"/>
  <c r="G128" i="44"/>
  <c r="L128" i="44" s="1"/>
  <c r="M128" i="44" s="1"/>
  <c r="L127" i="44" l="1"/>
  <c r="L129" i="44"/>
  <c r="M129" i="44" s="1"/>
  <c r="L131" i="44"/>
  <c r="M131" i="44" s="1"/>
  <c r="L54" i="44"/>
  <c r="M54" i="44" s="1"/>
  <c r="G59" i="44"/>
  <c r="F223" i="28"/>
  <c r="F341" i="6" s="1"/>
  <c r="M127" i="44" l="1"/>
  <c r="L59" i="44"/>
  <c r="M59" i="44" s="1"/>
  <c r="E16" i="44"/>
  <c r="G214" i="37"/>
  <c r="G21" i="37"/>
  <c r="F194" i="37"/>
  <c r="F190" i="37"/>
  <c r="F145" i="37"/>
  <c r="F143" i="37"/>
  <c r="F75" i="37"/>
  <c r="F74" i="37"/>
  <c r="F69" i="37"/>
  <c r="F142" i="37"/>
  <c r="F134" i="37"/>
  <c r="F133" i="37"/>
  <c r="F149" i="37"/>
  <c r="G149" i="37" s="1"/>
  <c r="F126" i="37"/>
  <c r="F114" i="37"/>
  <c r="E112" i="44" s="1"/>
  <c r="H112" i="44" s="1"/>
  <c r="F111" i="37"/>
  <c r="F110" i="37"/>
  <c r="F107" i="37"/>
  <c r="F93" i="37"/>
  <c r="F92" i="37"/>
  <c r="F91" i="37"/>
  <c r="F88" i="37"/>
  <c r="F132" i="37"/>
  <c r="E55" i="44"/>
  <c r="H55" i="44" s="1"/>
  <c r="F79" i="37"/>
  <c r="F42" i="37"/>
  <c r="F37" i="37"/>
  <c r="F36" i="37"/>
  <c r="G25" i="37"/>
  <c r="F24" i="37"/>
  <c r="E15" i="44"/>
  <c r="F19" i="37"/>
  <c r="G15" i="37"/>
  <c r="F14" i="37"/>
  <c r="F67" i="37"/>
  <c r="D43" i="37"/>
  <c r="G43" i="37" s="1"/>
  <c r="D42" i="37"/>
  <c r="D37" i="37"/>
  <c r="D36" i="37"/>
  <c r="D35" i="37"/>
  <c r="D34" i="37"/>
  <c r="D29" i="37"/>
  <c r="D28" i="37"/>
  <c r="D25" i="37"/>
  <c r="D24" i="37"/>
  <c r="D21" i="37"/>
  <c r="D20" i="37"/>
  <c r="D19" i="37"/>
  <c r="D16" i="37"/>
  <c r="D15" i="37"/>
  <c r="D14" i="37"/>
  <c r="D11" i="37"/>
  <c r="D66" i="37"/>
  <c r="D5" i="37"/>
  <c r="E5" i="37"/>
  <c r="F5" i="37" s="1"/>
  <c r="G15" i="44" l="1"/>
  <c r="H15" i="44"/>
  <c r="H16" i="44"/>
  <c r="G16" i="44"/>
  <c r="G55" i="44"/>
  <c r="H19" i="37"/>
  <c r="H24" i="37"/>
  <c r="E111" i="44"/>
  <c r="H111" i="44" s="1"/>
  <c r="H111" i="37"/>
  <c r="H126" i="37"/>
  <c r="H14" i="37"/>
  <c r="H16" i="37"/>
  <c r="H42" i="37"/>
  <c r="D49" i="37"/>
  <c r="G148" i="37"/>
  <c r="G134" i="37"/>
  <c r="G138" i="37"/>
  <c r="G69" i="37"/>
  <c r="D52" i="44"/>
  <c r="F52" i="44" s="1"/>
  <c r="G75" i="37"/>
  <c r="G143" i="37"/>
  <c r="D122" i="44"/>
  <c r="D141" i="44" s="1"/>
  <c r="G145" i="37"/>
  <c r="G190" i="37"/>
  <c r="G71" i="37"/>
  <c r="G74" i="37"/>
  <c r="G144" i="37"/>
  <c r="G191" i="37"/>
  <c r="F49" i="37"/>
  <c r="F63" i="37" s="1"/>
  <c r="F115" i="37" s="1"/>
  <c r="F123" i="37" s="1"/>
  <c r="D9" i="44"/>
  <c r="F9" i="44" s="1"/>
  <c r="H5" i="37"/>
  <c r="G5" i="37"/>
  <c r="F205" i="37"/>
  <c r="G66" i="37"/>
  <c r="G11" i="37"/>
  <c r="G14" i="37"/>
  <c r="G16" i="37"/>
  <c r="G20" i="37"/>
  <c r="G24" i="37"/>
  <c r="G28" i="37"/>
  <c r="G29" i="37"/>
  <c r="G35" i="37"/>
  <c r="G37" i="37"/>
  <c r="G68" i="37"/>
  <c r="G91" i="37"/>
  <c r="G92" i="37"/>
  <c r="G106" i="37"/>
  <c r="G111" i="37"/>
  <c r="G126" i="37"/>
  <c r="G127" i="37"/>
  <c r="G112" i="44"/>
  <c r="L112" i="44" s="1"/>
  <c r="M112" i="44" s="1"/>
  <c r="G67" i="37"/>
  <c r="G19" i="37"/>
  <c r="G34" i="37"/>
  <c r="G36" i="37"/>
  <c r="G42" i="37"/>
  <c r="G79" i="37"/>
  <c r="G132" i="37"/>
  <c r="G88" i="37"/>
  <c r="G93" i="37"/>
  <c r="G98" i="37"/>
  <c r="G107" i="37"/>
  <c r="G110" i="37"/>
  <c r="G114" i="37"/>
  <c r="F26" i="44"/>
  <c r="L26" i="44" s="1"/>
  <c r="M26" i="44" s="1"/>
  <c r="G131" i="37"/>
  <c r="G133" i="37"/>
  <c r="E116" i="28"/>
  <c r="F122" i="44" l="1"/>
  <c r="F141" i="44" s="1"/>
  <c r="L16" i="44"/>
  <c r="M16" i="44" s="1"/>
  <c r="F37" i="44"/>
  <c r="L15" i="44"/>
  <c r="M15" i="44" s="1"/>
  <c r="D37" i="44"/>
  <c r="C9" i="21"/>
  <c r="C12" i="21"/>
  <c r="G49" i="37"/>
  <c r="E110" i="44"/>
  <c r="L55" i="44"/>
  <c r="G111" i="44"/>
  <c r="L111" i="44" s="1"/>
  <c r="M111" i="44" s="1"/>
  <c r="E125" i="44"/>
  <c r="H125" i="44" s="1"/>
  <c r="F152" i="37"/>
  <c r="F169" i="37"/>
  <c r="F97" i="5"/>
  <c r="H72" i="5"/>
  <c r="G72" i="5"/>
  <c r="F11" i="5"/>
  <c r="H18" i="5"/>
  <c r="H19" i="5"/>
  <c r="H20" i="5"/>
  <c r="H21" i="5"/>
  <c r="H22" i="5"/>
  <c r="H23" i="5"/>
  <c r="H24" i="5"/>
  <c r="H25" i="5"/>
  <c r="H26" i="5"/>
  <c r="G26" i="5"/>
  <c r="G22" i="5"/>
  <c r="G21" i="5"/>
  <c r="H17" i="5"/>
  <c r="H16" i="5"/>
  <c r="E159" i="5" l="1"/>
  <c r="E336" i="28"/>
  <c r="D9" i="21"/>
  <c r="G8" i="28" s="1"/>
  <c r="G110" i="44"/>
  <c r="H110" i="44"/>
  <c r="E8" i="28"/>
  <c r="G125" i="44"/>
  <c r="L125" i="44" s="1"/>
  <c r="M125" i="44" s="1"/>
  <c r="L110" i="44" l="1"/>
  <c r="D28" i="5"/>
  <c r="M110" i="44" l="1"/>
  <c r="D135" i="5"/>
  <c r="D143" i="5"/>
  <c r="D134" i="5" l="1"/>
  <c r="H135" i="5"/>
  <c r="D218" i="37" l="1"/>
  <c r="C218" i="37"/>
  <c r="G216" i="37"/>
  <c r="E216" i="37"/>
  <c r="C216" i="37"/>
  <c r="D216" i="37"/>
  <c r="G218" i="37" l="1"/>
  <c r="H216" i="37"/>
  <c r="E49" i="37"/>
  <c r="D145" i="37"/>
  <c r="D144" i="37"/>
  <c r="D143" i="37"/>
  <c r="D74" i="37"/>
  <c r="D75" i="37"/>
  <c r="D191" i="37"/>
  <c r="H191" i="37" s="1"/>
  <c r="D194" i="37"/>
  <c r="D190" i="37"/>
  <c r="D106" i="37"/>
  <c r="D132" i="37"/>
  <c r="D88" i="37"/>
  <c r="D69" i="37"/>
  <c r="D142" i="37"/>
  <c r="G142" i="37" s="1"/>
  <c r="H194" i="37" l="1"/>
  <c r="H203" i="37" s="1"/>
  <c r="G194" i="37"/>
  <c r="G203" i="37" s="1"/>
  <c r="B118" i="7"/>
  <c r="F71" i="6" l="1"/>
  <c r="E84" i="6"/>
  <c r="F85" i="6"/>
  <c r="F93" i="6"/>
  <c r="F96" i="6"/>
  <c r="F100" i="6"/>
  <c r="F101" i="6"/>
  <c r="B108" i="6"/>
  <c r="E36" i="9"/>
  <c r="G10" i="10"/>
  <c r="I10" i="10"/>
  <c r="J31" i="10"/>
  <c r="K31" i="10"/>
  <c r="K15" i="10"/>
  <c r="H15" i="10"/>
  <c r="H31" i="10"/>
  <c r="G31" i="10"/>
  <c r="G27" i="10"/>
  <c r="H27" i="10"/>
  <c r="G28" i="10"/>
  <c r="H28" i="10"/>
  <c r="E502" i="6"/>
  <c r="E519" i="6" s="1"/>
  <c r="H508" i="6"/>
  <c r="I508" i="6" s="1"/>
  <c r="H507" i="6"/>
  <c r="G507" i="6"/>
  <c r="G506" i="6"/>
  <c r="G519" i="6" s="1"/>
  <c r="F510" i="6"/>
  <c r="I515" i="6"/>
  <c r="I514" i="6"/>
  <c r="I513" i="6"/>
  <c r="H509" i="6"/>
  <c r="I509" i="6" s="1"/>
  <c r="F507" i="6"/>
  <c r="I505" i="6"/>
  <c r="F501" i="6"/>
  <c r="I500" i="6"/>
  <c r="I499" i="6"/>
  <c r="I498" i="6"/>
  <c r="I497" i="6"/>
  <c r="H496" i="6"/>
  <c r="G496" i="6"/>
  <c r="F496" i="6"/>
  <c r="E496" i="6"/>
  <c r="I337" i="6"/>
  <c r="I339" i="6"/>
  <c r="I343" i="6"/>
  <c r="I349" i="6"/>
  <c r="I350" i="6"/>
  <c r="I353" i="6"/>
  <c r="I356" i="6"/>
  <c r="I359" i="6"/>
  <c r="I364" i="6"/>
  <c r="I365" i="6"/>
  <c r="I366" i="6"/>
  <c r="I367" i="6"/>
  <c r="I369" i="6"/>
  <c r="I372" i="6"/>
  <c r="I373" i="6"/>
  <c r="I374" i="6"/>
  <c r="I399" i="6"/>
  <c r="I401" i="6"/>
  <c r="I402" i="6"/>
  <c r="I403" i="6"/>
  <c r="I404" i="6"/>
  <c r="I405" i="6"/>
  <c r="I407" i="6"/>
  <c r="I409" i="6"/>
  <c r="I410" i="6"/>
  <c r="I411" i="6"/>
  <c r="I412" i="6"/>
  <c r="I414" i="6"/>
  <c r="I415" i="6"/>
  <c r="I427" i="6"/>
  <c r="I428" i="6"/>
  <c r="I429" i="6"/>
  <c r="I431" i="6"/>
  <c r="I432" i="6"/>
  <c r="I434" i="6"/>
  <c r="I435" i="6"/>
  <c r="I436" i="6"/>
  <c r="I437" i="6"/>
  <c r="I440" i="6"/>
  <c r="I441" i="6"/>
  <c r="I442" i="6"/>
  <c r="I443" i="6"/>
  <c r="H453" i="6"/>
  <c r="H452" i="6"/>
  <c r="H398" i="6"/>
  <c r="H397" i="6" s="1"/>
  <c r="H351" i="6" s="1"/>
  <c r="F19" i="10" s="1"/>
  <c r="H341" i="6"/>
  <c r="G459" i="6"/>
  <c r="G458" i="6"/>
  <c r="I458" i="6" s="1"/>
  <c r="G422" i="6"/>
  <c r="G423" i="6"/>
  <c r="I423" i="6" s="1"/>
  <c r="F444" i="6"/>
  <c r="F450" i="6"/>
  <c r="I450" i="6" s="1"/>
  <c r="F417" i="6"/>
  <c r="F406" i="6"/>
  <c r="I406" i="6" s="1"/>
  <c r="F400" i="6"/>
  <c r="I400" i="6" s="1"/>
  <c r="F398" i="6"/>
  <c r="F370" i="6"/>
  <c r="I370" i="6" s="1"/>
  <c r="F368" i="6"/>
  <c r="I368" i="6" s="1"/>
  <c r="F362" i="6"/>
  <c r="I362" i="6" s="1"/>
  <c r="F363" i="6"/>
  <c r="I363" i="6" s="1"/>
  <c r="F361" i="6"/>
  <c r="I361" i="6" s="1"/>
  <c r="F360" i="6"/>
  <c r="I360" i="6" s="1"/>
  <c r="F358" i="6"/>
  <c r="I358" i="6" s="1"/>
  <c r="F357" i="6"/>
  <c r="I357" i="6" s="1"/>
  <c r="F355" i="6"/>
  <c r="I355" i="6" s="1"/>
  <c r="F354" i="6"/>
  <c r="E445" i="6"/>
  <c r="E444" i="6" s="1"/>
  <c r="E438" i="6" s="1"/>
  <c r="I16" i="10" s="1"/>
  <c r="L16" i="10" s="1"/>
  <c r="C15" i="9" s="1"/>
  <c r="H15" i="9" s="1"/>
  <c r="I463" i="6"/>
  <c r="I462" i="6"/>
  <c r="I461" i="6"/>
  <c r="H454" i="6"/>
  <c r="H439" i="6"/>
  <c r="G439" i="6"/>
  <c r="G438" i="6" s="1"/>
  <c r="F439" i="6"/>
  <c r="E439" i="6"/>
  <c r="E433" i="6"/>
  <c r="I433" i="6" s="1"/>
  <c r="G430" i="6"/>
  <c r="F430" i="6"/>
  <c r="G426" i="6"/>
  <c r="F426" i="6"/>
  <c r="F419" i="6" s="1"/>
  <c r="E426" i="6"/>
  <c r="E419" i="6" s="1"/>
  <c r="G413" i="6"/>
  <c r="F413" i="6"/>
  <c r="E413" i="6"/>
  <c r="G408" i="6"/>
  <c r="F408" i="6"/>
  <c r="E408" i="6"/>
  <c r="G397" i="6"/>
  <c r="E397" i="6"/>
  <c r="G371" i="6"/>
  <c r="F371" i="6"/>
  <c r="E371" i="6"/>
  <c r="G348" i="6"/>
  <c r="I348" i="6" s="1"/>
  <c r="G346" i="6"/>
  <c r="E346" i="6"/>
  <c r="G344" i="6"/>
  <c r="E344" i="6"/>
  <c r="F342" i="6"/>
  <c r="E342" i="6"/>
  <c r="G340" i="6"/>
  <c r="G335" i="6"/>
  <c r="E335" i="6"/>
  <c r="I287" i="6"/>
  <c r="I289" i="6"/>
  <c r="I293" i="6"/>
  <c r="I295" i="6"/>
  <c r="I296" i="6"/>
  <c r="I298" i="6"/>
  <c r="I300" i="6"/>
  <c r="I301" i="6"/>
  <c r="I302" i="6"/>
  <c r="I303" i="6"/>
  <c r="I304" i="6"/>
  <c r="I305" i="6"/>
  <c r="H186" i="6"/>
  <c r="F292" i="6"/>
  <c r="F291" i="6" s="1"/>
  <c r="I27" i="10" s="1"/>
  <c r="G292" i="6"/>
  <c r="G291" i="6" s="1"/>
  <c r="H292" i="6"/>
  <c r="H308" i="6"/>
  <c r="G275" i="6"/>
  <c r="G272" i="6"/>
  <c r="G270" i="6"/>
  <c r="G267" i="6"/>
  <c r="G261" i="6"/>
  <c r="G259" i="6"/>
  <c r="G230" i="6"/>
  <c r="G226" i="6"/>
  <c r="G225" i="6"/>
  <c r="G224" i="6"/>
  <c r="I224" i="6" s="1"/>
  <c r="G223" i="6"/>
  <c r="I223" i="6" s="1"/>
  <c r="G221" i="6"/>
  <c r="G219" i="6"/>
  <c r="G218" i="6"/>
  <c r="I218" i="6" s="1"/>
  <c r="G217" i="6"/>
  <c r="I217" i="6" s="1"/>
  <c r="G216" i="6"/>
  <c r="G214" i="6"/>
  <c r="G213" i="6"/>
  <c r="I213" i="6" s="1"/>
  <c r="G211" i="6"/>
  <c r="G210" i="6"/>
  <c r="I210" i="6" s="1"/>
  <c r="F283" i="6"/>
  <c r="G283" i="6"/>
  <c r="F279" i="6"/>
  <c r="F278" i="6" s="1"/>
  <c r="G279" i="6"/>
  <c r="G278" i="6" s="1"/>
  <c r="E294" i="6"/>
  <c r="E288" i="6"/>
  <c r="E281" i="6"/>
  <c r="I281" i="6" s="1"/>
  <c r="E280" i="6"/>
  <c r="I280" i="6" s="1"/>
  <c r="E275" i="6"/>
  <c r="E271" i="6"/>
  <c r="I271" i="6" s="1"/>
  <c r="E272" i="6"/>
  <c r="E273" i="6"/>
  <c r="I273" i="6" s="1"/>
  <c r="E270" i="6"/>
  <c r="E267" i="6"/>
  <c r="E266" i="6"/>
  <c r="E265" i="6"/>
  <c r="I265" i="6" s="1"/>
  <c r="E264" i="6"/>
  <c r="I264" i="6" s="1"/>
  <c r="E263" i="6"/>
  <c r="I263" i="6" s="1"/>
  <c r="E262" i="6"/>
  <c r="I262" i="6" s="1"/>
  <c r="E261" i="6"/>
  <c r="E260" i="6"/>
  <c r="I260" i="6" s="1"/>
  <c r="E230" i="6"/>
  <c r="E219" i="6"/>
  <c r="E216" i="6"/>
  <c r="I216" i="6" s="1"/>
  <c r="C216" i="6"/>
  <c r="E215" i="6"/>
  <c r="E214" i="6"/>
  <c r="E211" i="6"/>
  <c r="E209" i="6"/>
  <c r="E188" i="6"/>
  <c r="H136" i="6"/>
  <c r="H132" i="6"/>
  <c r="H123" i="6"/>
  <c r="H121" i="6"/>
  <c r="H120" i="6"/>
  <c r="H68" i="6"/>
  <c r="H67" i="6"/>
  <c r="H33" i="6"/>
  <c r="H29" i="6"/>
  <c r="G70" i="6"/>
  <c r="G66" i="6"/>
  <c r="G63" i="6"/>
  <c r="G36" i="6" s="1"/>
  <c r="I219" i="6" l="1"/>
  <c r="E274" i="6"/>
  <c r="I275" i="6"/>
  <c r="I288" i="6"/>
  <c r="I267" i="6"/>
  <c r="H467" i="6"/>
  <c r="E334" i="6"/>
  <c r="G334" i="6"/>
  <c r="I496" i="6"/>
  <c r="I398" i="6"/>
  <c r="I507" i="6"/>
  <c r="I422" i="6"/>
  <c r="G420" i="6"/>
  <c r="I459" i="6"/>
  <c r="G467" i="6"/>
  <c r="F416" i="6"/>
  <c r="I416" i="6" s="1"/>
  <c r="I214" i="6"/>
  <c r="I294" i="6"/>
  <c r="H70" i="6"/>
  <c r="E71" i="6"/>
  <c r="H71" i="6" s="1"/>
  <c r="H84" i="6"/>
  <c r="E501" i="6"/>
  <c r="E518" i="6" s="1"/>
  <c r="I502" i="6"/>
  <c r="F99" i="6"/>
  <c r="F95" i="6" s="1"/>
  <c r="F90" i="6"/>
  <c r="G504" i="6"/>
  <c r="G518" i="6" s="1"/>
  <c r="I510" i="6"/>
  <c r="I506" i="6"/>
  <c r="E351" i="6"/>
  <c r="H504" i="6"/>
  <c r="H495" i="6" s="1"/>
  <c r="I454" i="6"/>
  <c r="F504" i="6"/>
  <c r="F495" i="6" s="1"/>
  <c r="F352" i="6"/>
  <c r="I352" i="6" s="1"/>
  <c r="H447" i="6"/>
  <c r="I19" i="10" s="1"/>
  <c r="I452" i="6"/>
  <c r="H340" i="6"/>
  <c r="H334" i="6" s="1"/>
  <c r="E19" i="10" s="1"/>
  <c r="I453" i="6"/>
  <c r="I445" i="6"/>
  <c r="I417" i="6"/>
  <c r="I354" i="6"/>
  <c r="G342" i="6"/>
  <c r="I408" i="6"/>
  <c r="I439" i="6"/>
  <c r="I371" i="6"/>
  <c r="I413" i="6"/>
  <c r="I426" i="6"/>
  <c r="I444" i="6"/>
  <c r="I342" i="6"/>
  <c r="E430" i="6"/>
  <c r="I430" i="6" s="1"/>
  <c r="E465" i="6"/>
  <c r="G457" i="6"/>
  <c r="I457" i="6" s="1"/>
  <c r="E466" i="6"/>
  <c r="E467" i="6"/>
  <c r="I261" i="6"/>
  <c r="F397" i="6"/>
  <c r="I397" i="6" s="1"/>
  <c r="E208" i="6"/>
  <c r="E269" i="6"/>
  <c r="G258" i="6"/>
  <c r="G351" i="6"/>
  <c r="H307" i="6"/>
  <c r="I299" i="6"/>
  <c r="E292" i="6"/>
  <c r="I209" i="6"/>
  <c r="I297" i="6"/>
  <c r="E279" i="6"/>
  <c r="E258" i="6"/>
  <c r="E286" i="6"/>
  <c r="G65" i="6"/>
  <c r="L19" i="10" l="1"/>
  <c r="C18" i="9" s="1"/>
  <c r="H18" i="9" s="1"/>
  <c r="E495" i="6"/>
  <c r="E517" i="6" s="1"/>
  <c r="I292" i="6"/>
  <c r="I501" i="6"/>
  <c r="H438" i="6"/>
  <c r="H465" i="6" s="1"/>
  <c r="G495" i="6"/>
  <c r="G517" i="6" s="1"/>
  <c r="I519" i="6"/>
  <c r="H306" i="6"/>
  <c r="I29" i="10"/>
  <c r="L29" i="10" s="1"/>
  <c r="D28" i="9" s="1"/>
  <c r="H28" i="9" s="1"/>
  <c r="F517" i="6"/>
  <c r="I23" i="10"/>
  <c r="L23" i="10" s="1"/>
  <c r="C22" i="9" s="1"/>
  <c r="H22" i="9" s="1"/>
  <c r="F519" i="6"/>
  <c r="F518" i="6"/>
  <c r="H518" i="6"/>
  <c r="I504" i="6"/>
  <c r="G419" i="6"/>
  <c r="G18" i="10" s="1"/>
  <c r="I420" i="6"/>
  <c r="G466" i="6"/>
  <c r="G456" i="6"/>
  <c r="J18" i="10" s="1"/>
  <c r="J15" i="10" s="1"/>
  <c r="J38" i="10" s="1"/>
  <c r="D32" i="29" s="1"/>
  <c r="D33" i="15" s="1"/>
  <c r="F351" i="6"/>
  <c r="H466" i="6"/>
  <c r="I286" i="6"/>
  <c r="E278" i="6"/>
  <c r="I279" i="6"/>
  <c r="E291" i="6"/>
  <c r="G35" i="6"/>
  <c r="G193" i="6"/>
  <c r="G192" i="6" s="1"/>
  <c r="F66" i="6"/>
  <c r="I32" i="10" l="1"/>
  <c r="I22" i="10"/>
  <c r="I21" i="10" s="1"/>
  <c r="L21" i="10" s="1"/>
  <c r="I518" i="6"/>
  <c r="I495" i="6"/>
  <c r="I517" i="6" s="1"/>
  <c r="G15" i="10"/>
  <c r="L18" i="10"/>
  <c r="C17" i="9" s="1"/>
  <c r="H17" i="9" s="1"/>
  <c r="F183" i="8" s="1"/>
  <c r="L32" i="10"/>
  <c r="F31" i="9" s="1"/>
  <c r="I291" i="6"/>
  <c r="I26" i="10"/>
  <c r="I25" i="10" s="1"/>
  <c r="I278" i="6"/>
  <c r="G26" i="10"/>
  <c r="G25" i="10" s="1"/>
  <c r="I351" i="6"/>
  <c r="F17" i="10"/>
  <c r="F15" i="10" s="1"/>
  <c r="I33" i="10"/>
  <c r="L33" i="10" s="1"/>
  <c r="F32" i="9" s="1"/>
  <c r="H32" i="9" s="1"/>
  <c r="F143" i="8" s="1"/>
  <c r="F153" i="8" s="1"/>
  <c r="F107" i="7" s="1"/>
  <c r="F113" i="7" s="1"/>
  <c r="H517" i="6"/>
  <c r="F13" i="10"/>
  <c r="I419" i="6"/>
  <c r="G465" i="6"/>
  <c r="I456" i="6"/>
  <c r="I331" i="28"/>
  <c r="J331" i="28"/>
  <c r="L331" i="28"/>
  <c r="D339" i="28" s="1"/>
  <c r="F339" i="28" s="1"/>
  <c r="L22" i="10" l="1"/>
  <c r="C21" i="9" s="1"/>
  <c r="G38" i="10"/>
  <c r="D29" i="29" s="1"/>
  <c r="D30" i="15" s="1"/>
  <c r="I332" i="28"/>
  <c r="D338" i="28"/>
  <c r="F338" i="28" s="1"/>
  <c r="H21" i="9"/>
  <c r="F103" i="8" s="1"/>
  <c r="C20" i="9"/>
  <c r="H20" i="9" s="1"/>
  <c r="H31" i="9"/>
  <c r="F30" i="9"/>
  <c r="I31" i="10"/>
  <c r="G137" i="5"/>
  <c r="E331" i="28" l="1"/>
  <c r="D331" i="28"/>
  <c r="F340" i="6"/>
  <c r="I340" i="6" s="1"/>
  <c r="I341" i="6"/>
  <c r="G331" i="28"/>
  <c r="F36" i="9"/>
  <c r="H30" i="9"/>
  <c r="D332" i="28" l="1"/>
  <c r="D334" i="28"/>
  <c r="F334" i="28" s="1"/>
  <c r="F142" i="5"/>
  <c r="F151" i="5" s="1"/>
  <c r="E114" i="44" l="1"/>
  <c r="H114" i="44" s="1"/>
  <c r="D71" i="37"/>
  <c r="H29" i="5"/>
  <c r="G29" i="5"/>
  <c r="F28" i="5"/>
  <c r="G34" i="5"/>
  <c r="G35" i="5"/>
  <c r="G36" i="5"/>
  <c r="G37" i="5"/>
  <c r="G38" i="5"/>
  <c r="G20" i="5"/>
  <c r="G19" i="5"/>
  <c r="G18" i="5"/>
  <c r="G17" i="5"/>
  <c r="G16" i="5"/>
  <c r="E33" i="44"/>
  <c r="E13" i="44"/>
  <c r="G13" i="44" s="1"/>
  <c r="L13" i="44" s="1"/>
  <c r="M13" i="44" s="1"/>
  <c r="H33" i="44" l="1"/>
  <c r="G33" i="44"/>
  <c r="L33" i="44" l="1"/>
  <c r="M33" i="44" s="1"/>
  <c r="F188" i="6"/>
  <c r="E20" i="44"/>
  <c r="H20" i="44" l="1"/>
  <c r="G20" i="44"/>
  <c r="L20" i="44" s="1"/>
  <c r="M20" i="44" s="1"/>
  <c r="F215" i="6" l="1"/>
  <c r="I215" i="6" s="1"/>
  <c r="F62" i="6"/>
  <c r="E135" i="6"/>
  <c r="J138" i="28"/>
  <c r="J139" i="28"/>
  <c r="J140" i="28"/>
  <c r="J127" i="28"/>
  <c r="J84" i="28"/>
  <c r="J85" i="28"/>
  <c r="J86" i="28"/>
  <c r="J87" i="28"/>
  <c r="J88" i="28"/>
  <c r="J89" i="28"/>
  <c r="J90" i="28"/>
  <c r="J91" i="28"/>
  <c r="J92" i="28"/>
  <c r="J93" i="28"/>
  <c r="J94" i="28"/>
  <c r="J95" i="28"/>
  <c r="J96" i="28"/>
  <c r="J97" i="28"/>
  <c r="J98" i="28"/>
  <c r="J99" i="28"/>
  <c r="J100" i="28"/>
  <c r="J101" i="28"/>
  <c r="J102" i="28"/>
  <c r="J103" i="28"/>
  <c r="J104" i="28"/>
  <c r="J105" i="28"/>
  <c r="J106" i="28"/>
  <c r="J107" i="28"/>
  <c r="J108" i="28"/>
  <c r="J109" i="28"/>
  <c r="J110" i="28"/>
  <c r="J111" i="28"/>
  <c r="J112" i="28"/>
  <c r="J113" i="28"/>
  <c r="J114" i="28"/>
  <c r="J115" i="28"/>
  <c r="J117" i="28"/>
  <c r="J118" i="28"/>
  <c r="J119" i="28"/>
  <c r="J120" i="28"/>
  <c r="J121" i="28"/>
  <c r="J122" i="28"/>
  <c r="J123" i="28"/>
  <c r="J124" i="28"/>
  <c r="J125" i="28"/>
  <c r="J126" i="28"/>
  <c r="J77" i="28"/>
  <c r="J78" i="28"/>
  <c r="J79" i="28"/>
  <c r="J80" i="28"/>
  <c r="J81" i="28"/>
  <c r="J82" i="28"/>
  <c r="J12" i="28"/>
  <c r="J14" i="28"/>
  <c r="J15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K140" i="28"/>
  <c r="K139" i="28"/>
  <c r="N155" i="28"/>
  <c r="H130" i="5"/>
  <c r="H131" i="5"/>
  <c r="G130" i="5"/>
  <c r="G131" i="5"/>
  <c r="E90" i="5"/>
  <c r="N154" i="28"/>
  <c r="E134" i="6" l="1"/>
  <c r="N158" i="28"/>
  <c r="N156" i="28"/>
  <c r="E133" i="6" l="1"/>
  <c r="E128" i="5"/>
  <c r="J13" i="28"/>
  <c r="N160" i="28"/>
  <c r="N161" i="28" s="1"/>
  <c r="E58" i="6"/>
  <c r="E112" i="6" s="1"/>
  <c r="E205" i="37"/>
  <c r="C205" i="37"/>
  <c r="K171" i="38"/>
  <c r="J171" i="38"/>
  <c r="G171" i="38"/>
  <c r="E171" i="38"/>
  <c r="F170" i="38"/>
  <c r="I170" i="38" s="1"/>
  <c r="F169" i="38"/>
  <c r="H169" i="38" s="1"/>
  <c r="F168" i="38"/>
  <c r="I168" i="38" s="1"/>
  <c r="F167" i="38"/>
  <c r="I167" i="38" s="1"/>
  <c r="F166" i="38"/>
  <c r="I166" i="38" s="1"/>
  <c r="F165" i="38"/>
  <c r="I165" i="38" s="1"/>
  <c r="F164" i="38"/>
  <c r="I164" i="38" s="1"/>
  <c r="F163" i="38"/>
  <c r="H163" i="38" s="1"/>
  <c r="F162" i="38"/>
  <c r="I162" i="38" s="1"/>
  <c r="F161" i="38"/>
  <c r="H161" i="38" s="1"/>
  <c r="F160" i="38"/>
  <c r="I160" i="38" s="1"/>
  <c r="F159" i="38"/>
  <c r="H159" i="38" s="1"/>
  <c r="F158" i="38"/>
  <c r="I158" i="38" s="1"/>
  <c r="F157" i="38"/>
  <c r="F171" i="38" s="1"/>
  <c r="F172" i="38" s="1"/>
  <c r="L172" i="38" s="1"/>
  <c r="M172" i="38" s="1"/>
  <c r="D197" i="37"/>
  <c r="E194" i="44"/>
  <c r="E193" i="44"/>
  <c r="H193" i="44" s="1"/>
  <c r="E192" i="44"/>
  <c r="E191" i="44"/>
  <c r="E190" i="44"/>
  <c r="E189" i="44"/>
  <c r="E188" i="44"/>
  <c r="E187" i="44"/>
  <c r="H187" i="44" s="1"/>
  <c r="E186" i="44"/>
  <c r="H8" i="21" s="1"/>
  <c r="E115" i="44"/>
  <c r="H115" i="44" s="1"/>
  <c r="E123" i="44"/>
  <c r="H123" i="44" s="1"/>
  <c r="E122" i="44"/>
  <c r="E57" i="44"/>
  <c r="H57" i="44" s="1"/>
  <c r="E56" i="44"/>
  <c r="H56" i="44" s="1"/>
  <c r="E52" i="44"/>
  <c r="H52" i="44" s="1"/>
  <c r="E121" i="44"/>
  <c r="H121" i="44" s="1"/>
  <c r="E120" i="44"/>
  <c r="H120" i="44" s="1"/>
  <c r="E119" i="44"/>
  <c r="H119" i="44" s="1"/>
  <c r="E118" i="44"/>
  <c r="H118" i="44" s="1"/>
  <c r="E117" i="44"/>
  <c r="H117" i="44" s="1"/>
  <c r="E53" i="44"/>
  <c r="H53" i="44" s="1"/>
  <c r="E116" i="44"/>
  <c r="H116" i="44" s="1"/>
  <c r="E58" i="44"/>
  <c r="H58" i="44" s="1"/>
  <c r="E108" i="44"/>
  <c r="E107" i="44"/>
  <c r="E141" i="44" s="1"/>
  <c r="E36" i="44"/>
  <c r="E27" i="44"/>
  <c r="E35" i="44"/>
  <c r="E34" i="44"/>
  <c r="E29" i="44"/>
  <c r="E30" i="44"/>
  <c r="E28" i="44"/>
  <c r="E21" i="44"/>
  <c r="G113" i="44"/>
  <c r="L113" i="44" s="1"/>
  <c r="M113" i="44" s="1"/>
  <c r="E24" i="44"/>
  <c r="E23" i="44"/>
  <c r="G23" i="44" s="1"/>
  <c r="L23" i="44" s="1"/>
  <c r="M23" i="44" s="1"/>
  <c r="E19" i="44"/>
  <c r="E18" i="44"/>
  <c r="E17" i="44"/>
  <c r="E14" i="44"/>
  <c r="G14" i="44" s="1"/>
  <c r="L14" i="44" s="1"/>
  <c r="M14" i="44" s="1"/>
  <c r="U9" i="44"/>
  <c r="T9" i="44"/>
  <c r="E9" i="44"/>
  <c r="J27" i="38"/>
  <c r="K27" i="38"/>
  <c r="E27" i="38"/>
  <c r="I10" i="38"/>
  <c r="F129" i="38"/>
  <c r="H129" i="38" s="1"/>
  <c r="F53" i="38"/>
  <c r="H53" i="38" s="1"/>
  <c r="F67" i="38"/>
  <c r="H67" i="38" s="1"/>
  <c r="G57" i="38"/>
  <c r="G14" i="38"/>
  <c r="F14" i="38"/>
  <c r="H14" i="38" s="1"/>
  <c r="A10" i="38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50" i="38" s="1"/>
  <c r="A51" i="38" s="1"/>
  <c r="A52" i="38" s="1"/>
  <c r="I17" i="38"/>
  <c r="F17" i="38"/>
  <c r="H17" i="38" s="1"/>
  <c r="F49" i="38"/>
  <c r="H49" i="38" s="1"/>
  <c r="C49" i="37"/>
  <c r="C63" i="37" s="1"/>
  <c r="C115" i="37" s="1"/>
  <c r="C123" i="37" s="1"/>
  <c r="B205" i="37"/>
  <c r="E63" i="37"/>
  <c r="E115" i="37" s="1"/>
  <c r="E123" i="37" s="1"/>
  <c r="D98" i="37"/>
  <c r="D75" i="5"/>
  <c r="F126" i="6"/>
  <c r="H126" i="6" s="1"/>
  <c r="H127" i="6"/>
  <c r="F122" i="6"/>
  <c r="H122" i="6" s="1"/>
  <c r="F135" i="6"/>
  <c r="E118" i="6"/>
  <c r="F117" i="6"/>
  <c r="F63" i="6"/>
  <c r="H63" i="6" s="1"/>
  <c r="F64" i="6"/>
  <c r="F69" i="6"/>
  <c r="H69" i="6" s="1"/>
  <c r="F211" i="6"/>
  <c r="I211" i="6" s="1"/>
  <c r="F220" i="6"/>
  <c r="I220" i="6" s="1"/>
  <c r="F221" i="6"/>
  <c r="I221" i="6" s="1"/>
  <c r="F222" i="6"/>
  <c r="G222" i="6" s="1"/>
  <c r="F225" i="6"/>
  <c r="I225" i="6" s="1"/>
  <c r="F226" i="6"/>
  <c r="I226" i="6" s="1"/>
  <c r="F228" i="6"/>
  <c r="F230" i="6"/>
  <c r="I230" i="6" s="1"/>
  <c r="F270" i="6"/>
  <c r="I270" i="6" s="1"/>
  <c r="F272" i="6"/>
  <c r="F259" i="6"/>
  <c r="I259" i="6" s="1"/>
  <c r="F266" i="6"/>
  <c r="I266" i="6" s="1"/>
  <c r="E23" i="6"/>
  <c r="E22" i="6" s="1"/>
  <c r="E195" i="6"/>
  <c r="E194" i="6" s="1"/>
  <c r="F15" i="6"/>
  <c r="H15" i="6" s="1"/>
  <c r="F34" i="6"/>
  <c r="F20" i="6"/>
  <c r="F18" i="6" s="1"/>
  <c r="F23" i="6"/>
  <c r="F22" i="6" s="1"/>
  <c r="F131" i="6"/>
  <c r="H131" i="6" s="1"/>
  <c r="F129" i="6"/>
  <c r="H129" i="6" s="1"/>
  <c r="F193" i="6"/>
  <c r="F195" i="6"/>
  <c r="F194" i="6" s="1"/>
  <c r="E66" i="6"/>
  <c r="E227" i="6"/>
  <c r="F28" i="6"/>
  <c r="H28" i="6" s="1"/>
  <c r="E36" i="6"/>
  <c r="P67" i="39"/>
  <c r="Q67" i="39"/>
  <c r="R67" i="39"/>
  <c r="S67" i="39"/>
  <c r="T67" i="39"/>
  <c r="U67" i="39"/>
  <c r="V67" i="39"/>
  <c r="W67" i="39"/>
  <c r="X67" i="39"/>
  <c r="Y67" i="39"/>
  <c r="Z67" i="39"/>
  <c r="AA67" i="39"/>
  <c r="I8" i="39"/>
  <c r="I12" i="39"/>
  <c r="I15" i="39"/>
  <c r="I18" i="39"/>
  <c r="I19" i="39"/>
  <c r="P26" i="39"/>
  <c r="I27" i="39"/>
  <c r="P27" i="39" s="1"/>
  <c r="I30" i="39"/>
  <c r="P30" i="39" s="1"/>
  <c r="I33" i="39"/>
  <c r="P33" i="39" s="1"/>
  <c r="I34" i="39"/>
  <c r="P34" i="39" s="1"/>
  <c r="I35" i="39"/>
  <c r="P35" i="39" s="1"/>
  <c r="I40" i="39"/>
  <c r="P40" i="39" s="1"/>
  <c r="AB40" i="39" s="1"/>
  <c r="I46" i="39"/>
  <c r="P46" i="39" s="1"/>
  <c r="I47" i="39"/>
  <c r="P47" i="39" s="1"/>
  <c r="I49" i="39"/>
  <c r="P49" i="39" s="1"/>
  <c r="I52" i="39"/>
  <c r="P52" i="39"/>
  <c r="I55" i="39"/>
  <c r="P55" i="39"/>
  <c r="I56" i="39"/>
  <c r="P56" i="39"/>
  <c r="I70" i="39"/>
  <c r="P70" i="39" s="1"/>
  <c r="I71" i="39"/>
  <c r="P71" i="39" s="1"/>
  <c r="I82" i="39"/>
  <c r="P82" i="39" s="1"/>
  <c r="I83" i="39"/>
  <c r="P83" i="39"/>
  <c r="I85" i="39"/>
  <c r="P85" i="39"/>
  <c r="I103" i="39"/>
  <c r="P103" i="39" s="1"/>
  <c r="I105" i="39"/>
  <c r="P105" i="39" s="1"/>
  <c r="I107" i="39"/>
  <c r="P107" i="39" s="1"/>
  <c r="Q26" i="39"/>
  <c r="Q27" i="39"/>
  <c r="Q30" i="39"/>
  <c r="Q34" i="39"/>
  <c r="Q35" i="39"/>
  <c r="Q40" i="39"/>
  <c r="Q46" i="39"/>
  <c r="Q47" i="39"/>
  <c r="Q49" i="39"/>
  <c r="Q52" i="39"/>
  <c r="Q55" i="39"/>
  <c r="Q56" i="39"/>
  <c r="Q70" i="39"/>
  <c r="Q71" i="39"/>
  <c r="Q82" i="39"/>
  <c r="Q83" i="39"/>
  <c r="Q85" i="39"/>
  <c r="Q103" i="39"/>
  <c r="Q107" i="39"/>
  <c r="R26" i="39"/>
  <c r="R27" i="39"/>
  <c r="R30" i="39"/>
  <c r="R33" i="39"/>
  <c r="R34" i="39"/>
  <c r="R35" i="39"/>
  <c r="R40" i="39"/>
  <c r="R46" i="39"/>
  <c r="R47" i="39"/>
  <c r="R49" i="39"/>
  <c r="R52" i="39"/>
  <c r="R55" i="39"/>
  <c r="R56" i="39"/>
  <c r="R70" i="39"/>
  <c r="R82" i="39"/>
  <c r="R83" i="39"/>
  <c r="R85" i="39"/>
  <c r="R103" i="39"/>
  <c r="R107" i="39"/>
  <c r="S26" i="39"/>
  <c r="S27" i="39"/>
  <c r="S30" i="39"/>
  <c r="S33" i="39"/>
  <c r="S34" i="39"/>
  <c r="S35" i="39"/>
  <c r="S40" i="39"/>
  <c r="S46" i="39"/>
  <c r="S47" i="39"/>
  <c r="S49" i="39"/>
  <c r="S52" i="39"/>
  <c r="S55" i="39"/>
  <c r="S56" i="39"/>
  <c r="S70" i="39"/>
  <c r="S71" i="39"/>
  <c r="S82" i="39"/>
  <c r="S83" i="39"/>
  <c r="S85" i="39"/>
  <c r="S103" i="39"/>
  <c r="S105" i="39"/>
  <c r="S107" i="39"/>
  <c r="T26" i="39"/>
  <c r="T27" i="39"/>
  <c r="T30" i="39"/>
  <c r="T33" i="39"/>
  <c r="T34" i="39"/>
  <c r="T35" i="39"/>
  <c r="T40" i="39"/>
  <c r="T46" i="39"/>
  <c r="T47" i="39"/>
  <c r="T49" i="39"/>
  <c r="T52" i="39"/>
  <c r="T55" i="39"/>
  <c r="T56" i="39"/>
  <c r="T70" i="39"/>
  <c r="T71" i="39"/>
  <c r="T82" i="39"/>
  <c r="T83" i="39"/>
  <c r="T85" i="39"/>
  <c r="T103" i="39"/>
  <c r="T105" i="39"/>
  <c r="T107" i="39"/>
  <c r="U26" i="39"/>
  <c r="U27" i="39"/>
  <c r="U30" i="39"/>
  <c r="I32" i="39"/>
  <c r="U32" i="39" s="1"/>
  <c r="AB32" i="39" s="1"/>
  <c r="U33" i="39"/>
  <c r="U34" i="39"/>
  <c r="U35" i="39"/>
  <c r="U40" i="39"/>
  <c r="U46" i="39"/>
  <c r="U47" i="39"/>
  <c r="U49" i="39"/>
  <c r="U52" i="39"/>
  <c r="U55" i="39"/>
  <c r="U56" i="39"/>
  <c r="U70" i="39"/>
  <c r="U71" i="39"/>
  <c r="U82" i="39"/>
  <c r="U83" i="39"/>
  <c r="U85" i="39"/>
  <c r="U103" i="39"/>
  <c r="U105" i="39"/>
  <c r="U107" i="39"/>
  <c r="V26" i="39"/>
  <c r="V27" i="39"/>
  <c r="V30" i="39"/>
  <c r="V33" i="39"/>
  <c r="V34" i="39"/>
  <c r="V35" i="39"/>
  <c r="V40" i="39"/>
  <c r="V46" i="39"/>
  <c r="V47" i="39"/>
  <c r="V49" i="39"/>
  <c r="V52" i="39"/>
  <c r="V55" i="39"/>
  <c r="V56" i="39"/>
  <c r="V70" i="39"/>
  <c r="V71" i="39"/>
  <c r="V82" i="39"/>
  <c r="V83" i="39"/>
  <c r="V85" i="39"/>
  <c r="V103" i="39"/>
  <c r="V105" i="39"/>
  <c r="V107" i="39"/>
  <c r="W26" i="39"/>
  <c r="W27" i="39"/>
  <c r="W30" i="39"/>
  <c r="W33" i="39"/>
  <c r="W34" i="39"/>
  <c r="W35" i="39"/>
  <c r="W40" i="39"/>
  <c r="W46" i="39"/>
  <c r="W47" i="39"/>
  <c r="W49" i="39"/>
  <c r="W52" i="39"/>
  <c r="W55" i="39"/>
  <c r="W56" i="39"/>
  <c r="W70" i="39"/>
  <c r="W71" i="39"/>
  <c r="W82" i="39"/>
  <c r="W83" i="39"/>
  <c r="W85" i="39"/>
  <c r="W103" i="39"/>
  <c r="W105" i="39"/>
  <c r="W107" i="39"/>
  <c r="X12" i="39"/>
  <c r="X26" i="39"/>
  <c r="X27" i="39"/>
  <c r="X30" i="39"/>
  <c r="X33" i="39"/>
  <c r="X34" i="39"/>
  <c r="X35" i="39"/>
  <c r="X40" i="39"/>
  <c r="X46" i="39"/>
  <c r="X47" i="39"/>
  <c r="X49" i="39"/>
  <c r="X52" i="39"/>
  <c r="X55" i="39"/>
  <c r="X56" i="39"/>
  <c r="X70" i="39"/>
  <c r="X71" i="39"/>
  <c r="X82" i="39"/>
  <c r="X83" i="39"/>
  <c r="X85" i="39"/>
  <c r="X103" i="39"/>
  <c r="X105" i="39"/>
  <c r="X107" i="39"/>
  <c r="Y18" i="39"/>
  <c r="Y26" i="39"/>
  <c r="Y27" i="39"/>
  <c r="Y30" i="39"/>
  <c r="Y33" i="39"/>
  <c r="Y34" i="39"/>
  <c r="Y35" i="39"/>
  <c r="Y40" i="39"/>
  <c r="Y46" i="39"/>
  <c r="Y47" i="39"/>
  <c r="Y49" i="39"/>
  <c r="Y52" i="39"/>
  <c r="Y55" i="39"/>
  <c r="Y56" i="39"/>
  <c r="Y70" i="39"/>
  <c r="Y71" i="39"/>
  <c r="Y82" i="39"/>
  <c r="Y83" i="39"/>
  <c r="Y85" i="39"/>
  <c r="Y103" i="39"/>
  <c r="Y105" i="39"/>
  <c r="Y107" i="39"/>
  <c r="Z12" i="39"/>
  <c r="Z26" i="39"/>
  <c r="Z27" i="39"/>
  <c r="Z30" i="39"/>
  <c r="Z33" i="39"/>
  <c r="Z34" i="39"/>
  <c r="Z35" i="39"/>
  <c r="Z40" i="39"/>
  <c r="Z46" i="39"/>
  <c r="Z47" i="39"/>
  <c r="Z49" i="39"/>
  <c r="Z52" i="39"/>
  <c r="Z55" i="39"/>
  <c r="Z56" i="39"/>
  <c r="Z70" i="39"/>
  <c r="Z71" i="39"/>
  <c r="Z82" i="39"/>
  <c r="Z83" i="39"/>
  <c r="Z85" i="39"/>
  <c r="Z103" i="39"/>
  <c r="Z105" i="39"/>
  <c r="Z107" i="39"/>
  <c r="I10" i="39"/>
  <c r="AA10" i="39" s="1"/>
  <c r="AB10" i="39" s="1"/>
  <c r="AA12" i="39"/>
  <c r="AA26" i="39"/>
  <c r="AA27" i="39"/>
  <c r="AA30" i="39"/>
  <c r="AA33" i="39"/>
  <c r="AA34" i="39"/>
  <c r="AA35" i="39"/>
  <c r="AA40" i="39"/>
  <c r="AA46" i="39"/>
  <c r="AA47" i="39"/>
  <c r="AA49" i="39"/>
  <c r="AA52" i="39"/>
  <c r="AA55" i="39"/>
  <c r="AA56" i="39"/>
  <c r="AA70" i="39"/>
  <c r="AA71" i="39"/>
  <c r="AA82" i="39"/>
  <c r="AA83" i="39"/>
  <c r="AA85" i="39"/>
  <c r="AA103" i="39"/>
  <c r="AA105" i="39"/>
  <c r="AA107" i="39"/>
  <c r="AB9" i="39"/>
  <c r="AB11" i="39"/>
  <c r="AB13" i="39"/>
  <c r="AB14" i="39"/>
  <c r="AB16" i="39"/>
  <c r="AB17" i="39"/>
  <c r="AB20" i="39"/>
  <c r="AB21" i="39"/>
  <c r="AB22" i="39"/>
  <c r="AB23" i="39"/>
  <c r="AB24" i="39"/>
  <c r="AB25" i="39"/>
  <c r="AB26" i="39"/>
  <c r="AB28" i="39"/>
  <c r="AB29" i="39"/>
  <c r="AB31" i="39"/>
  <c r="AB36" i="39"/>
  <c r="AB37" i="39"/>
  <c r="AB38" i="39"/>
  <c r="AB39" i="39"/>
  <c r="AB41" i="39"/>
  <c r="AB42" i="39"/>
  <c r="AB43" i="39"/>
  <c r="AB44" i="39"/>
  <c r="AB45" i="39"/>
  <c r="AB48" i="39"/>
  <c r="AB50" i="39"/>
  <c r="AB51" i="39"/>
  <c r="AB53" i="39"/>
  <c r="AB54" i="39"/>
  <c r="AB56" i="39"/>
  <c r="AB57" i="39"/>
  <c r="AB58" i="39"/>
  <c r="AB59" i="39"/>
  <c r="AB60" i="39"/>
  <c r="AB61" i="39"/>
  <c r="AB62" i="39"/>
  <c r="AB63" i="39"/>
  <c r="AB64" i="39"/>
  <c r="AB65" i="39"/>
  <c r="AB66" i="39"/>
  <c r="AB68" i="39"/>
  <c r="AB69" i="39"/>
  <c r="AB72" i="39"/>
  <c r="AB73" i="39"/>
  <c r="AB74" i="39"/>
  <c r="AB75" i="39"/>
  <c r="AB84" i="39"/>
  <c r="AB86" i="39"/>
  <c r="AB87" i="39"/>
  <c r="AB88" i="39"/>
  <c r="AB89" i="39"/>
  <c r="AB90" i="39"/>
  <c r="AB91" i="39"/>
  <c r="AB92" i="39"/>
  <c r="AB93" i="39"/>
  <c r="AB94" i="39"/>
  <c r="AB95" i="39"/>
  <c r="AB96" i="39"/>
  <c r="AB97" i="39"/>
  <c r="AB98" i="39"/>
  <c r="AB99" i="39"/>
  <c r="AB100" i="39"/>
  <c r="AB101" i="39"/>
  <c r="AB102" i="39"/>
  <c r="AB104" i="39"/>
  <c r="AB106" i="39"/>
  <c r="AB108" i="39"/>
  <c r="AB109" i="39"/>
  <c r="AB110" i="39"/>
  <c r="AB111" i="39"/>
  <c r="AB112" i="39"/>
  <c r="AB113" i="39"/>
  <c r="AB114" i="39"/>
  <c r="AB115" i="39"/>
  <c r="AB116" i="39"/>
  <c r="AB117" i="39"/>
  <c r="AB118" i="39"/>
  <c r="AB119" i="39"/>
  <c r="AB120" i="39"/>
  <c r="AB121" i="39"/>
  <c r="AB122" i="39"/>
  <c r="AB123" i="39"/>
  <c r="AB124" i="39"/>
  <c r="AB125" i="39"/>
  <c r="AB126" i="39"/>
  <c r="AB127" i="39"/>
  <c r="AB128" i="39"/>
  <c r="AB129" i="39"/>
  <c r="AB130" i="39"/>
  <c r="AB131" i="39"/>
  <c r="AB132" i="39"/>
  <c r="C133" i="39"/>
  <c r="C134" i="39" s="1"/>
  <c r="D133" i="39"/>
  <c r="E133" i="39"/>
  <c r="F133" i="39"/>
  <c r="E134" i="39" s="1"/>
  <c r="G133" i="39"/>
  <c r="H133" i="39"/>
  <c r="E136" i="39"/>
  <c r="E137" i="39"/>
  <c r="D139" i="39"/>
  <c r="F139" i="39"/>
  <c r="H139" i="39"/>
  <c r="J24" i="39"/>
  <c r="I24" i="39"/>
  <c r="J23" i="39"/>
  <c r="I23" i="39"/>
  <c r="J22" i="39"/>
  <c r="I22" i="39"/>
  <c r="J21" i="39"/>
  <c r="I21" i="39"/>
  <c r="J20" i="39"/>
  <c r="I20" i="39"/>
  <c r="J19" i="39"/>
  <c r="J18" i="39"/>
  <c r="J17" i="39"/>
  <c r="I17" i="39"/>
  <c r="J16" i="39"/>
  <c r="I16" i="39"/>
  <c r="J15" i="39"/>
  <c r="J14" i="39"/>
  <c r="I14" i="39"/>
  <c r="J13" i="39"/>
  <c r="I13" i="39"/>
  <c r="J12" i="39"/>
  <c r="J11" i="39"/>
  <c r="I11" i="39"/>
  <c r="J10" i="39"/>
  <c r="J9" i="39"/>
  <c r="I9" i="39"/>
  <c r="J8" i="39"/>
  <c r="I25" i="39"/>
  <c r="J25" i="39"/>
  <c r="M133" i="39"/>
  <c r="K136" i="39" s="1"/>
  <c r="K133" i="39"/>
  <c r="L126" i="39"/>
  <c r="L133" i="39" s="1"/>
  <c r="K137" i="39" s="1"/>
  <c r="N133" i="39"/>
  <c r="J26" i="39"/>
  <c r="J27" i="39"/>
  <c r="J28" i="39"/>
  <c r="J29" i="39"/>
  <c r="J30" i="39"/>
  <c r="J31" i="39"/>
  <c r="J32" i="39"/>
  <c r="J33" i="39"/>
  <c r="J34" i="39"/>
  <c r="J35" i="39"/>
  <c r="J36" i="39"/>
  <c r="J37" i="39"/>
  <c r="J38" i="39"/>
  <c r="J39" i="39"/>
  <c r="J40" i="39"/>
  <c r="J46" i="39"/>
  <c r="J47" i="39"/>
  <c r="J48" i="39"/>
  <c r="J49" i="39"/>
  <c r="J50" i="39"/>
  <c r="J51" i="39"/>
  <c r="J52" i="39"/>
  <c r="J53" i="39"/>
  <c r="J54" i="39"/>
  <c r="J55" i="39"/>
  <c r="J56" i="39"/>
  <c r="J57" i="39"/>
  <c r="J58" i="39"/>
  <c r="J59" i="39"/>
  <c r="J60" i="39"/>
  <c r="J67" i="39"/>
  <c r="J68" i="39"/>
  <c r="J69" i="39"/>
  <c r="J70" i="39"/>
  <c r="J71" i="39"/>
  <c r="J72" i="39"/>
  <c r="J73" i="39"/>
  <c r="J74" i="39"/>
  <c r="J75" i="39"/>
  <c r="J82" i="39"/>
  <c r="J83" i="39"/>
  <c r="J84" i="39"/>
  <c r="J85" i="39"/>
  <c r="J86" i="39"/>
  <c r="J87" i="39"/>
  <c r="J88" i="39"/>
  <c r="J89" i="39"/>
  <c r="J90" i="39"/>
  <c r="J91" i="39"/>
  <c r="J92" i="39"/>
  <c r="J93" i="39"/>
  <c r="J94" i="39"/>
  <c r="J95" i="39"/>
  <c r="J96" i="39"/>
  <c r="J97" i="39"/>
  <c r="J98" i="39"/>
  <c r="J99" i="39"/>
  <c r="J103" i="39"/>
  <c r="J104" i="39"/>
  <c r="J105" i="39"/>
  <c r="J106" i="39"/>
  <c r="J107" i="39"/>
  <c r="J108" i="39"/>
  <c r="J109" i="39"/>
  <c r="J110" i="39"/>
  <c r="J111" i="39"/>
  <c r="J112" i="39"/>
  <c r="J113" i="39"/>
  <c r="J114" i="39"/>
  <c r="J115" i="39"/>
  <c r="J116" i="39"/>
  <c r="J117" i="39"/>
  <c r="J118" i="39"/>
  <c r="J119" i="39"/>
  <c r="J120" i="39"/>
  <c r="J121" i="39"/>
  <c r="J122" i="39"/>
  <c r="J125" i="39"/>
  <c r="J126" i="39"/>
  <c r="J42" i="39"/>
  <c r="I28" i="39"/>
  <c r="I29" i="39"/>
  <c r="I31" i="39"/>
  <c r="I36" i="39"/>
  <c r="I37" i="39"/>
  <c r="I38" i="39"/>
  <c r="I39" i="39"/>
  <c r="I41" i="39"/>
  <c r="I42" i="39"/>
  <c r="I48" i="39"/>
  <c r="I50" i="39"/>
  <c r="I51" i="39"/>
  <c r="I53" i="39"/>
  <c r="I54" i="39"/>
  <c r="I57" i="39"/>
  <c r="I58" i="39"/>
  <c r="I59" i="39"/>
  <c r="I60" i="39"/>
  <c r="I68" i="39"/>
  <c r="I69" i="39"/>
  <c r="I72" i="39"/>
  <c r="I73" i="39"/>
  <c r="I74" i="39"/>
  <c r="I75" i="39"/>
  <c r="I84" i="39"/>
  <c r="I86" i="39"/>
  <c r="I87" i="39"/>
  <c r="I88" i="39"/>
  <c r="I89" i="39"/>
  <c r="I90" i="39"/>
  <c r="I91" i="39"/>
  <c r="I92" i="39"/>
  <c r="I93" i="39"/>
  <c r="I94" i="39"/>
  <c r="I95" i="39"/>
  <c r="I96" i="39"/>
  <c r="I97" i="39"/>
  <c r="I98" i="39"/>
  <c r="I99" i="39"/>
  <c r="I101" i="39"/>
  <c r="I102" i="39"/>
  <c r="I104" i="39"/>
  <c r="I106" i="39"/>
  <c r="I108" i="39"/>
  <c r="I109" i="39"/>
  <c r="I110" i="39"/>
  <c r="I111" i="39"/>
  <c r="I112" i="39"/>
  <c r="I113" i="39"/>
  <c r="I114" i="39"/>
  <c r="I115" i="39"/>
  <c r="I116" i="39"/>
  <c r="I117" i="39"/>
  <c r="I118" i="39"/>
  <c r="I119" i="39"/>
  <c r="I120" i="39"/>
  <c r="I121" i="39"/>
  <c r="I122" i="39"/>
  <c r="I125" i="39"/>
  <c r="I126" i="39"/>
  <c r="I133" i="39"/>
  <c r="J41" i="39"/>
  <c r="L18" i="39"/>
  <c r="L10" i="39"/>
  <c r="L8" i="39"/>
  <c r="E97" i="5"/>
  <c r="J83" i="28"/>
  <c r="J128" i="28"/>
  <c r="K116" i="28"/>
  <c r="K77" i="28"/>
  <c r="K7" i="28"/>
  <c r="K9" i="28"/>
  <c r="K10" i="28"/>
  <c r="K11" i="28"/>
  <c r="K12" i="28"/>
  <c r="K13" i="28"/>
  <c r="K14" i="28"/>
  <c r="K15" i="28"/>
  <c r="K24" i="28"/>
  <c r="K25" i="28"/>
  <c r="K26" i="28"/>
  <c r="K27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3" i="28"/>
  <c r="K44" i="28"/>
  <c r="K45" i="28"/>
  <c r="K46" i="28"/>
  <c r="K78" i="28"/>
  <c r="K79" i="28"/>
  <c r="K80" i="28"/>
  <c r="K81" i="28"/>
  <c r="K82" i="28"/>
  <c r="K83" i="28"/>
  <c r="K84" i="28"/>
  <c r="K85" i="28"/>
  <c r="K86" i="28"/>
  <c r="K87" i="28"/>
  <c r="K88" i="28"/>
  <c r="K89" i="28"/>
  <c r="K90" i="28"/>
  <c r="K91" i="28"/>
  <c r="K92" i="28"/>
  <c r="K93" i="28"/>
  <c r="K94" i="28"/>
  <c r="K95" i="28"/>
  <c r="K96" i="28"/>
  <c r="K97" i="28"/>
  <c r="K98" i="28"/>
  <c r="K99" i="28"/>
  <c r="K100" i="28"/>
  <c r="K101" i="28"/>
  <c r="K102" i="28"/>
  <c r="K103" i="28"/>
  <c r="K104" i="28"/>
  <c r="K105" i="28"/>
  <c r="K106" i="28"/>
  <c r="K107" i="28"/>
  <c r="K108" i="28"/>
  <c r="K109" i="28"/>
  <c r="K113" i="28"/>
  <c r="K114" i="28"/>
  <c r="K117" i="28"/>
  <c r="K118" i="28"/>
  <c r="K119" i="28"/>
  <c r="K120" i="28"/>
  <c r="K121" i="28"/>
  <c r="K122" i="28"/>
  <c r="K123" i="28"/>
  <c r="K124" i="28"/>
  <c r="K125" i="28"/>
  <c r="K126" i="28"/>
  <c r="K127" i="28"/>
  <c r="K128" i="28"/>
  <c r="K129" i="28"/>
  <c r="K130" i="28"/>
  <c r="K131" i="28"/>
  <c r="K132" i="28"/>
  <c r="K133" i="28"/>
  <c r="K136" i="28"/>
  <c r="K138" i="28"/>
  <c r="K42" i="28"/>
  <c r="G50" i="38"/>
  <c r="G20" i="38"/>
  <c r="G18" i="38"/>
  <c r="G22" i="38"/>
  <c r="G23" i="38"/>
  <c r="G25" i="38"/>
  <c r="G26" i="38"/>
  <c r="G48" i="38"/>
  <c r="G64" i="38"/>
  <c r="G65" i="38"/>
  <c r="G51" i="38"/>
  <c r="F68" i="38"/>
  <c r="H68" i="38" s="1"/>
  <c r="F69" i="38"/>
  <c r="H69" i="38" s="1"/>
  <c r="F70" i="38"/>
  <c r="H70" i="38" s="1"/>
  <c r="F55" i="38"/>
  <c r="H55" i="38" s="1"/>
  <c r="I55" i="38"/>
  <c r="F66" i="38"/>
  <c r="F56" i="38"/>
  <c r="H56" i="38" s="1"/>
  <c r="F57" i="38"/>
  <c r="I57" i="38" s="1"/>
  <c r="F58" i="38"/>
  <c r="I58" i="38" s="1"/>
  <c r="F59" i="38"/>
  <c r="I59" i="38" s="1"/>
  <c r="F60" i="38"/>
  <c r="I60" i="38" s="1"/>
  <c r="F61" i="38"/>
  <c r="I61" i="38" s="1"/>
  <c r="F62" i="38"/>
  <c r="I62" i="38" s="1"/>
  <c r="F63" i="38"/>
  <c r="I63" i="38" s="1"/>
  <c r="F64" i="38"/>
  <c r="I64" i="38" s="1"/>
  <c r="F65" i="38"/>
  <c r="I65" i="38" s="1"/>
  <c r="F51" i="38"/>
  <c r="I51" i="38" s="1"/>
  <c r="F52" i="38"/>
  <c r="H52" i="38" s="1"/>
  <c r="F54" i="38"/>
  <c r="H54" i="38" s="1"/>
  <c r="F11" i="38"/>
  <c r="H11" i="38" s="1"/>
  <c r="F50" i="38"/>
  <c r="I11" i="38"/>
  <c r="I50" i="38"/>
  <c r="F24" i="38"/>
  <c r="H24" i="38" s="1"/>
  <c r="F25" i="38"/>
  <c r="H25" i="38" s="1"/>
  <c r="F26" i="38"/>
  <c r="H26" i="38" s="1"/>
  <c r="F48" i="38"/>
  <c r="H48" i="38" s="1"/>
  <c r="I24" i="38"/>
  <c r="F21" i="38"/>
  <c r="H21" i="38" s="1"/>
  <c r="F22" i="38"/>
  <c r="H22" i="38" s="1"/>
  <c r="F23" i="38"/>
  <c r="H23" i="38" s="1"/>
  <c r="F16" i="38"/>
  <c r="F18" i="38"/>
  <c r="H18" i="38" s="1"/>
  <c r="I16" i="38"/>
  <c r="F13" i="38"/>
  <c r="F15" i="38"/>
  <c r="H15" i="38" s="1"/>
  <c r="I13" i="38"/>
  <c r="F19" i="38"/>
  <c r="H19" i="38" s="1"/>
  <c r="F20" i="38"/>
  <c r="H20" i="38" s="1"/>
  <c r="I19" i="38"/>
  <c r="F10" i="38"/>
  <c r="F9" i="38"/>
  <c r="I9" i="38"/>
  <c r="F12" i="38"/>
  <c r="T9" i="38"/>
  <c r="U9" i="38"/>
  <c r="T10" i="38"/>
  <c r="U10" i="38"/>
  <c r="G21" i="38"/>
  <c r="F85" i="38"/>
  <c r="H85" i="38" s="1"/>
  <c r="F86" i="38"/>
  <c r="H86" i="38" s="1"/>
  <c r="F87" i="38"/>
  <c r="I87" i="38" s="1"/>
  <c r="F88" i="38"/>
  <c r="H88" i="38" s="1"/>
  <c r="F89" i="38"/>
  <c r="H89" i="38" s="1"/>
  <c r="F90" i="38"/>
  <c r="H90" i="38" s="1"/>
  <c r="F92" i="38"/>
  <c r="H92" i="38" s="1"/>
  <c r="F93" i="38"/>
  <c r="I93" i="38" s="1"/>
  <c r="F94" i="38"/>
  <c r="I94" i="38" s="1"/>
  <c r="G94" i="38"/>
  <c r="F95" i="38"/>
  <c r="I95" i="38" s="1"/>
  <c r="H95" i="38"/>
  <c r="F96" i="38"/>
  <c r="H96" i="38" s="1"/>
  <c r="F97" i="38"/>
  <c r="H97" i="38" s="1"/>
  <c r="F98" i="38"/>
  <c r="H98" i="38" s="1"/>
  <c r="F99" i="38"/>
  <c r="H99" i="38" s="1"/>
  <c r="F100" i="38"/>
  <c r="H100" i="38" s="1"/>
  <c r="F91" i="38"/>
  <c r="I91" i="38" s="1"/>
  <c r="F101" i="38"/>
  <c r="H101" i="38" s="1"/>
  <c r="F102" i="38"/>
  <c r="F103" i="38"/>
  <c r="L103" i="38"/>
  <c r="F104" i="38"/>
  <c r="G104" i="38"/>
  <c r="L104" i="38" s="1"/>
  <c r="M107" i="38"/>
  <c r="F120" i="38"/>
  <c r="I120" i="38" s="1"/>
  <c r="F121" i="38"/>
  <c r="I121" i="38" s="1"/>
  <c r="F122" i="38"/>
  <c r="H122" i="38" s="1"/>
  <c r="F123" i="38"/>
  <c r="H123" i="38" s="1"/>
  <c r="F124" i="38"/>
  <c r="H124" i="38" s="1"/>
  <c r="F125" i="38"/>
  <c r="H125" i="38" s="1"/>
  <c r="F126" i="38"/>
  <c r="H126" i="38" s="1"/>
  <c r="F127" i="38"/>
  <c r="H127" i="38" s="1"/>
  <c r="F128" i="38"/>
  <c r="H128" i="38" s="1"/>
  <c r="F130" i="38"/>
  <c r="H130" i="38" s="1"/>
  <c r="E131" i="38"/>
  <c r="G131" i="38"/>
  <c r="J131" i="38"/>
  <c r="B49" i="37"/>
  <c r="B63" i="37" s="1"/>
  <c r="B115" i="37" s="1"/>
  <c r="B123" i="37" s="1"/>
  <c r="D91" i="37"/>
  <c r="D93" i="37"/>
  <c r="D96" i="37"/>
  <c r="D114" i="37"/>
  <c r="D126" i="37"/>
  <c r="D131" i="37"/>
  <c r="D138" i="37"/>
  <c r="D134" i="37"/>
  <c r="G76" i="5"/>
  <c r="G80" i="5"/>
  <c r="G79" i="5"/>
  <c r="G73" i="5"/>
  <c r="G71" i="5"/>
  <c r="G70" i="5"/>
  <c r="G47" i="5"/>
  <c r="G46" i="5"/>
  <c r="G43" i="5"/>
  <c r="G42" i="5"/>
  <c r="G40" i="5"/>
  <c r="G39" i="5"/>
  <c r="G33" i="5"/>
  <c r="G32" i="5"/>
  <c r="G31" i="5"/>
  <c r="G30" i="5"/>
  <c r="G13" i="5"/>
  <c r="G14" i="5"/>
  <c r="G15" i="5"/>
  <c r="G23" i="5"/>
  <c r="G24" i="5"/>
  <c r="G25" i="5"/>
  <c r="G12" i="5"/>
  <c r="H12" i="5"/>
  <c r="H13" i="5"/>
  <c r="H14" i="5"/>
  <c r="H15" i="5"/>
  <c r="H31" i="5"/>
  <c r="F83" i="5"/>
  <c r="F69" i="5"/>
  <c r="F45" i="5"/>
  <c r="F44" i="5" s="1"/>
  <c r="D17" i="15" s="1"/>
  <c r="F41" i="5"/>
  <c r="G41" i="5" s="1"/>
  <c r="G28" i="5"/>
  <c r="H11" i="5"/>
  <c r="F78" i="5"/>
  <c r="F75" i="5"/>
  <c r="G75" i="5" s="1"/>
  <c r="E83" i="5"/>
  <c r="A60" i="37"/>
  <c r="F274" i="6"/>
  <c r="G84" i="5"/>
  <c r="D128" i="5"/>
  <c r="D127" i="5" s="1"/>
  <c r="D149" i="5" s="1"/>
  <c r="D142" i="5"/>
  <c r="H132" i="5"/>
  <c r="G132" i="5"/>
  <c r="G129" i="5"/>
  <c r="A62" i="5"/>
  <c r="A118" i="5" s="1"/>
  <c r="A174" i="5" s="1"/>
  <c r="H90" i="5"/>
  <c r="D83" i="5"/>
  <c r="D82" i="5" s="1"/>
  <c r="D69" i="5"/>
  <c r="D68" i="5" s="1"/>
  <c r="D45" i="5"/>
  <c r="D44" i="5" s="1"/>
  <c r="D41" i="5"/>
  <c r="F82" i="5"/>
  <c r="E89" i="5"/>
  <c r="H89" i="5"/>
  <c r="H91" i="5"/>
  <c r="H84" i="5"/>
  <c r="H79" i="5"/>
  <c r="H78" i="5" s="1"/>
  <c r="G78" i="5"/>
  <c r="H73" i="5"/>
  <c r="H71" i="5"/>
  <c r="H70" i="5"/>
  <c r="H47" i="5"/>
  <c r="H46" i="5"/>
  <c r="H43" i="5"/>
  <c r="H42" i="5"/>
  <c r="H40" i="5"/>
  <c r="H39" i="5"/>
  <c r="H38" i="5"/>
  <c r="H37" i="5"/>
  <c r="H36" i="5"/>
  <c r="H35" i="5"/>
  <c r="H34" i="5"/>
  <c r="H33" i="5"/>
  <c r="H32" i="5"/>
  <c r="H30" i="5"/>
  <c r="G11" i="5"/>
  <c r="J35" i="5" s="1"/>
  <c r="K144" i="28"/>
  <c r="J9" i="28"/>
  <c r="J7" i="28"/>
  <c r="J11" i="28"/>
  <c r="K41" i="28"/>
  <c r="B54" i="6"/>
  <c r="I64" i="12"/>
  <c r="J64" i="12"/>
  <c r="B76" i="7"/>
  <c r="B115" i="7" s="1"/>
  <c r="L65" i="10"/>
  <c r="L68" i="10"/>
  <c r="L86" i="10" s="1"/>
  <c r="I86" i="10"/>
  <c r="B56" i="10"/>
  <c r="B55" i="10"/>
  <c r="G204" i="6"/>
  <c r="I204" i="6" s="1"/>
  <c r="G205" i="6"/>
  <c r="I205" i="6" s="1"/>
  <c r="G212" i="6"/>
  <c r="G229" i="6"/>
  <c r="I229" i="6" s="1"/>
  <c r="G274" i="6"/>
  <c r="B50" i="8"/>
  <c r="B91" i="8" s="1"/>
  <c r="B171" i="8" s="1"/>
  <c r="B47" i="8"/>
  <c r="B88" i="8" s="1"/>
  <c r="B168" i="8" s="1"/>
  <c r="B46" i="7"/>
  <c r="D46" i="7"/>
  <c r="H64" i="12"/>
  <c r="G64" i="12"/>
  <c r="B45" i="7"/>
  <c r="B41" i="7"/>
  <c r="B80" i="7" s="1"/>
  <c r="H12" i="38"/>
  <c r="I56" i="38"/>
  <c r="P18" i="39"/>
  <c r="R18" i="39"/>
  <c r="T18" i="39"/>
  <c r="V18" i="39"/>
  <c r="V133" i="39" s="1"/>
  <c r="V138" i="39" s="1"/>
  <c r="X18" i="39"/>
  <c r="Z18" i="39"/>
  <c r="AA18" i="39"/>
  <c r="P12" i="39"/>
  <c r="AB12" i="39" s="1"/>
  <c r="Q12" i="39"/>
  <c r="S12" i="39"/>
  <c r="U12" i="39"/>
  <c r="W12" i="39"/>
  <c r="Y12" i="39"/>
  <c r="AB83" i="39"/>
  <c r="AB52" i="39"/>
  <c r="H10" i="38"/>
  <c r="H16" i="38"/>
  <c r="H63" i="38"/>
  <c r="H59" i="38"/>
  <c r="G90" i="5"/>
  <c r="W18" i="39"/>
  <c r="V12" i="39"/>
  <c r="U18" i="39"/>
  <c r="T12" i="39"/>
  <c r="S18" i="39"/>
  <c r="AB18" i="39" s="1"/>
  <c r="R12" i="39"/>
  <c r="Q18" i="39"/>
  <c r="P19" i="39"/>
  <c r="Q19" i="39"/>
  <c r="AB19" i="39" s="1"/>
  <c r="R19" i="39"/>
  <c r="S19" i="39"/>
  <c r="T19" i="39"/>
  <c r="U19" i="39"/>
  <c r="V19" i="39"/>
  <c r="W19" i="39"/>
  <c r="X19" i="39"/>
  <c r="Y19" i="39"/>
  <c r="Z19" i="39"/>
  <c r="AA19" i="39"/>
  <c r="P15" i="39"/>
  <c r="Q15" i="39"/>
  <c r="R15" i="39"/>
  <c r="S15" i="39"/>
  <c r="T15" i="39"/>
  <c r="U15" i="39"/>
  <c r="V15" i="39"/>
  <c r="W15" i="39"/>
  <c r="X15" i="39"/>
  <c r="Y15" i="39"/>
  <c r="Z15" i="39"/>
  <c r="AA15" i="39"/>
  <c r="P8" i="39"/>
  <c r="Q8" i="39"/>
  <c r="R8" i="39"/>
  <c r="S8" i="39"/>
  <c r="T8" i="39"/>
  <c r="T133" i="39" s="1"/>
  <c r="T138" i="39" s="1"/>
  <c r="U8" i="39"/>
  <c r="V8" i="39"/>
  <c r="W8" i="39"/>
  <c r="W133" i="39" s="1"/>
  <c r="W138" i="39" s="1"/>
  <c r="X8" i="39"/>
  <c r="Y8" i="39"/>
  <c r="Z8" i="39"/>
  <c r="Z133" i="39"/>
  <c r="Z138" i="39" s="1"/>
  <c r="AA8" i="39"/>
  <c r="J133" i="39"/>
  <c r="AB67" i="39"/>
  <c r="D27" i="5"/>
  <c r="E198" i="44" l="1"/>
  <c r="H122" i="44"/>
  <c r="E37" i="44"/>
  <c r="S133" i="39"/>
  <c r="S138" i="39" s="1"/>
  <c r="C137" i="39"/>
  <c r="R105" i="39"/>
  <c r="AB82" i="39"/>
  <c r="AB46" i="39"/>
  <c r="AB34" i="39"/>
  <c r="AB15" i="39"/>
  <c r="I48" i="38"/>
  <c r="K138" i="39"/>
  <c r="R71" i="39"/>
  <c r="R133" i="39" s="1"/>
  <c r="R138" i="39" s="1"/>
  <c r="Q105" i="39"/>
  <c r="Q33" i="39"/>
  <c r="AB33" i="39" s="1"/>
  <c r="AB107" i="39"/>
  <c r="Y133" i="39"/>
  <c r="Y138" i="39" s="1"/>
  <c r="AA133" i="39"/>
  <c r="AA138" i="39" s="1"/>
  <c r="X133" i="39"/>
  <c r="X138" i="39" s="1"/>
  <c r="AB8" i="39"/>
  <c r="G134" i="39"/>
  <c r="AB105" i="39"/>
  <c r="AB55" i="39"/>
  <c r="AB49" i="39"/>
  <c r="AB85" i="39"/>
  <c r="AB103" i="39"/>
  <c r="AB70" i="39"/>
  <c r="AB47" i="39"/>
  <c r="AB35" i="39"/>
  <c r="AB30" i="39"/>
  <c r="H167" i="38"/>
  <c r="AB27" i="39"/>
  <c r="P133" i="39"/>
  <c r="U133" i="39"/>
  <c r="U138" i="39" s="1"/>
  <c r="B124" i="7"/>
  <c r="B85" i="7"/>
  <c r="H165" i="38"/>
  <c r="L165" i="38" s="1"/>
  <c r="M165" i="38" s="1"/>
  <c r="C136" i="39"/>
  <c r="F136" i="39" s="1"/>
  <c r="F137" i="39"/>
  <c r="H83" i="5"/>
  <c r="D96" i="5"/>
  <c r="H157" i="38"/>
  <c r="F216" i="28"/>
  <c r="D8" i="21"/>
  <c r="G6" i="28" s="1"/>
  <c r="C8" i="21"/>
  <c r="E6" i="28" s="1"/>
  <c r="H19" i="44"/>
  <c r="G19" i="44"/>
  <c r="H21" i="44"/>
  <c r="G21" i="44"/>
  <c r="H35" i="44"/>
  <c r="G35" i="44"/>
  <c r="G17" i="44"/>
  <c r="L17" i="44" s="1"/>
  <c r="M17" i="44" s="1"/>
  <c r="G24" i="44"/>
  <c r="H24" i="44"/>
  <c r="H30" i="44"/>
  <c r="G30" i="44"/>
  <c r="H36" i="44"/>
  <c r="G36" i="44"/>
  <c r="H108" i="44"/>
  <c r="G108" i="44"/>
  <c r="G18" i="44"/>
  <c r="H18" i="44"/>
  <c r="H28" i="44"/>
  <c r="G28" i="44"/>
  <c r="H29" i="44"/>
  <c r="G29" i="44"/>
  <c r="H34" i="44"/>
  <c r="G34" i="44"/>
  <c r="H27" i="44"/>
  <c r="G27" i="44"/>
  <c r="H107" i="44"/>
  <c r="H141" i="44" s="1"/>
  <c r="G107" i="44"/>
  <c r="E96" i="5"/>
  <c r="E82" i="5"/>
  <c r="D19" i="15" s="1"/>
  <c r="G120" i="44"/>
  <c r="L120" i="44" s="1"/>
  <c r="M120" i="44" s="1"/>
  <c r="J194" i="44"/>
  <c r="G115" i="44"/>
  <c r="L115" i="44" s="1"/>
  <c r="D124" i="7"/>
  <c r="D85" i="7"/>
  <c r="C169" i="37"/>
  <c r="C152" i="37"/>
  <c r="B169" i="37"/>
  <c r="B152" i="37"/>
  <c r="D14" i="29"/>
  <c r="D151" i="5"/>
  <c r="D150" i="5"/>
  <c r="H69" i="5"/>
  <c r="I272" i="6"/>
  <c r="I222" i="6"/>
  <c r="E152" i="37"/>
  <c r="E169" i="37"/>
  <c r="J186" i="44"/>
  <c r="J198" i="44" s="1"/>
  <c r="D205" i="37"/>
  <c r="H188" i="44"/>
  <c r="H194" i="44"/>
  <c r="G69" i="5"/>
  <c r="D10" i="5"/>
  <c r="D95" i="5" s="1"/>
  <c r="F10" i="5"/>
  <c r="D10" i="29" s="1"/>
  <c r="A120" i="37"/>
  <c r="G63" i="37"/>
  <c r="G115" i="37" s="1"/>
  <c r="H49" i="37"/>
  <c r="H63" i="37" s="1"/>
  <c r="H115" i="37" s="1"/>
  <c r="H123" i="37" s="1"/>
  <c r="B151" i="7"/>
  <c r="I274" i="6"/>
  <c r="F192" i="6"/>
  <c r="I192" i="6" s="1"/>
  <c r="I193" i="6"/>
  <c r="I212" i="6"/>
  <c r="F258" i="6"/>
  <c r="I258" i="6" s="1"/>
  <c r="F269" i="6"/>
  <c r="G208" i="6"/>
  <c r="F208" i="6"/>
  <c r="F227" i="6"/>
  <c r="F130" i="6"/>
  <c r="H130" i="6" s="1"/>
  <c r="F30" i="6"/>
  <c r="H30" i="6" s="1"/>
  <c r="H31" i="6"/>
  <c r="F32" i="6"/>
  <c r="H32" i="6" s="1"/>
  <c r="H34" i="6"/>
  <c r="E117" i="6"/>
  <c r="H117" i="6" s="1"/>
  <c r="H118" i="6"/>
  <c r="K11" i="10"/>
  <c r="K10" i="10" s="1"/>
  <c r="E65" i="6"/>
  <c r="H66" i="6"/>
  <c r="F134" i="6"/>
  <c r="H134" i="6" s="1"/>
  <c r="H135" i="6"/>
  <c r="G57" i="44"/>
  <c r="H189" i="44"/>
  <c r="H191" i="44"/>
  <c r="G9" i="44"/>
  <c r="O56" i="44"/>
  <c r="G118" i="44"/>
  <c r="L118" i="44" s="1"/>
  <c r="M118" i="44" s="1"/>
  <c r="G119" i="44"/>
  <c r="L119" i="44" s="1"/>
  <c r="M119" i="44" s="1"/>
  <c r="H186" i="44"/>
  <c r="H190" i="44"/>
  <c r="H192" i="44"/>
  <c r="M150" i="28"/>
  <c r="F68" i="5"/>
  <c r="D18" i="15" s="1"/>
  <c r="G97" i="5"/>
  <c r="H97" i="5" s="1"/>
  <c r="F144" i="28"/>
  <c r="E335" i="28" s="1"/>
  <c r="G114" i="44"/>
  <c r="L114" i="44" s="1"/>
  <c r="M114" i="44" s="1"/>
  <c r="M55" i="44"/>
  <c r="G121" i="44"/>
  <c r="L121" i="44" s="1"/>
  <c r="M121" i="44" s="1"/>
  <c r="G16" i="38"/>
  <c r="L16" i="38" s="1"/>
  <c r="M16" i="38" s="1"/>
  <c r="G13" i="38"/>
  <c r="G10" i="38"/>
  <c r="L10" i="38" s="1"/>
  <c r="M10" i="38" s="1"/>
  <c r="G17" i="38"/>
  <c r="L17" i="38" s="1"/>
  <c r="M17" i="38" s="1"/>
  <c r="G49" i="38"/>
  <c r="G56" i="38"/>
  <c r="L56" i="38" s="1"/>
  <c r="M56" i="38" s="1"/>
  <c r="G95" i="38"/>
  <c r="L95" i="38" s="1"/>
  <c r="M95" i="38" s="1"/>
  <c r="G55" i="38"/>
  <c r="L55" i="38" s="1"/>
  <c r="M55" i="38" s="1"/>
  <c r="G19" i="38"/>
  <c r="L19" i="38" s="1"/>
  <c r="M19" i="38" s="1"/>
  <c r="G15" i="38"/>
  <c r="G11" i="38"/>
  <c r="L11" i="38" s="1"/>
  <c r="M11" i="38" s="1"/>
  <c r="G9" i="38"/>
  <c r="G86" i="38"/>
  <c r="L86" i="38" s="1"/>
  <c r="M86" i="38" s="1"/>
  <c r="G83" i="5"/>
  <c r="H28" i="5"/>
  <c r="H10" i="5"/>
  <c r="G53" i="44"/>
  <c r="L53" i="44" s="1"/>
  <c r="G117" i="44"/>
  <c r="L117" i="44" s="1"/>
  <c r="M117" i="44" s="1"/>
  <c r="G52" i="44"/>
  <c r="G122" i="44"/>
  <c r="G123" i="44"/>
  <c r="L123" i="44" s="1"/>
  <c r="M123" i="44" s="1"/>
  <c r="G187" i="44"/>
  <c r="G189" i="44"/>
  <c r="G191" i="44"/>
  <c r="G193" i="44"/>
  <c r="L193" i="44" s="1"/>
  <c r="M193" i="44" s="1"/>
  <c r="G116" i="44"/>
  <c r="L116" i="44" s="1"/>
  <c r="M116" i="44" s="1"/>
  <c r="G58" i="44"/>
  <c r="L58" i="44" s="1"/>
  <c r="M58" i="44" s="1"/>
  <c r="G56" i="44"/>
  <c r="G188" i="44"/>
  <c r="G190" i="44"/>
  <c r="G192" i="44"/>
  <c r="K48" i="10"/>
  <c r="F36" i="6"/>
  <c r="G195" i="6"/>
  <c r="I195" i="6" s="1"/>
  <c r="E95" i="5"/>
  <c r="G89" i="5"/>
  <c r="G128" i="5"/>
  <c r="H128" i="5"/>
  <c r="E127" i="5"/>
  <c r="D20" i="15" s="1"/>
  <c r="H82" i="5"/>
  <c r="H45" i="5"/>
  <c r="H129" i="5"/>
  <c r="F27" i="5"/>
  <c r="M137" i="39"/>
  <c r="N137" i="39" s="1"/>
  <c r="F125" i="6"/>
  <c r="H125" i="6" s="1"/>
  <c r="G228" i="6"/>
  <c r="F119" i="6"/>
  <c r="G269" i="6"/>
  <c r="G194" i="6"/>
  <c r="I194" i="6" s="1"/>
  <c r="F65" i="6"/>
  <c r="F128" i="6"/>
  <c r="H128" i="6" s="1"/>
  <c r="E207" i="6"/>
  <c r="F26" i="10" s="1"/>
  <c r="G82" i="5"/>
  <c r="H68" i="5"/>
  <c r="H44" i="5"/>
  <c r="G44" i="5"/>
  <c r="D12" i="29"/>
  <c r="G45" i="5"/>
  <c r="H41" i="5"/>
  <c r="F96" i="5"/>
  <c r="G12" i="38"/>
  <c r="G24" i="38"/>
  <c r="L167" i="38"/>
  <c r="M167" i="38" s="1"/>
  <c r="I157" i="38"/>
  <c r="H158" i="38"/>
  <c r="L158" i="38" s="1"/>
  <c r="M158" i="38" s="1"/>
  <c r="I159" i="38"/>
  <c r="L159" i="38" s="1"/>
  <c r="M159" i="38" s="1"/>
  <c r="H160" i="38"/>
  <c r="L160" i="38" s="1"/>
  <c r="M160" i="38" s="1"/>
  <c r="I161" i="38"/>
  <c r="L161" i="38" s="1"/>
  <c r="M161" i="38" s="1"/>
  <c r="H162" i="38"/>
  <c r="L162" i="38" s="1"/>
  <c r="M162" i="38" s="1"/>
  <c r="I163" i="38"/>
  <c r="L163" i="38" s="1"/>
  <c r="M163" i="38" s="1"/>
  <c r="H164" i="38"/>
  <c r="L164" i="38" s="1"/>
  <c r="M164" i="38" s="1"/>
  <c r="H166" i="38"/>
  <c r="L166" i="38" s="1"/>
  <c r="M166" i="38" s="1"/>
  <c r="H168" i="38"/>
  <c r="L168" i="38" s="1"/>
  <c r="M168" i="38" s="1"/>
  <c r="I169" i="38"/>
  <c r="L169" i="38" s="1"/>
  <c r="M169" i="38" s="1"/>
  <c r="H170" i="38"/>
  <c r="L170" i="38" s="1"/>
  <c r="M170" i="38" s="1"/>
  <c r="L157" i="38"/>
  <c r="P9" i="44"/>
  <c r="H61" i="38"/>
  <c r="L61" i="38" s="1"/>
  <c r="M61" i="38" s="1"/>
  <c r="H65" i="38"/>
  <c r="L65" i="38" s="1"/>
  <c r="M65" i="38" s="1"/>
  <c r="I123" i="38"/>
  <c r="I88" i="38"/>
  <c r="L88" i="38" s="1"/>
  <c r="M88" i="38" s="1"/>
  <c r="K57" i="38"/>
  <c r="F27" i="38"/>
  <c r="H62" i="38"/>
  <c r="L62" i="38" s="1"/>
  <c r="M62" i="38" s="1"/>
  <c r="I126" i="38"/>
  <c r="I12" i="38"/>
  <c r="I125" i="38"/>
  <c r="I124" i="38"/>
  <c r="L124" i="38" s="1"/>
  <c r="M124" i="38" s="1"/>
  <c r="M104" i="38"/>
  <c r="I102" i="38"/>
  <c r="I15" i="38"/>
  <c r="H120" i="38"/>
  <c r="L120" i="38" s="1"/>
  <c r="M120" i="38" s="1"/>
  <c r="I52" i="38"/>
  <c r="L52" i="38" s="1"/>
  <c r="M52" i="38" s="1"/>
  <c r="I99" i="38"/>
  <c r="L99" i="38" s="1"/>
  <c r="M99" i="38" s="1"/>
  <c r="P10" i="38"/>
  <c r="I21" i="38"/>
  <c r="L63" i="38"/>
  <c r="M63" i="38" s="1"/>
  <c r="I66" i="38"/>
  <c r="I53" i="38"/>
  <c r="L53" i="38" s="1"/>
  <c r="M53" i="38" s="1"/>
  <c r="I86" i="38"/>
  <c r="L59" i="38"/>
  <c r="M59" i="38" s="1"/>
  <c r="H58" i="38"/>
  <c r="I18" i="38"/>
  <c r="I20" i="38"/>
  <c r="I89" i="38"/>
  <c r="H51" i="38"/>
  <c r="L51" i="38" s="1"/>
  <c r="M51" i="38" s="1"/>
  <c r="H13" i="38"/>
  <c r="P9" i="38"/>
  <c r="K121" i="38"/>
  <c r="K131" i="38" s="1"/>
  <c r="H102" i="38"/>
  <c r="I97" i="38"/>
  <c r="L97" i="38" s="1"/>
  <c r="M97" i="38" s="1"/>
  <c r="H9" i="38"/>
  <c r="H66" i="38"/>
  <c r="L66" i="38" s="1"/>
  <c r="M66" i="38" s="1"/>
  <c r="I98" i="38"/>
  <c r="L98" i="38" s="1"/>
  <c r="M98" i="38" s="1"/>
  <c r="I96" i="38"/>
  <c r="L96" i="38" s="1"/>
  <c r="M96" i="38" s="1"/>
  <c r="I100" i="38"/>
  <c r="L100" i="38" s="1"/>
  <c r="M100" i="38" s="1"/>
  <c r="I85" i="38"/>
  <c r="I92" i="38"/>
  <c r="L92" i="38" s="1"/>
  <c r="M92" i="38" s="1"/>
  <c r="H87" i="38"/>
  <c r="L123" i="38"/>
  <c r="M123" i="38" s="1"/>
  <c r="M103" i="38"/>
  <c r="I101" i="38"/>
  <c r="H94" i="38"/>
  <c r="L94" i="38" s="1"/>
  <c r="M94" i="38" s="1"/>
  <c r="K93" i="38"/>
  <c r="I90" i="38"/>
  <c r="L90" i="38" s="1"/>
  <c r="M90" i="38" s="1"/>
  <c r="L21" i="38"/>
  <c r="M21" i="38" s="1"/>
  <c r="I25" i="38"/>
  <c r="L25" i="38" s="1"/>
  <c r="M25" i="38" s="1"/>
  <c r="I68" i="38"/>
  <c r="L68" i="38" s="1"/>
  <c r="M68" i="38" s="1"/>
  <c r="I49" i="38"/>
  <c r="I67" i="38"/>
  <c r="L67" i="38" s="1"/>
  <c r="M67" i="38" s="1"/>
  <c r="I130" i="38"/>
  <c r="L130" i="38" s="1"/>
  <c r="M130" i="38" s="1"/>
  <c r="I128" i="38"/>
  <c r="L128" i="38" s="1"/>
  <c r="M128" i="38" s="1"/>
  <c r="I127" i="38"/>
  <c r="L127" i="38" s="1"/>
  <c r="M127" i="38" s="1"/>
  <c r="L126" i="38"/>
  <c r="M126" i="38" s="1"/>
  <c r="L125" i="38"/>
  <c r="M125" i="38" s="1"/>
  <c r="I122" i="38"/>
  <c r="L122" i="38" s="1"/>
  <c r="I26" i="38"/>
  <c r="L26" i="38" s="1"/>
  <c r="M26" i="38" s="1"/>
  <c r="I54" i="38"/>
  <c r="H60" i="38"/>
  <c r="L60" i="38" s="1"/>
  <c r="M60" i="38" s="1"/>
  <c r="I69" i="38"/>
  <c r="L69" i="38" s="1"/>
  <c r="M69" i="38" s="1"/>
  <c r="I14" i="38"/>
  <c r="S9" i="38" s="1"/>
  <c r="H91" i="38"/>
  <c r="L91" i="38" s="1"/>
  <c r="M91" i="38" s="1"/>
  <c r="I129" i="38"/>
  <c r="L129" i="38" s="1"/>
  <c r="M129" i="38" s="1"/>
  <c r="L48" i="38"/>
  <c r="M48" i="38" s="1"/>
  <c r="A53" i="38"/>
  <c r="A54" i="38" s="1"/>
  <c r="A55" i="38" s="1"/>
  <c r="A56" i="38" s="1"/>
  <c r="A57" i="38" s="1"/>
  <c r="A58" i="38" s="1"/>
  <c r="A59" i="38" s="1"/>
  <c r="A60" i="38" s="1"/>
  <c r="A61" i="38" s="1"/>
  <c r="A62" i="38" s="1"/>
  <c r="A63" i="38" s="1"/>
  <c r="A64" i="38" s="1"/>
  <c r="A65" i="38" s="1"/>
  <c r="A66" i="38" s="1"/>
  <c r="A67" i="38" s="1"/>
  <c r="A68" i="38" s="1"/>
  <c r="A69" i="38" s="1"/>
  <c r="A70" i="38" s="1"/>
  <c r="A85" i="38" s="1"/>
  <c r="A86" i="38" s="1"/>
  <c r="A87" i="38" s="1"/>
  <c r="A88" i="38" s="1"/>
  <c r="A89" i="38" s="1"/>
  <c r="A90" i="38" s="1"/>
  <c r="A91" i="38" s="1"/>
  <c r="A92" i="38" s="1"/>
  <c r="A93" i="38" s="1"/>
  <c r="A94" i="38" s="1"/>
  <c r="A95" i="38" s="1"/>
  <c r="A96" i="38" s="1"/>
  <c r="A97" i="38" s="1"/>
  <c r="A98" i="38" s="1"/>
  <c r="A99" i="38" s="1"/>
  <c r="A100" i="38" s="1"/>
  <c r="A101" i="38" s="1"/>
  <c r="A102" i="38" s="1"/>
  <c r="A103" i="38" s="1"/>
  <c r="A104" i="38" s="1"/>
  <c r="F131" i="38"/>
  <c r="F132" i="38" s="1"/>
  <c r="L132" i="38" s="1"/>
  <c r="M132" i="38" s="1"/>
  <c r="H131" i="38"/>
  <c r="L89" i="38"/>
  <c r="M89" i="38" s="1"/>
  <c r="I70" i="38"/>
  <c r="L70" i="38" s="1"/>
  <c r="M70" i="38" s="1"/>
  <c r="H64" i="38"/>
  <c r="L57" i="38"/>
  <c r="M57" i="38" s="1"/>
  <c r="H50" i="38"/>
  <c r="I23" i="38"/>
  <c r="L23" i="38" s="1"/>
  <c r="M23" i="38" s="1"/>
  <c r="I22" i="38"/>
  <c r="L22" i="38" s="1"/>
  <c r="M22" i="38" s="1"/>
  <c r="L20" i="38"/>
  <c r="M20" i="38" s="1"/>
  <c r="R10" i="38"/>
  <c r="D63" i="37"/>
  <c r="G141" i="44" l="1"/>
  <c r="L187" i="44"/>
  <c r="M187" i="44" s="1"/>
  <c r="G198" i="44"/>
  <c r="H198" i="44"/>
  <c r="G12" i="21"/>
  <c r="L34" i="44"/>
  <c r="M34" i="44" s="1"/>
  <c r="L28" i="44"/>
  <c r="M28" i="44" s="1"/>
  <c r="L30" i="44"/>
  <c r="M30" i="44" s="1"/>
  <c r="L107" i="44"/>
  <c r="L141" i="44" s="1"/>
  <c r="L108" i="44"/>
  <c r="M108" i="44" s="1"/>
  <c r="L35" i="44"/>
  <c r="M35" i="44" s="1"/>
  <c r="L19" i="44"/>
  <c r="M19" i="44" s="1"/>
  <c r="L27" i="44"/>
  <c r="M27" i="44" s="1"/>
  <c r="L29" i="44"/>
  <c r="M29" i="44" s="1"/>
  <c r="L36" i="44"/>
  <c r="M36" i="44" s="1"/>
  <c r="G96" i="5"/>
  <c r="H96" i="5" s="1"/>
  <c r="G37" i="44"/>
  <c r="H37" i="44"/>
  <c r="L122" i="44"/>
  <c r="M122" i="44" s="1"/>
  <c r="M115" i="44"/>
  <c r="L18" i="44"/>
  <c r="M18" i="44" s="1"/>
  <c r="L24" i="44"/>
  <c r="M24" i="44" s="1"/>
  <c r="L21" i="44"/>
  <c r="M21" i="44" s="1"/>
  <c r="G68" i="5"/>
  <c r="Q133" i="39"/>
  <c r="Q138" i="39" s="1"/>
  <c r="AB71" i="39"/>
  <c r="AB133" i="39" s="1"/>
  <c r="L14" i="38"/>
  <c r="M14" i="38" s="1"/>
  <c r="L15" i="38"/>
  <c r="M15" i="38" s="1"/>
  <c r="L9" i="38"/>
  <c r="P139" i="39"/>
  <c r="P141" i="39" s="1"/>
  <c r="Q136" i="39" s="1"/>
  <c r="Q139" i="39" s="1"/>
  <c r="Q141" i="39" s="1"/>
  <c r="R136" i="39" s="1"/>
  <c r="R139" i="39" s="1"/>
  <c r="R141" i="39" s="1"/>
  <c r="S136" i="39" s="1"/>
  <c r="S139" i="39" s="1"/>
  <c r="S141" i="39" s="1"/>
  <c r="T136" i="39" s="1"/>
  <c r="T139" i="39" s="1"/>
  <c r="T141" i="39" s="1"/>
  <c r="U136" i="39" s="1"/>
  <c r="U139" i="39" s="1"/>
  <c r="U141" i="39" s="1"/>
  <c r="V136" i="39" s="1"/>
  <c r="V139" i="39" s="1"/>
  <c r="V141" i="39" s="1"/>
  <c r="W136" i="39" s="1"/>
  <c r="W139" i="39" s="1"/>
  <c r="W141" i="39" s="1"/>
  <c r="X136" i="39" s="1"/>
  <c r="X139" i="39" s="1"/>
  <c r="X141" i="39" s="1"/>
  <c r="Y136" i="39" s="1"/>
  <c r="Y139" i="39" s="1"/>
  <c r="Y141" i="39" s="1"/>
  <c r="Z136" i="39" s="1"/>
  <c r="Z139" i="39" s="1"/>
  <c r="Z141" i="39" s="1"/>
  <c r="AA136" i="39" s="1"/>
  <c r="AA139" i="39" s="1"/>
  <c r="AA141" i="39" s="1"/>
  <c r="P138" i="39"/>
  <c r="AB138" i="39" s="1"/>
  <c r="L12" i="38"/>
  <c r="H36" i="6"/>
  <c r="F35" i="6"/>
  <c r="F12" i="10" s="1"/>
  <c r="C13" i="21"/>
  <c r="E17" i="28" s="1"/>
  <c r="D12" i="21"/>
  <c r="G16" i="28" s="1"/>
  <c r="D13" i="21"/>
  <c r="G17" i="28" s="1"/>
  <c r="L194" i="44"/>
  <c r="M194" i="44" s="1"/>
  <c r="E16" i="28"/>
  <c r="H27" i="5"/>
  <c r="J34" i="5"/>
  <c r="J36" i="5" s="1"/>
  <c r="E340" i="28"/>
  <c r="D13" i="29"/>
  <c r="D11" i="29"/>
  <c r="H152" i="37"/>
  <c r="H169" i="37"/>
  <c r="D115" i="37"/>
  <c r="D123" i="37" s="1"/>
  <c r="H13" i="21"/>
  <c r="L188" i="44"/>
  <c r="M188" i="44" s="1"/>
  <c r="L186" i="44"/>
  <c r="D15" i="15"/>
  <c r="G10" i="5"/>
  <c r="G27" i="5"/>
  <c r="D16" i="15"/>
  <c r="G123" i="37"/>
  <c r="L13" i="38"/>
  <c r="M13" i="38" s="1"/>
  <c r="G27" i="38"/>
  <c r="G205" i="37"/>
  <c r="H205" i="37"/>
  <c r="L49" i="38"/>
  <c r="M49" i="38" s="1"/>
  <c r="Q10" i="38"/>
  <c r="F197" i="6"/>
  <c r="F196" i="6" s="1"/>
  <c r="F199" i="6"/>
  <c r="E191" i="6"/>
  <c r="I208" i="6"/>
  <c r="I269" i="6"/>
  <c r="G227" i="6"/>
  <c r="I227" i="6" s="1"/>
  <c r="I228" i="6"/>
  <c r="E116" i="6"/>
  <c r="H11" i="10" s="1"/>
  <c r="H10" i="10" s="1"/>
  <c r="F207" i="6"/>
  <c r="F133" i="6"/>
  <c r="H133" i="6" s="1"/>
  <c r="F116" i="6"/>
  <c r="H119" i="6"/>
  <c r="H65" i="6"/>
  <c r="I338" i="6"/>
  <c r="F198" i="8"/>
  <c r="F145" i="7" s="1"/>
  <c r="F149" i="7" s="1"/>
  <c r="M53" i="44"/>
  <c r="L192" i="44"/>
  <c r="M192" i="44" s="1"/>
  <c r="L189" i="44"/>
  <c r="M189" i="44" s="1"/>
  <c r="L190" i="44"/>
  <c r="M190" i="44" s="1"/>
  <c r="L191" i="44"/>
  <c r="M191" i="44" s="1"/>
  <c r="L57" i="44"/>
  <c r="M57" i="44" s="1"/>
  <c r="G143" i="5"/>
  <c r="G58" i="38"/>
  <c r="L58" i="38" s="1"/>
  <c r="M58" i="38" s="1"/>
  <c r="Q9" i="38"/>
  <c r="L56" i="44"/>
  <c r="M56" i="44" s="1"/>
  <c r="D15" i="29"/>
  <c r="H127" i="5"/>
  <c r="G127" i="5"/>
  <c r="F95" i="5"/>
  <c r="G95" i="5" s="1"/>
  <c r="H95" i="5" s="1"/>
  <c r="L24" i="38"/>
  <c r="M24" i="38" s="1"/>
  <c r="E35" i="6"/>
  <c r="F11" i="10" s="1"/>
  <c r="L52" i="44"/>
  <c r="M52" i="44" s="1"/>
  <c r="J10" i="28"/>
  <c r="L9" i="44"/>
  <c r="F124" i="6"/>
  <c r="H124" i="6" s="1"/>
  <c r="H151" i="5"/>
  <c r="Q9" i="44"/>
  <c r="L171" i="38"/>
  <c r="M157" i="38"/>
  <c r="M171" i="38" s="1"/>
  <c r="M173" i="38" s="1"/>
  <c r="I171" i="38"/>
  <c r="H171" i="38"/>
  <c r="L101" i="38"/>
  <c r="R9" i="44"/>
  <c r="S9" i="44"/>
  <c r="L18" i="38"/>
  <c r="M18" i="38" s="1"/>
  <c r="S10" i="38"/>
  <c r="I27" i="38"/>
  <c r="M9" i="38"/>
  <c r="H27" i="38"/>
  <c r="R9" i="38"/>
  <c r="L93" i="38"/>
  <c r="M93" i="38" s="1"/>
  <c r="L85" i="38"/>
  <c r="M85" i="38" s="1"/>
  <c r="L102" i="38"/>
  <c r="M102" i="38" s="1"/>
  <c r="L121" i="38"/>
  <c r="M121" i="38" s="1"/>
  <c r="I131" i="38"/>
  <c r="L87" i="38"/>
  <c r="M87" i="38" s="1"/>
  <c r="L54" i="38"/>
  <c r="M54" i="38" s="1"/>
  <c r="M122" i="38"/>
  <c r="L64" i="38"/>
  <c r="M64" i="38" s="1"/>
  <c r="L50" i="38"/>
  <c r="M50" i="38" s="1"/>
  <c r="M12" i="38"/>
  <c r="M186" i="44" l="1"/>
  <c r="M198" i="44" s="1"/>
  <c r="N199" i="44" s="1"/>
  <c r="O200" i="44" s="1"/>
  <c r="L198" i="44"/>
  <c r="M107" i="44"/>
  <c r="M141" i="44" s="1"/>
  <c r="L37" i="44"/>
  <c r="H12" i="21"/>
  <c r="F227" i="28"/>
  <c r="E142" i="28"/>
  <c r="F198" i="6"/>
  <c r="F27" i="10"/>
  <c r="D152" i="37"/>
  <c r="D169" i="37"/>
  <c r="G152" i="37"/>
  <c r="G169" i="37"/>
  <c r="G171" i="37" s="1"/>
  <c r="C15" i="21"/>
  <c r="D15" i="21"/>
  <c r="E25" i="6"/>
  <c r="E24" i="6" s="1"/>
  <c r="L27" i="38"/>
  <c r="Q152" i="28"/>
  <c r="Q149" i="28" s="1"/>
  <c r="F27" i="6"/>
  <c r="I191" i="6"/>
  <c r="E187" i="6"/>
  <c r="F14" i="6"/>
  <c r="F10" i="10"/>
  <c r="G207" i="6"/>
  <c r="H35" i="6"/>
  <c r="H116" i="6"/>
  <c r="F25" i="6"/>
  <c r="F24" i="6" s="1"/>
  <c r="E27" i="6"/>
  <c r="E14" i="6"/>
  <c r="E150" i="5"/>
  <c r="E142" i="5"/>
  <c r="D22" i="15" s="1"/>
  <c r="G151" i="5"/>
  <c r="E164" i="5"/>
  <c r="E198" i="6"/>
  <c r="G48" i="10"/>
  <c r="M101" i="38"/>
  <c r="M9" i="44"/>
  <c r="M37" i="44" s="1"/>
  <c r="N26" i="38"/>
  <c r="L131" i="38"/>
  <c r="M27" i="38"/>
  <c r="M131" i="38"/>
  <c r="H48" i="10"/>
  <c r="G196" i="5" l="1"/>
  <c r="E167" i="5"/>
  <c r="F226" i="28"/>
  <c r="F345" i="6" s="1"/>
  <c r="H15" i="21"/>
  <c r="I182" i="37"/>
  <c r="E158" i="5"/>
  <c r="G156" i="5"/>
  <c r="F28" i="10"/>
  <c r="F25" i="10" s="1"/>
  <c r="M199" i="44"/>
  <c r="L19" i="39"/>
  <c r="G142" i="28"/>
  <c r="F189" i="6"/>
  <c r="F308" i="6" s="1"/>
  <c r="F142" i="28"/>
  <c r="F16" i="6"/>
  <c r="F13" i="6" s="1"/>
  <c r="I207" i="6"/>
  <c r="E26" i="6"/>
  <c r="F48" i="10"/>
  <c r="F26" i="6"/>
  <c r="E196" i="6"/>
  <c r="E186" i="6" s="1"/>
  <c r="E16" i="6"/>
  <c r="E13" i="6" s="1"/>
  <c r="F347" i="6"/>
  <c r="H150" i="5"/>
  <c r="E149" i="5"/>
  <c r="G142" i="5"/>
  <c r="I48" i="10"/>
  <c r="G148" i="28"/>
  <c r="E148" i="28"/>
  <c r="M133" i="38"/>
  <c r="N151" i="28"/>
  <c r="N152" i="28" s="1"/>
  <c r="E139" i="6" l="1"/>
  <c r="H16" i="21"/>
  <c r="D17" i="29"/>
  <c r="D18" i="29" s="1"/>
  <c r="F38" i="10"/>
  <c r="D28" i="29" s="1"/>
  <c r="D29" i="15" s="1"/>
  <c r="F143" i="28"/>
  <c r="F336" i="6"/>
  <c r="I347" i="6"/>
  <c r="F346" i="6"/>
  <c r="I345" i="6"/>
  <c r="F344" i="6"/>
  <c r="I344" i="6" s="1"/>
  <c r="F187" i="6"/>
  <c r="F307" i="6" s="1"/>
  <c r="F138" i="6"/>
  <c r="F139" i="6"/>
  <c r="E26" i="10"/>
  <c r="F12" i="6"/>
  <c r="E138" i="6"/>
  <c r="H149" i="5"/>
  <c r="G190" i="6"/>
  <c r="F186" i="6" l="1"/>
  <c r="F306" i="6" s="1"/>
  <c r="I346" i="6"/>
  <c r="F335" i="6"/>
  <c r="I336" i="6"/>
  <c r="F137" i="6"/>
  <c r="E12" i="10"/>
  <c r="L12" i="10" s="1"/>
  <c r="C11" i="9" s="1"/>
  <c r="H11" i="9" s="1"/>
  <c r="I190" i="6"/>
  <c r="E12" i="6"/>
  <c r="I335" i="6" l="1"/>
  <c r="F334" i="6"/>
  <c r="E27" i="10"/>
  <c r="L27" i="10" s="1"/>
  <c r="D26" i="9" s="1"/>
  <c r="H26" i="9" s="1"/>
  <c r="F28" i="8" s="1"/>
  <c r="E11" i="10"/>
  <c r="E137" i="6"/>
  <c r="E17" i="10" l="1"/>
  <c r="I334" i="6"/>
  <c r="L11" i="10"/>
  <c r="C10" i="9" s="1"/>
  <c r="E48" i="10"/>
  <c r="H71" i="38"/>
  <c r="H84" i="38" s="1"/>
  <c r="H105" i="38" s="1"/>
  <c r="K71" i="38"/>
  <c r="K84" i="38" s="1"/>
  <c r="K105" i="38" s="1"/>
  <c r="G71" i="38"/>
  <c r="G84" i="38" s="1"/>
  <c r="G105" i="38" s="1"/>
  <c r="L71" i="38"/>
  <c r="L84" i="38" s="1"/>
  <c r="L105" i="38" s="1"/>
  <c r="M71" i="38"/>
  <c r="M84" i="38" s="1"/>
  <c r="M105" i="38" s="1"/>
  <c r="J71" i="38"/>
  <c r="J84" i="38" s="1"/>
  <c r="J105" i="38" s="1"/>
  <c r="E71" i="38"/>
  <c r="E84" i="38" s="1"/>
  <c r="E105" i="38" s="1"/>
  <c r="I71" i="38"/>
  <c r="I84" i="38" s="1"/>
  <c r="I105" i="38" s="1"/>
  <c r="F71" i="38"/>
  <c r="E15" i="10" l="1"/>
  <c r="H10" i="9"/>
  <c r="F72" i="38"/>
  <c r="F84" i="38"/>
  <c r="F105" i="38" s="1"/>
  <c r="P27" i="38"/>
  <c r="P40" i="38" s="1"/>
  <c r="N108" i="38"/>
  <c r="U11" i="38"/>
  <c r="U12" i="38" s="1"/>
  <c r="P11" i="38"/>
  <c r="P12" i="38" s="1"/>
  <c r="S11" i="38"/>
  <c r="S12" i="38" s="1"/>
  <c r="R11" i="38"/>
  <c r="R12" i="38" s="1"/>
  <c r="Q11" i="38"/>
  <c r="Q12" i="38" s="1"/>
  <c r="T11" i="38"/>
  <c r="T12" i="38" s="1"/>
  <c r="L72" i="38" l="1"/>
  <c r="M72" i="38" s="1"/>
  <c r="M73" i="38" s="1"/>
  <c r="F106" i="38"/>
  <c r="L106" i="38" s="1"/>
  <c r="M106" i="38" s="1"/>
  <c r="M108" i="38" s="1"/>
  <c r="L31" i="10" l="1"/>
  <c r="K25" i="10"/>
  <c r="K38" i="10" s="1"/>
  <c r="D33" i="29" s="1"/>
  <c r="D34" i="15" l="1"/>
  <c r="F149" i="5" l="1"/>
  <c r="G149" i="5" s="1"/>
  <c r="F150" i="5" l="1"/>
  <c r="G150" i="5" s="1"/>
  <c r="F134" i="5"/>
  <c r="G134" i="5" l="1"/>
  <c r="D21" i="15"/>
  <c r="D23" i="15" s="1"/>
  <c r="J116" i="28" l="1"/>
  <c r="E285" i="6" l="1"/>
  <c r="E308" i="6" s="1"/>
  <c r="E40" i="13"/>
  <c r="D143" i="28"/>
  <c r="I285" i="6" l="1"/>
  <c r="E284" i="6"/>
  <c r="E307" i="6" s="1"/>
  <c r="E283" i="6" l="1"/>
  <c r="H26" i="10" s="1"/>
  <c r="I284" i="6"/>
  <c r="E306" i="6" l="1"/>
  <c r="I283" i="6"/>
  <c r="H25" i="10"/>
  <c r="L26" i="10"/>
  <c r="D25" i="9" s="1"/>
  <c r="H38" i="10" l="1"/>
  <c r="H25" i="9"/>
  <c r="F22" i="8"/>
  <c r="F38" i="8" s="1"/>
  <c r="F27" i="7" s="1"/>
  <c r="D30" i="29" l="1"/>
  <c r="D31" i="15" s="1"/>
  <c r="P43" i="44"/>
  <c r="D51" i="44" l="1"/>
  <c r="J51" i="44"/>
  <c r="I51" i="44"/>
  <c r="L51" i="44"/>
  <c r="F51" i="44"/>
  <c r="H51" i="44"/>
  <c r="G51" i="44"/>
  <c r="M51" i="44"/>
  <c r="E51" i="44"/>
  <c r="M142" i="44" l="1"/>
  <c r="G8" i="21" l="1"/>
  <c r="H6" i="28" l="1"/>
  <c r="J6" i="28" l="1"/>
  <c r="G188" i="6"/>
  <c r="I188" i="6" l="1"/>
  <c r="G9" i="21"/>
  <c r="H16" i="28"/>
  <c r="G197" i="6" s="1"/>
  <c r="G196" i="6" s="1"/>
  <c r="I196" i="6" s="1"/>
  <c r="G13" i="21"/>
  <c r="H17" i="28" s="1"/>
  <c r="M70" i="44"/>
  <c r="L70" i="44"/>
  <c r="I70" i="44"/>
  <c r="T17" i="44" s="1"/>
  <c r="D70" i="44"/>
  <c r="J70" i="44"/>
  <c r="U17" i="44" s="1"/>
  <c r="F70" i="44"/>
  <c r="Q17" i="44" s="1"/>
  <c r="E9" i="21"/>
  <c r="I8" i="28" s="1"/>
  <c r="H70" i="44"/>
  <c r="S17" i="44" s="1"/>
  <c r="E12" i="21"/>
  <c r="J12" i="21" s="1"/>
  <c r="K70" i="44"/>
  <c r="E70" i="44"/>
  <c r="P17" i="44" s="1"/>
  <c r="E8" i="21"/>
  <c r="J8" i="21" s="1"/>
  <c r="G70" i="44"/>
  <c r="R17" i="44" s="1"/>
  <c r="E13" i="21"/>
  <c r="I17" i="28" s="1"/>
  <c r="K17" i="28" s="1"/>
  <c r="H8" i="28" l="1"/>
  <c r="G189" i="6" s="1"/>
  <c r="J13" i="21"/>
  <c r="J16" i="28"/>
  <c r="J9" i="21"/>
  <c r="L159" i="44"/>
  <c r="L161" i="44" s="1"/>
  <c r="I16" i="28"/>
  <c r="G25" i="6" s="1"/>
  <c r="H25" i="6" s="1"/>
  <c r="J17" i="28"/>
  <c r="G199" i="6"/>
  <c r="H142" i="28"/>
  <c r="G16" i="6"/>
  <c r="H16" i="6" s="1"/>
  <c r="G27" i="6"/>
  <c r="I6" i="28"/>
  <c r="I142" i="28" s="1"/>
  <c r="G15" i="21"/>
  <c r="F16" i="21" s="1"/>
  <c r="I197" i="6"/>
  <c r="K8" i="28"/>
  <c r="E15" i="21"/>
  <c r="G187" i="6" l="1"/>
  <c r="I189" i="6"/>
  <c r="J8" i="28"/>
  <c r="T12" i="28"/>
  <c r="J142" i="28"/>
  <c r="K16" i="28"/>
  <c r="L160" i="44"/>
  <c r="D250" i="44" s="1"/>
  <c r="G24" i="6"/>
  <c r="H24" i="6" s="1"/>
  <c r="J15" i="21"/>
  <c r="C16" i="21"/>
  <c r="D20" i="21" s="1"/>
  <c r="J144" i="28"/>
  <c r="I187" i="6"/>
  <c r="I199" i="6"/>
  <c r="I308" i="6" s="1"/>
  <c r="G308" i="6"/>
  <c r="G198" i="6"/>
  <c r="E144" i="28"/>
  <c r="K6" i="28"/>
  <c r="G14" i="6"/>
  <c r="G139" i="6" s="1"/>
  <c r="H139" i="6" s="1"/>
  <c r="G26" i="6"/>
  <c r="H27" i="6"/>
  <c r="I148" i="28"/>
  <c r="G307" i="6" l="1"/>
  <c r="I198" i="6"/>
  <c r="I307" i="6" s="1"/>
  <c r="G186" i="6"/>
  <c r="G13" i="6"/>
  <c r="G138" i="6" s="1"/>
  <c r="H138" i="6" s="1"/>
  <c r="H14" i="6"/>
  <c r="H143" i="28"/>
  <c r="H26" i="6"/>
  <c r="U12" i="28"/>
  <c r="K142" i="28"/>
  <c r="S142" i="28" s="1"/>
  <c r="D336" i="28"/>
  <c r="F336" i="28" s="1"/>
  <c r="O335" i="28" s="1"/>
  <c r="G146" i="28"/>
  <c r="N149" i="28"/>
  <c r="D335" i="28"/>
  <c r="G306" i="6" l="1"/>
  <c r="E28" i="10"/>
  <c r="I186" i="6"/>
  <c r="I306" i="6" s="1"/>
  <c r="F335" i="28"/>
  <c r="G12" i="6"/>
  <c r="H13" i="6"/>
  <c r="H12" i="6" l="1"/>
  <c r="G137" i="6"/>
  <c r="H137" i="6" s="1"/>
  <c r="E13" i="10"/>
  <c r="E25" i="10"/>
  <c r="L25" i="10" s="1"/>
  <c r="L28" i="10"/>
  <c r="D27" i="9" s="1"/>
  <c r="D24" i="9" l="1"/>
  <c r="H27" i="9"/>
  <c r="E10" i="10"/>
  <c r="L13" i="10"/>
  <c r="C12" i="9" s="1"/>
  <c r="D36" i="9" l="1"/>
  <c r="H24" i="9"/>
  <c r="C9" i="9"/>
  <c r="H12" i="9"/>
  <c r="F62" i="8" s="1"/>
  <c r="F77" i="8" s="1"/>
  <c r="E38" i="10"/>
  <c r="D27" i="29" s="1"/>
  <c r="L10" i="10"/>
  <c r="D28" i="15" l="1"/>
  <c r="I77" i="8"/>
  <c r="F30" i="7"/>
  <c r="F33" i="7" s="1"/>
  <c r="H9" i="9"/>
  <c r="J20" i="9"/>
  <c r="F331" i="28" l="1"/>
  <c r="F332" i="28" s="1"/>
  <c r="F449" i="6"/>
  <c r="F467" i="6" s="1"/>
  <c r="F447" i="6" l="1"/>
  <c r="I449" i="6"/>
  <c r="I467" i="6" s="1"/>
  <c r="I447" i="6"/>
  <c r="I466" i="6" s="1"/>
  <c r="D337" i="28"/>
  <c r="F466" i="6" l="1"/>
  <c r="F438" i="6"/>
  <c r="D340" i="28"/>
  <c r="F340" i="28" s="1"/>
  <c r="F337" i="28"/>
  <c r="I527" i="6"/>
  <c r="I529" i="6"/>
  <c r="H575" i="6"/>
  <c r="F465" i="6" l="1"/>
  <c r="I17" i="10"/>
  <c r="I438" i="6"/>
  <c r="I465" i="6" s="1"/>
  <c r="I532" i="6" s="1"/>
  <c r="I15" i="10" l="1"/>
  <c r="L17" i="10"/>
  <c r="C16" i="9" s="1"/>
  <c r="C14" i="9" l="1"/>
  <c r="H16" i="9"/>
  <c r="F108" i="8" s="1"/>
  <c r="F118" i="8" s="1"/>
  <c r="L15" i="10"/>
  <c r="L38" i="10" s="1"/>
  <c r="G89" i="10" s="1"/>
  <c r="I38" i="10"/>
  <c r="D31" i="29" s="1"/>
  <c r="D32" i="15" l="1"/>
  <c r="D35" i="15" s="1"/>
  <c r="D34" i="29"/>
  <c r="D39" i="29" s="1"/>
  <c r="D210" i="8"/>
  <c r="F68" i="7"/>
  <c r="F74" i="7" s="1"/>
  <c r="I146" i="7" s="1"/>
  <c r="C36" i="9"/>
  <c r="H14" i="9"/>
  <c r="H36" i="9" s="1"/>
</calcChain>
</file>

<file path=xl/comments1.xml><?xml version="1.0" encoding="utf-8"?>
<comments xmlns="http://schemas.openxmlformats.org/spreadsheetml/2006/main">
  <authors>
    <author>y.ayala</author>
  </authors>
  <commentList>
    <comment ref="A69" authorId="0" shapeId="0">
      <text>
        <r>
          <rPr>
            <b/>
            <sz val="9"/>
            <color indexed="81"/>
            <rFont val="Tahoma"/>
            <family val="2"/>
          </rPr>
          <t>y.ayala:</t>
        </r>
        <r>
          <rPr>
            <sz val="9"/>
            <color indexed="81"/>
            <rFont val="Tahoma"/>
            <family val="2"/>
          </rPr>
          <t xml:space="preserve">
JOSE NEFTALI ARGUETA</t>
        </r>
      </text>
    </comment>
    <comment ref="A70" authorId="0" shapeId="0">
      <text>
        <r>
          <rPr>
            <b/>
            <sz val="9"/>
            <color indexed="81"/>
            <rFont val="Tahoma"/>
            <family val="2"/>
          </rPr>
          <t>y.ayala:</t>
        </r>
        <r>
          <rPr>
            <sz val="9"/>
            <color indexed="81"/>
            <rFont val="Tahoma"/>
            <family val="2"/>
          </rPr>
          <t xml:space="preserve">
OSCAR RENE PORTILLO</t>
        </r>
      </text>
    </comment>
    <comment ref="A71" authorId="0" shapeId="0">
      <text>
        <r>
          <rPr>
            <b/>
            <sz val="9"/>
            <color indexed="81"/>
            <rFont val="Tahoma"/>
            <family val="2"/>
          </rPr>
          <t>y.ayala:</t>
        </r>
        <r>
          <rPr>
            <sz val="9"/>
            <color indexed="81"/>
            <rFont val="Tahoma"/>
            <family val="2"/>
          </rPr>
          <t xml:space="preserve">
JUAN DE JESUS SOLIS</t>
        </r>
      </text>
    </comment>
    <comment ref="A72" authorId="0" shapeId="0">
      <text>
        <r>
          <rPr>
            <b/>
            <sz val="9"/>
            <color indexed="81"/>
            <rFont val="Tahoma"/>
            <family val="2"/>
          </rPr>
          <t>y.ayala:</t>
        </r>
        <r>
          <rPr>
            <sz val="9"/>
            <color indexed="81"/>
            <rFont val="Tahoma"/>
            <family val="2"/>
          </rPr>
          <t xml:space="preserve">
DON TOMAS</t>
        </r>
      </text>
    </comment>
    <comment ref="A73" authorId="0" shapeId="0">
      <text>
        <r>
          <rPr>
            <b/>
            <sz val="9"/>
            <color indexed="81"/>
            <rFont val="Tahoma"/>
            <family val="2"/>
          </rPr>
          <t>y.ayala:</t>
        </r>
        <r>
          <rPr>
            <sz val="9"/>
            <color indexed="81"/>
            <rFont val="Tahoma"/>
            <family val="2"/>
          </rPr>
          <t xml:space="preserve">
CARLOS ARMANDO LOPEZ</t>
        </r>
      </text>
    </comment>
    <comment ref="A74" authorId="0" shapeId="0">
      <text>
        <r>
          <rPr>
            <b/>
            <sz val="9"/>
            <color indexed="81"/>
            <rFont val="Tahoma"/>
            <family val="2"/>
          </rPr>
          <t>y.ayala:</t>
        </r>
        <r>
          <rPr>
            <sz val="9"/>
            <color indexed="81"/>
            <rFont val="Tahoma"/>
            <family val="2"/>
          </rPr>
          <t xml:space="preserve">
SALVADOR CRUZ RIVERA</t>
        </r>
      </text>
    </comment>
    <comment ref="A87" authorId="0" shapeId="0">
      <text>
        <r>
          <rPr>
            <b/>
            <sz val="9"/>
            <color indexed="81"/>
            <rFont val="Tahoma"/>
            <family val="2"/>
          </rPr>
          <t>y.ayala:</t>
        </r>
        <r>
          <rPr>
            <sz val="9"/>
            <color indexed="81"/>
            <rFont val="Tahoma"/>
            <family val="2"/>
          </rPr>
          <t xml:space="preserve">
NEFTALI CHICAS</t>
        </r>
      </text>
    </comment>
    <comment ref="A88" authorId="0" shapeId="0">
      <text>
        <r>
          <rPr>
            <b/>
            <sz val="9"/>
            <color indexed="81"/>
            <rFont val="Tahoma"/>
            <family val="2"/>
          </rPr>
          <t>y.ayala:</t>
        </r>
        <r>
          <rPr>
            <sz val="9"/>
            <color indexed="81"/>
            <rFont val="Tahoma"/>
            <family val="2"/>
          </rPr>
          <t xml:space="preserve">
NEFTALI …..</t>
        </r>
      </text>
    </comment>
    <comment ref="A132" authorId="0" shapeId="0">
      <text>
        <r>
          <rPr>
            <b/>
            <sz val="9"/>
            <color indexed="81"/>
            <rFont val="Tahoma"/>
            <family val="2"/>
          </rPr>
          <t>y.ayala:</t>
        </r>
        <r>
          <rPr>
            <sz val="9"/>
            <color indexed="81"/>
            <rFont val="Tahoma"/>
            <family val="2"/>
          </rPr>
          <t xml:space="preserve">
PORFIRIO</t>
        </r>
      </text>
    </comment>
    <comment ref="A133" authorId="0" shapeId="0">
      <text>
        <r>
          <rPr>
            <b/>
            <sz val="9"/>
            <color indexed="81"/>
            <rFont val="Tahoma"/>
            <family val="2"/>
          </rPr>
          <t>y.ayala:</t>
        </r>
        <r>
          <rPr>
            <sz val="9"/>
            <color indexed="81"/>
            <rFont val="Tahoma"/>
            <family val="2"/>
          </rPr>
          <t xml:space="preserve">
JOSE EFRAIN HQUEZ</t>
        </r>
      </text>
    </comment>
  </commentList>
</comments>
</file>

<file path=xl/comments2.xml><?xml version="1.0" encoding="utf-8"?>
<comments xmlns="http://schemas.openxmlformats.org/spreadsheetml/2006/main">
  <authors>
    <author>COMTABILIDAD</author>
  </authors>
  <commentList>
    <comment ref="M9" authorId="0" shapeId="0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SOLO PAGOS DEL 25% FODES, EQUIVALENTE AL 50% DEL MONTO DE GASTOS CTES.</t>
        </r>
      </text>
    </comment>
    <comment ref="M48" authorId="0" shapeId="0">
      <text>
        <r>
          <rPr>
            <b/>
            <sz val="9"/>
            <color indexed="81"/>
            <rFont val="Tahoma"/>
            <family val="2"/>
          </rPr>
          <t>COMTABILIDAD:</t>
        </r>
        <r>
          <rPr>
            <sz val="9"/>
            <color indexed="81"/>
            <rFont val="Tahoma"/>
            <family val="2"/>
          </rPr>
          <t xml:space="preserve">
PAGARSE CON FONDO MUNICIPAL</t>
        </r>
      </text>
    </comment>
    <comment ref="M120" authorId="0" shapeId="0">
      <text>
        <r>
          <rPr>
            <b/>
            <sz val="9"/>
            <color indexed="81"/>
            <rFont val="Tahoma"/>
            <family val="2"/>
          </rPr>
          <t>COMTABILIDAD:</t>
        </r>
        <r>
          <rPr>
            <sz val="9"/>
            <color indexed="81"/>
            <rFont val="Tahoma"/>
            <family val="2"/>
          </rPr>
          <t xml:space="preserve">
PAGARSE DEL 75% FODES</t>
        </r>
      </text>
    </comment>
    <comment ref="M157" authorId="0" shapeId="0">
      <text>
        <r>
          <rPr>
            <b/>
            <sz val="9"/>
            <color indexed="81"/>
            <rFont val="Tahoma"/>
            <family val="2"/>
          </rPr>
          <t>COMTABILIDAD:</t>
        </r>
        <r>
          <rPr>
            <sz val="9"/>
            <color indexed="81"/>
            <rFont val="Tahoma"/>
            <family val="2"/>
          </rPr>
          <t xml:space="preserve">
PAGARSE DEL 75% FODES</t>
        </r>
      </text>
    </comment>
  </commentList>
</comments>
</file>

<file path=xl/comments3.xml><?xml version="1.0" encoding="utf-8"?>
<comments xmlns="http://schemas.openxmlformats.org/spreadsheetml/2006/main">
  <authors>
    <author>COMTABILIDAD</author>
  </authors>
  <commentList>
    <comment ref="M9" authorId="0" shapeId="0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SOLO PAGOS DEL 25% FODES, EQUIVALENTE AL 50% DEL MONTO DE GASTOS CTES.</t>
        </r>
      </text>
    </comment>
  </commentList>
</comments>
</file>

<file path=xl/comments4.xml><?xml version="1.0" encoding="utf-8"?>
<comments xmlns="http://schemas.openxmlformats.org/spreadsheetml/2006/main">
  <authors>
    <author>Depto Contabilidad</author>
  </authors>
  <commentList>
    <comment ref="A1" authorId="0" shapeId="0">
      <text>
        <r>
          <rPr>
            <b/>
            <sz val="8"/>
            <color indexed="81"/>
            <rFont val="Tahoma"/>
            <family val="2"/>
          </rPr>
          <t>Depto Contabilidad: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<sst xmlns="http://schemas.openxmlformats.org/spreadsheetml/2006/main" count="3431" uniqueCount="1410">
  <si>
    <t>OTROS SERVICIOS MUNICIPALES</t>
  </si>
  <si>
    <t>07</t>
  </si>
  <si>
    <t>08</t>
  </si>
  <si>
    <t>GASTOS DE PREINVERSION, CONSULTORIAS, ESTUDIOS DE PREFACTIBILIDAD, LICITACIONES, PUBLICACIONES Y OTROS.</t>
  </si>
  <si>
    <t>PROYECTOS DE INFRAESTRUCTURA</t>
  </si>
  <si>
    <t>AMORTIZACION DE CAPITAL E INTERESES</t>
  </si>
  <si>
    <t xml:space="preserve">1- PLAN ANUAL DE TRABAJO </t>
  </si>
  <si>
    <t>(1) INSTITUCION: 9202 ALCALDIA MUNICIPAL DE CIUDAD BARRIOS</t>
  </si>
  <si>
    <t xml:space="preserve">03 INVERSION EN INFRAESTRUCTURA </t>
  </si>
  <si>
    <t>(1) INSTITUCION: 9202  ALCALDIA MUNICIPAL DE CIUDAD BARRIOS</t>
  </si>
  <si>
    <t>05 ENDEUDAMIENTO PUBLICO</t>
  </si>
  <si>
    <t>Dietas</t>
  </si>
  <si>
    <t>Honorarios</t>
  </si>
  <si>
    <t>Viáticos por Comisión Interna</t>
  </si>
  <si>
    <t>Sueldos</t>
  </si>
  <si>
    <t>Aguinaldos</t>
  </si>
  <si>
    <t>Servicio de Agua</t>
  </si>
  <si>
    <t>0301</t>
  </si>
  <si>
    <t>0302</t>
  </si>
  <si>
    <t>OBJ. ESP.</t>
  </si>
  <si>
    <t>Aport. al INPEP e ISSS</t>
  </si>
  <si>
    <t>Aport. A AFP</t>
  </si>
  <si>
    <t>DESPACHO  MUNICIPAL</t>
  </si>
  <si>
    <t xml:space="preserve">TECNICO AMBIENTAL </t>
  </si>
  <si>
    <t>JEFE UACI</t>
  </si>
  <si>
    <t>Horas Extraordinarias</t>
  </si>
  <si>
    <t>Salarios por Jornal</t>
  </si>
  <si>
    <t>Comisiones poro recaudaciones</t>
  </si>
  <si>
    <t>Higienización y Saneamiento A.</t>
  </si>
  <si>
    <t>Cementerios</t>
  </si>
  <si>
    <t>Impresión y encuadernaciones</t>
  </si>
  <si>
    <t>Recolección y otros tansportes</t>
  </si>
  <si>
    <t>Mnto. Y rep. Bs. Muebles</t>
  </si>
  <si>
    <t>Mnto. Y rep. Bs. Vehiculos</t>
  </si>
  <si>
    <t>Otros serv. Financieros</t>
  </si>
  <si>
    <t>EXPEDICION DE DOC.DE IDENTIF</t>
  </si>
  <si>
    <t>SERVICIOS DIVERSOS</t>
  </si>
  <si>
    <t>Contrib.Patronales Ins.Seg.Social Publicas</t>
  </si>
  <si>
    <t>Contrib.Patronales Ins.Seg.Social Priv</t>
  </si>
  <si>
    <t>Indemnizaciones personal permanente</t>
  </si>
  <si>
    <t>( FF4)</t>
  </si>
  <si>
    <t>Intereses de emprestitos internos</t>
  </si>
  <si>
    <t>FF4</t>
  </si>
  <si>
    <t>FF1 AG3</t>
  </si>
  <si>
    <t>Transportes, fletes y almacenamientos</t>
  </si>
  <si>
    <t>PROMOTOR SOCIAL</t>
  </si>
  <si>
    <t>De empresas privadas financieras</t>
  </si>
  <si>
    <t>Cuota de comunres</t>
  </si>
  <si>
    <t>Atenciones oficiales</t>
  </si>
  <si>
    <t>Servicios educativos</t>
  </si>
  <si>
    <t>Bienes de uso y consumo diversos</t>
  </si>
  <si>
    <t>Cont. A inst. varios</t>
  </si>
  <si>
    <t>Materiales de oficina</t>
  </si>
  <si>
    <t>Rep. Y Acc. P/ma y otros equipos</t>
  </si>
  <si>
    <t>Llantas y neumáticos</t>
  </si>
  <si>
    <t>Comb. Y lubricante</t>
  </si>
  <si>
    <t>Sueldos eventuales</t>
  </si>
  <si>
    <t>GASTOS DE REPRESENTACION</t>
  </si>
  <si>
    <t>Por prestacion de servicios en el exterior</t>
  </si>
  <si>
    <t>X</t>
  </si>
  <si>
    <t>(8) INGRESOS</t>
  </si>
  <si>
    <t>TOTAL SOLICITADO</t>
  </si>
  <si>
    <t>Productos alim. Para personas</t>
  </si>
  <si>
    <t>Prod- textiles y vestuario</t>
  </si>
  <si>
    <t>Materiales electricos</t>
  </si>
  <si>
    <t>Libros de consulta</t>
  </si>
  <si>
    <t>Subsidios para funerales</t>
  </si>
  <si>
    <t>Indemniz. Para sup. De plazas</t>
  </si>
  <si>
    <t>Form. Del fondo circulante</t>
  </si>
  <si>
    <t>Salarios por jornal</t>
  </si>
  <si>
    <t>Horas extraordinarias</t>
  </si>
  <si>
    <t>Servicios de publicidad</t>
  </si>
  <si>
    <t>Terrenos</t>
  </si>
  <si>
    <t>Fondos Propios</t>
  </si>
  <si>
    <t>Sueldos Permanentes</t>
  </si>
  <si>
    <t>Sobresueldos</t>
  </si>
  <si>
    <t>Beneficios Adicionales</t>
  </si>
  <si>
    <t>Sueldos Eventuales</t>
  </si>
  <si>
    <t>Remuneraciones servicios especiales</t>
  </si>
  <si>
    <t>PLANILLA NO.1 ( 25% FODES)</t>
  </si>
  <si>
    <t>HOJA 1/2</t>
  </si>
  <si>
    <t>SUELDOS</t>
  </si>
  <si>
    <t>aguinaldos</t>
  </si>
  <si>
    <t>privada</t>
  </si>
  <si>
    <t>PUBLICA</t>
  </si>
  <si>
    <t>FRANCISCO JAVIER AYALA PORTILLO</t>
  </si>
  <si>
    <t>publica</t>
  </si>
  <si>
    <t>ANA TERESA SANCHEZ</t>
  </si>
  <si>
    <t>RAFAEL ARMANDO SORTO MEDRANO</t>
  </si>
  <si>
    <t>JORGE ALBERTO MONJARAS PARADA</t>
  </si>
  <si>
    <t>JOSE SANTOS PORTILLO CENTENO</t>
  </si>
  <si>
    <t>HOJA 2/2</t>
  </si>
  <si>
    <t>OSCAR DE JESUS FERNANDEZ</t>
  </si>
  <si>
    <t>NEFTALI BALMORE CRUZ PINEDA</t>
  </si>
  <si>
    <t>MARVIN YOVANY VILLACORTA</t>
  </si>
  <si>
    <t>WILFREDO GUEVARA ARGUETA</t>
  </si>
  <si>
    <t>JOSE FERMIN FRANCO</t>
  </si>
  <si>
    <t>OBED ANTONIO SORTO</t>
  </si>
  <si>
    <t>PLANILLA NO.2 (FONDO MUNICIPAL)</t>
  </si>
  <si>
    <t>HOJA 1/1</t>
  </si>
  <si>
    <t>DORA LIDIA ORELLANA</t>
  </si>
  <si>
    <t>SALVADOR LOPEZ CHICAS</t>
  </si>
  <si>
    <t>OSCAR MANUEL DIAZ</t>
  </si>
  <si>
    <t>JUAN RICARDO VENTURA FUENTES</t>
  </si>
  <si>
    <t>SALVADOR CRUZ</t>
  </si>
  <si>
    <t>SANTOS LARA SOLIS</t>
  </si>
  <si>
    <t>JOSE ALCIDES FUENTES</t>
  </si>
  <si>
    <t>HECTOR ANTONIO VILLALTA</t>
  </si>
  <si>
    <t xml:space="preserve">ENC. TANQUES </t>
  </si>
  <si>
    <t>DEMETRIO SALGADO ARGUETA</t>
  </si>
  <si>
    <t xml:space="preserve">LUIS ARMANDO PORTILLO </t>
  </si>
  <si>
    <t>MENSAJERO</t>
  </si>
  <si>
    <t>ZOBEYDA CAROLINA PACHECO</t>
  </si>
  <si>
    <t>UNIDAD JURIDICA</t>
  </si>
  <si>
    <t>PLANILLA NO.3 (75% FODES, PROY. SISTEMA DE RECOLECCION DE BASURA)</t>
  </si>
  <si>
    <t>MARTA CELINA MELARA</t>
  </si>
  <si>
    <t>MARTA DE JESUS FUENTES FUNES</t>
  </si>
  <si>
    <t>JOSE ANDRES DIAZ CHICAS</t>
  </si>
  <si>
    <t>MARIA ALBA LUZ GRANADOS</t>
  </si>
  <si>
    <t>(3) AREA DE GESTION:  1- CONDUCCION ADMINISTRATIVA</t>
  </si>
  <si>
    <t>Remuneraciones diversas</t>
  </si>
  <si>
    <t>Prod. Alimenticios para personas</t>
  </si>
  <si>
    <t>Productos agropecuarios y forest.</t>
  </si>
  <si>
    <t>Productos textiles y vestuarios</t>
  </si>
  <si>
    <t>Productos de papel y carton</t>
  </si>
  <si>
    <t>Productos de Cuero y caucho</t>
  </si>
  <si>
    <t>Productos químicos</t>
  </si>
  <si>
    <t>Prod. Farmac. Y medicinales</t>
  </si>
  <si>
    <t>Combustibles y lubricantes</t>
  </si>
  <si>
    <t>Minerales no metalicos</t>
  </si>
  <si>
    <t>Minerales metalicos</t>
  </si>
  <si>
    <t>Materiales informáticos</t>
  </si>
  <si>
    <t>Libros, textos.etc</t>
  </si>
  <si>
    <t>Materiales de defensa</t>
  </si>
  <si>
    <t>Herramientas repuestos y accesorios</t>
  </si>
  <si>
    <t>Materiales eléctricos</t>
  </si>
  <si>
    <t>Especies municipales</t>
  </si>
  <si>
    <t>Bienes diversos de uso y consumo</t>
  </si>
  <si>
    <t>Servicios de energía eléctrica</t>
  </si>
  <si>
    <t>servicio de agua</t>
  </si>
  <si>
    <t>servicio telefónico</t>
  </si>
  <si>
    <t xml:space="preserve">Servicio de Correos </t>
  </si>
  <si>
    <t>Alumbrado público</t>
  </si>
  <si>
    <t>Mntto. Y rep. De bienes muebles</t>
  </si>
  <si>
    <t>Mntto. Y rep. De vehículos</t>
  </si>
  <si>
    <t>Mntto. Y rep. De bienes inmuebles</t>
  </si>
  <si>
    <t>Transporte, fletes</t>
  </si>
  <si>
    <t>ISDEM</t>
  </si>
  <si>
    <t>COMISION POR SER GARANTE</t>
  </si>
  <si>
    <t>CUENTAS POR PAGAR AÑOS ANTERIORES</t>
  </si>
  <si>
    <t xml:space="preserve">Servicios de Vigilancia </t>
  </si>
  <si>
    <t>Servicios de limpieza</t>
  </si>
  <si>
    <t>Servicios de lavandería</t>
  </si>
  <si>
    <t>Servicios de laboratorio</t>
  </si>
  <si>
    <t>Servicios de alimentación</t>
  </si>
  <si>
    <t>Gastos reservados</t>
  </si>
  <si>
    <t>Arrendamientos de bienes muebles</t>
  </si>
  <si>
    <t>Arrendamientos de bienes inmuebles</t>
  </si>
  <si>
    <t>servicios generales diversos</t>
  </si>
  <si>
    <t>Pasajes al interior</t>
  </si>
  <si>
    <t>pasajes al exterior</t>
  </si>
  <si>
    <t>Viáticos por comisión interna</t>
  </si>
  <si>
    <t>Viáticos por comisión externa</t>
  </si>
  <si>
    <t>Servicios médicos</t>
  </si>
  <si>
    <t>servicios del medio ambiente</t>
  </si>
  <si>
    <t>Servicios jurídicos</t>
  </si>
  <si>
    <t>Servicios de contabilidad y auditoria</t>
  </si>
  <si>
    <t>Servicios de capacitación</t>
  </si>
  <si>
    <t>Servicios de fiscalización</t>
  </si>
  <si>
    <t>Desarrollos informáticos</t>
  </si>
  <si>
    <t xml:space="preserve">Estudios e investigaciones </t>
  </si>
  <si>
    <t>Cosultorías diversas</t>
  </si>
  <si>
    <t xml:space="preserve">Limpieza de calles </t>
  </si>
  <si>
    <t>depósitos de desechos</t>
  </si>
  <si>
    <t>Recolección desechos</t>
  </si>
  <si>
    <t>servicios diversos</t>
  </si>
  <si>
    <t>HORAS EXTRAORDINARIAS</t>
  </si>
  <si>
    <t>a personas naturales</t>
  </si>
  <si>
    <t xml:space="preserve">becas </t>
  </si>
  <si>
    <t xml:space="preserve">mobiliarios </t>
  </si>
  <si>
    <t>equipos informáticos</t>
  </si>
  <si>
    <t>vehículos de transporte</t>
  </si>
  <si>
    <t>obras de arte</t>
  </si>
  <si>
    <t>libros y colecciones</t>
  </si>
  <si>
    <t>herramientas repuestos y acceso.</t>
  </si>
  <si>
    <t>bienes muebles diversos</t>
  </si>
  <si>
    <t>proyectos viales</t>
  </si>
  <si>
    <t>SRIA. UACI</t>
  </si>
  <si>
    <t>AUX. CONTABILIDAD</t>
  </si>
  <si>
    <t>AUX.REF</t>
  </si>
  <si>
    <t>PROMOTOR SOC.</t>
  </si>
  <si>
    <t>BODEGUERO</t>
  </si>
  <si>
    <t>MOTORISTA MAQ</t>
  </si>
  <si>
    <t>VALVULAS</t>
  </si>
  <si>
    <t>maquinaria y equipos</t>
  </si>
  <si>
    <t>Servicios de Energia Electrica</t>
  </si>
  <si>
    <t>Servicios de telecomunicacion</t>
  </si>
  <si>
    <t>Impresiones ,publicaciones y produccion</t>
  </si>
  <si>
    <t>Servicios pasajes al Interior</t>
  </si>
  <si>
    <t>EFECTIVOS Y EFICIENTES PARA LOGRAR EL BIEN COMUN.</t>
  </si>
  <si>
    <t>Garantizar  el cumplimiento de normas antes y durante  la ejecucion de proyectos de infraestructura social, determinando el grado comparativo de las alternativas como son: planos de construccion, calculos estructurales, especificaciones de construccion, programas de trabajo, plazos de construccion, presupuestos especificos y globales, analisis de precios unitarios,  implementacion y supervision  de obras que permitan el desarrollo social</t>
  </si>
  <si>
    <t>(carpeta tecnica), las alternativas ambientales, tecnicas, financieras</t>
  </si>
  <si>
    <t>y sociales que conduzcan a maximizar la inversion y minimizar las</t>
  </si>
  <si>
    <t>necesidades de la poblacion.</t>
  </si>
  <si>
    <t xml:space="preserve">Administrar y utilizar eficientemente los recursos percibidos  como  </t>
  </si>
  <si>
    <t>Transferencias de Capital, para invertirse en obras de infraestructura</t>
  </si>
  <si>
    <t>Bienes Muebles</t>
  </si>
  <si>
    <t>VIALES</t>
  </si>
  <si>
    <t>OBRAS DE INFRAESTRUCTURA</t>
  </si>
  <si>
    <t>No.</t>
  </si>
  <si>
    <t>NOMBRE</t>
  </si>
  <si>
    <t>FODES</t>
  </si>
  <si>
    <t>Transferencias a personas Naturales</t>
  </si>
  <si>
    <t>Equipos Informaticos</t>
  </si>
  <si>
    <t>Determinar la viabilidad de los proyectos mediante un estudio tecni</t>
  </si>
  <si>
    <t>INVERTIR EN PROYECTOS QUE GENEREN DESARROLLO SOCIAL  Y ECONOMICO  A LA MUNICIPALIDAD  PARA UN MEJOR DESARROLLO LOCAL .</t>
  </si>
  <si>
    <t>.Gerencia</t>
  </si>
  <si>
    <t>(9=8.7) VARIACION</t>
  </si>
  <si>
    <t>PRESTAMO</t>
  </si>
  <si>
    <t>MULTAS E INT. POR MORA</t>
  </si>
  <si>
    <t>INGRESOS FINANCIEROS Y OTROS</t>
  </si>
  <si>
    <t>DERECHOS</t>
  </si>
  <si>
    <t>FIESTAS</t>
  </si>
  <si>
    <t>TASAS Y DERECHOS</t>
  </si>
  <si>
    <t>IMPUESTOS MUNICIPALES</t>
  </si>
  <si>
    <t>IMPUESTOS</t>
  </si>
  <si>
    <t>FONDO MUNICIPAL</t>
  </si>
  <si>
    <t>04</t>
  </si>
  <si>
    <t>03</t>
  </si>
  <si>
    <t>02</t>
  </si>
  <si>
    <t>01</t>
  </si>
  <si>
    <t>05</t>
  </si>
  <si>
    <t>PAVIMENTACION</t>
  </si>
  <si>
    <t>ALUMBRADO PUBLICO</t>
  </si>
  <si>
    <t>UACI</t>
  </si>
  <si>
    <t>CONTABILIDAD</t>
  </si>
  <si>
    <t>TESORERIA</t>
  </si>
  <si>
    <t>AUDITORIA INTERNA</t>
  </si>
  <si>
    <t>SECRETARIA MUNICIPAL</t>
  </si>
  <si>
    <t>ALCALDE MUNICIPAL</t>
  </si>
  <si>
    <t>CONCEJO MUNICIPAL</t>
  </si>
  <si>
    <t>DIRECCION SUPERIOR</t>
  </si>
  <si>
    <t>Llantas y Neumaticos</t>
  </si>
  <si>
    <t>Serivicios de lavanderia</t>
  </si>
  <si>
    <t>DIRECCION Y ADMINISTRACION MUNICIPAL</t>
  </si>
  <si>
    <t>AREA DE GESTION Nº 1. CONDUCCION ADMINISTRATIVA.</t>
  </si>
  <si>
    <t>REGIDORES PROPIETARIOS Y SUPLENTES</t>
  </si>
  <si>
    <t>INVERSION E INFRAESTRUCTURA SOCIAL</t>
  </si>
  <si>
    <t>DEUDA PUBLICA</t>
  </si>
  <si>
    <t>AREA DE GESTION Nº 5 EN DEUDAMIENTO PUBLICO</t>
  </si>
  <si>
    <t>SERVICIOS MUNICIPALES DIVERSOS</t>
  </si>
  <si>
    <t>EN DÓLARES DE LOS ESTADOS UNIDOS DE AMERICA</t>
  </si>
  <si>
    <t>10. PRESUPUESTO INSTITUCIONAL DE INGRESOS</t>
  </si>
  <si>
    <t>GASTOS DE CAPITAL</t>
  </si>
  <si>
    <t>COMURES</t>
  </si>
  <si>
    <t>AMORTIZACIÓN DEL ENDEUDAMIENTO PUBLICO</t>
  </si>
  <si>
    <t>(7) PRIORIDADES EN LA  ASIGNACION DE RECURSOS.</t>
  </si>
  <si>
    <t>3.- PRESTAR TODOS LOS SERVICIOS BASICOS A LA COMUNIDAD Y SOLUCIONAR LOS PROBLEMAS PRIMORDIALES</t>
  </si>
  <si>
    <t>(7) PRIORIDADES EN EL ASIGNACION DE RECURSOS.</t>
  </si>
  <si>
    <t>Bienes Muebles Diversos</t>
  </si>
  <si>
    <t>TOTAL 25%</t>
  </si>
  <si>
    <t>A TRAVES DE UNA GESTION TRANSPARENTE  Y PRESTACION DE SERVICIOS  MUNICIPALES EFICIENTES, LOGRAR EL DESARROLLO SOCIOECONOMICO DE CIUDAD BARRIOS</t>
  </si>
  <si>
    <t>2.- MEJORAR LA ATENCION A LA COMUNIDAD EN CUANTO A  CONTROL  Y ASISTENCIA TRIBUTARIA, ASI COMO EN LA  EXPEDICION DE DOCUMENTOS.</t>
  </si>
  <si>
    <t>CUMPLIR CON LOS COMPROMISOS CREDITICIOS PREVIAMENTE ADQUIRIDOS CON INSTITUCIONES FINANCIERAS, CON EL FIN DE MANTENER LA SOLVENCIA Y LIQUIDEZ,</t>
  </si>
  <si>
    <t>EFICIENTE ADMINISTRACION,  A TRAVES DE UN SEGUIMIENTO EFECTIVO DE  CONTROLES INTERNOS</t>
  </si>
  <si>
    <t xml:space="preserve"> Y  REGISTROS CONTABLES ADECUADOS.</t>
  </si>
  <si>
    <t>UTILIZAR  CON TRANSPARENCIA LOS RECURSOS DE LA COMUNIDAD, POR MEDIO DE UNA</t>
  </si>
  <si>
    <t>co, economico y social que permita  analizar,  utilizando  un perfil</t>
  </si>
  <si>
    <t xml:space="preserve">tales como: proyectos de agua potable,  construcciones de mercados, </t>
  </si>
  <si>
    <t>canchas, centros educativos, mejoramiento de  turicentros y otros;</t>
  </si>
  <si>
    <t>Infraestructuras</t>
  </si>
  <si>
    <t>Transferencias ctes. Al sector publico</t>
  </si>
  <si>
    <t>Transferencias Ctes. al Sector Privado.</t>
  </si>
  <si>
    <t>Remuneraciones Extraordinarias</t>
  </si>
  <si>
    <t>LUZ DEL CARMEN GOMEZ ESC.</t>
  </si>
  <si>
    <t>JEFE DE REF</t>
  </si>
  <si>
    <t>MARIA CATALINA ARGUETA OCHOA</t>
  </si>
  <si>
    <t>JEFE CATASTRO</t>
  </si>
  <si>
    <t>POLICIA MPAL</t>
  </si>
  <si>
    <t xml:space="preserve">JOSE ALCIDES CHICAS </t>
  </si>
  <si>
    <t>ENC.CTAS.CTES.</t>
  </si>
  <si>
    <t>Indemnizaciones</t>
  </si>
  <si>
    <t>Al personal de servicios eventuales</t>
  </si>
  <si>
    <t>Productos agropecuarios y forestales</t>
  </si>
  <si>
    <t>productos de cuero y caucho</t>
  </si>
  <si>
    <t>Materiales de Oficina</t>
  </si>
  <si>
    <t>Bienes de uso y consumo Diversos</t>
  </si>
  <si>
    <t>RUBRO</t>
  </si>
  <si>
    <t xml:space="preserve">CUENTA </t>
  </si>
  <si>
    <t>ELECTRICISTA</t>
  </si>
  <si>
    <t>Cuentas por pagar de años anteriores</t>
  </si>
  <si>
    <t>Transferencias corrientes al Sector publico</t>
  </si>
  <si>
    <t>SEG. SOCIAL PUBLICA</t>
  </si>
  <si>
    <t>SEG. SO. PRIVADA</t>
  </si>
  <si>
    <t>DIETAS</t>
  </si>
  <si>
    <t>1% INSAFORP</t>
  </si>
  <si>
    <t>INPEP 7%</t>
  </si>
  <si>
    <t>PARQUES</t>
  </si>
  <si>
    <t>( 4 ) CONCEPTO DE INGRESOS</t>
  </si>
  <si>
    <t>IMPUETOS</t>
  </si>
  <si>
    <t>DE COMERCIO</t>
  </si>
  <si>
    <t>DE INDUSTRIA</t>
  </si>
  <si>
    <t>TASAS .</t>
  </si>
  <si>
    <t>ASEO PUBLICO</t>
  </si>
  <si>
    <t>MERCADOS</t>
  </si>
  <si>
    <t>RASTRO Y TIANGUE</t>
  </si>
  <si>
    <t>CEMENTERIOS MUNICIPALES</t>
  </si>
  <si>
    <t>TRANSFERENCIAS CORRIENTES</t>
  </si>
  <si>
    <t>TRANS. CORRIENTES DEL SECT. PUB.</t>
  </si>
  <si>
    <t>TRANSFERENCIAS DE CAPITAL</t>
  </si>
  <si>
    <t>SALDOS DE AÑOS ANTERIORES</t>
  </si>
  <si>
    <t>SALDOS INICIALES EN CAJA Y BANCO</t>
  </si>
  <si>
    <t>SALDO INICIAL EN BANCOS</t>
  </si>
  <si>
    <t xml:space="preserve">(5) INGRESOS </t>
  </si>
  <si>
    <t>(AÑO PASADO)</t>
  </si>
  <si>
    <t>(6) INGRESOS</t>
  </si>
  <si>
    <t>(AÑO ACTUAL)</t>
  </si>
  <si>
    <t xml:space="preserve">REALES </t>
  </si>
  <si>
    <t>AÑO (N-1)</t>
  </si>
  <si>
    <t>PRESUPUESTO</t>
  </si>
  <si>
    <t>VOTADO</t>
  </si>
  <si>
    <t>( FF2)</t>
  </si>
  <si>
    <t>( 8=7-&amp;)</t>
  </si>
  <si>
    <t>OTRAS MULTAS MUNICIPALES</t>
  </si>
  <si>
    <t>PERMISOS Y LICENCIAS MUNICIPALES</t>
  </si>
  <si>
    <t>COTEJO DE FIERRO</t>
  </si>
  <si>
    <t>Aguas Negras</t>
  </si>
  <si>
    <t>VALLAS PUBLICITARIAS</t>
  </si>
  <si>
    <t>TRANSPORTE</t>
  </si>
  <si>
    <t>OTROS INGRESOS NO CLASIFICADOS</t>
  </si>
  <si>
    <t>RENTABILIDAD DE CUENTAS BANCARIAS</t>
  </si>
  <si>
    <t>TOTAL RUBRO DE AGRUPACION</t>
  </si>
  <si>
    <t>TOTAL CUENTA PRSUPUESTARIA</t>
  </si>
  <si>
    <t>TOTAL OBJETO ESPECIFICO</t>
  </si>
  <si>
    <t xml:space="preserve">                                                                               </t>
  </si>
  <si>
    <t>5.- VARIACION DE GASTOS POR UNIDAD PRESUPUESTARIA, LINEA DE TRABAJO, RUBRO, CUENTA Y OBJETO ESPECIFICO</t>
  </si>
  <si>
    <t>EN DÓLARES  DE LOS ESTADOS UNIDOS DE AMERICA</t>
  </si>
  <si>
    <t>( 3 ) AREA DE GESTION : 1 CONDUCCION ADMINISTRATIVA</t>
  </si>
  <si>
    <t>(4) UNIDAD PRESUPUESTARIA</t>
  </si>
  <si>
    <t>LINEA DE TRABAJO, RUBRO</t>
  </si>
  <si>
    <t>CUENTA Y OBJETO ESPECIFICO</t>
  </si>
  <si>
    <t>REMUNERACIONES</t>
  </si>
  <si>
    <t>REMUNERACIONES PERMANENTES</t>
  </si>
  <si>
    <t>CONTRIB. PATRONALES A INST.SEG.SOC.PUB.</t>
  </si>
  <si>
    <t>Por Remuneraciones Permanentes</t>
  </si>
  <si>
    <t>REMUNERACIONES EVENTUALES</t>
  </si>
  <si>
    <t>CONTRIB. PATRONALES A INST.SEG.SOC.PRIV.</t>
  </si>
  <si>
    <t>REMUNERACIONES DIVERSAS</t>
  </si>
  <si>
    <t>ADQUISICIONES DE BIENES USO</t>
  </si>
  <si>
    <t>BIENES DE USO Y CONSUMO</t>
  </si>
  <si>
    <t>Productos Textiles y Vestuarios</t>
  </si>
  <si>
    <t>Productos de Papel y Carton</t>
  </si>
  <si>
    <t>Combustibles y Lubricantes</t>
  </si>
  <si>
    <t>SERVICIOS BASICOS</t>
  </si>
  <si>
    <t>PASAJES Y VIÁTICOS</t>
  </si>
  <si>
    <t>GASTOS FINANCIEROS Y OTROS</t>
  </si>
  <si>
    <t>GARANTIZAR LA EFICACIA Y EFICIENCIA EN LA ADMINISTRACION DE LOS RECURSOS HUMANOS Y MATERIALES PARA OFRECER UN SERVICIO EFECTIVO A LA POBLACION DE CIUDAD BARRIOS.</t>
  </si>
  <si>
    <t>1-PROVEER INFORMACION FINANCIERA Y PRESUPUESTARIA, OPORTUNA Y CONFIABLE</t>
  </si>
  <si>
    <t xml:space="preserve">(5) INGR </t>
  </si>
  <si>
    <t xml:space="preserve">PROYECTAR LA AMORTIZACION DE CAPITAL E INTERESES DE LA DEUDA CONTRAIDA PARA CONTAR CON LA SOLVENCIA NECESARIA QUE PERMITA EN EL FUTURO LA OBTENCION DE NUEVOS EMPRESTITOS INTERNOS Y EXTERNOS PARA LA CONSECUCION DE OBRAS DE ALTO NIVEL DE INVERSION.   </t>
  </si>
  <si>
    <t>Atenciones Oficiales</t>
  </si>
  <si>
    <t>INVERSIONES EN ACTIVOS FIJOS</t>
  </si>
  <si>
    <t>(7) SOLICITADO</t>
  </si>
  <si>
    <t>(FF1)</t>
  </si>
  <si>
    <t>Municipales</t>
  </si>
  <si>
    <t>(FF2)</t>
  </si>
  <si>
    <t>Total</t>
  </si>
  <si>
    <t>Solicitado</t>
  </si>
  <si>
    <t>(6=7-6)</t>
  </si>
  <si>
    <t>Variaciones</t>
  </si>
  <si>
    <t>(9) Razonamiento</t>
  </si>
  <si>
    <t>(6) Aprobado</t>
  </si>
  <si>
    <t>Fondo General</t>
  </si>
  <si>
    <t>Totales</t>
  </si>
  <si>
    <t>Rubro de Agrupacion (Linea 0101)</t>
  </si>
  <si>
    <t>ALCALDIA MUNICIPAL DE CIUDAD BARRIOS   DEPARTAMENTO   DE   SAN MIGUEL</t>
  </si>
  <si>
    <t>Cuenta Presupuestaria (Linea 0101</t>
  </si>
  <si>
    <t>Objeto Especifico         (Linea 0101)</t>
  </si>
  <si>
    <t>02 SERVICIOS MUNICIPALES</t>
  </si>
  <si>
    <t>01 DIRECCION Y ADMINISTRACION MUNICIPAL</t>
  </si>
  <si>
    <t>0101 DIRECCION SUPERIOR</t>
  </si>
  <si>
    <t xml:space="preserve">Rubro de Agrupacion </t>
  </si>
  <si>
    <t xml:space="preserve">Cuenta Presupuestaria </t>
  </si>
  <si>
    <t xml:space="preserve">Objeto Especifico         </t>
  </si>
  <si>
    <t>(7) INGRESOS</t>
  </si>
  <si>
    <t>ESTIMADOS</t>
  </si>
  <si>
    <t>(PRESOLICITADO)</t>
  </si>
  <si>
    <t>1- RESUMEN INSTITUCIONAL</t>
  </si>
  <si>
    <t>En dólares de los Estados Unidos de América</t>
  </si>
  <si>
    <t>(3) AREA DE GESTION: 1 Conducción administrativa</t>
  </si>
  <si>
    <t>(5) POLITICA GENERAL INSTITUCIONAL:</t>
  </si>
  <si>
    <t>(6) OBEJTIVO GENERAL INSTITUCIONAL:</t>
  </si>
  <si>
    <t>(7) PRIORIDADES EN EL ASIGNACION DE RECUSOS.</t>
  </si>
  <si>
    <t>(8) MONTO ASIGNADO EN LA POLITICA PRESUPUESTARIA:</t>
  </si>
  <si>
    <t>(9) DISTRIBUCION DE RECURSOS POR UNIDAD PRESUPUESTARIA</t>
  </si>
  <si>
    <t>TOTALES</t>
  </si>
  <si>
    <t>(10) TOTALES</t>
  </si>
  <si>
    <t>2. DETALLE INSTITUCIONAL POR UNIDAD PRESUPUESTARIA</t>
  </si>
  <si>
    <t>(6) OBJETIVO GENERAL DE LA UNIDAD PRESUPUESTARIA</t>
  </si>
  <si>
    <t>(8) PROPOSITO</t>
  </si>
  <si>
    <t>(11) MONTO</t>
  </si>
  <si>
    <t>(4) UNIDAD PRESUPUESTARIA/LINEAS DE TRABAJO</t>
  </si>
  <si>
    <t>(5) FUENTES DE FINANCIAMIENTO</t>
  </si>
  <si>
    <t>(6) TOTAL</t>
  </si>
  <si>
    <t>FONDO GENERAL</t>
  </si>
  <si>
    <t>RECURSOS PROPIOS</t>
  </si>
  <si>
    <t>PRESTAMOS EXTERNOS</t>
  </si>
  <si>
    <t>PRESTAMOS INTERNOS</t>
  </si>
  <si>
    <t>DONACIONAES</t>
  </si>
  <si>
    <t>(5) CLASIFICACION ECONOMICA</t>
  </si>
  <si>
    <t>(8) TOTAL</t>
  </si>
  <si>
    <t>(6) FUENTE         DE FINANCIMIENTO</t>
  </si>
  <si>
    <t>Impresiones,publicaciones</t>
  </si>
  <si>
    <t>Remuneraciones  por servicios especiales</t>
  </si>
  <si>
    <t>(8) FUENTE DE FINANCIAMIENTO</t>
  </si>
  <si>
    <t>TOTAL</t>
  </si>
  <si>
    <t>12. INFORMACION SOBRE PRESTAMOS EXTERNOS, INTERNOS Y DONACIONES</t>
  </si>
  <si>
    <t>(6) NUEVO</t>
  </si>
  <si>
    <t>(7) AÑOS ANTERIORES</t>
  </si>
  <si>
    <t>(8) ORGANISMO</t>
  </si>
  <si>
    <t>(9) NUMERO DE CONVENIO</t>
  </si>
  <si>
    <t>(10) NUMERO Y FECHA DE DECRETO</t>
  </si>
  <si>
    <t>(11) MONTO TOTAL</t>
  </si>
  <si>
    <t>(14) SOLICITUD PRELIMINAR</t>
  </si>
  <si>
    <t>(15) PENDIENTE</t>
  </si>
  <si>
    <t xml:space="preserve">TOTALES: </t>
  </si>
  <si>
    <t>13. TRANSFERENCIAS CORRIENTES (SUBVENCIONES Y SUBSIDIOS) Y DE CAPITAL</t>
  </si>
  <si>
    <t>(5) NOMBRE DE LA INSTITUCION A LA QUE SE DESTIANA LA TRANSFERENCIA</t>
  </si>
  <si>
    <t>(6) OBJETIVOS DE LAS TRANSFERENCIAS (PROPOSITOS)</t>
  </si>
  <si>
    <t>(7) PRESUPUESTO VOTADO</t>
  </si>
  <si>
    <t>(8) ESTIMADO</t>
  </si>
  <si>
    <t>(10) RAZONAMIENTO DE LA VARIACION</t>
  </si>
  <si>
    <t>lt0101</t>
  </si>
  <si>
    <t>lt0102</t>
  </si>
  <si>
    <t>lt0201</t>
  </si>
  <si>
    <t>ENC.CEMENTERIOS</t>
  </si>
  <si>
    <t>(4) UNIDD PRESUPUESTARIA/            LINEA DE TRABAJO</t>
  </si>
  <si>
    <t>(12) EXPLICACION DE LA VARIACION</t>
  </si>
  <si>
    <t>(12)           EXPLICACION DE LA VARIACION</t>
  </si>
  <si>
    <t>Materiales Informaticos</t>
  </si>
  <si>
    <t>Especies Municipales</t>
  </si>
  <si>
    <t>DECRETA:</t>
  </si>
  <si>
    <t>(12)CARGO Alcalde Municipal</t>
  </si>
  <si>
    <t>(13) Firma.______________________________________</t>
  </si>
  <si>
    <t>Viáticos por Comisiones Internas</t>
  </si>
  <si>
    <t>(4) UNIDAD PRESUPUESTARIA 01 DIRECCION Y ADMINISTRACION MUNICIPAL</t>
  </si>
  <si>
    <t>(4) UNIDAD PRESUPUESTARIA 02 SERVICIOS MUNICIPALES</t>
  </si>
  <si>
    <t>4. GASTOS POR UNIDAD PRESUPUESTARIA, LINEA DE TRABAJO Y RUBRO DE AGRUPACION</t>
  </si>
  <si>
    <t>ALBAÑIL</t>
  </si>
  <si>
    <t>(3) AREA DE GESTION: 3 DESARROLLO SOCIAL</t>
  </si>
  <si>
    <t>(1) INSTITUCION:9202 ALCALDIA MUNICIPAL DE CIUDAD BARRIOS</t>
  </si>
  <si>
    <t>Auditor Interno</t>
  </si>
  <si>
    <t>(4) UNIDAD PRESUPUESTARIA 05 AMORTIZACION DE CAPITAL E INTERESES DE PRESTAMO</t>
  </si>
  <si>
    <t>Transferencias corientes al s.Público</t>
  </si>
  <si>
    <t>(11) VARIACION</t>
  </si>
  <si>
    <t>UNIDAD PRESUP./LIN DE TRAB.</t>
  </si>
  <si>
    <t>FONDO MPAL</t>
  </si>
  <si>
    <t>vienen……………………………………………………</t>
  </si>
  <si>
    <t>RASTRO MUNICIPAL</t>
  </si>
  <si>
    <t>ESTIMADO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</si>
  <si>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</si>
  <si>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</si>
  <si>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</si>
  <si>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</si>
  <si>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</si>
  <si>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</si>
  <si>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</si>
  <si>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</si>
  <si>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</si>
  <si>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</si>
  <si>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</si>
  <si>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</si>
  <si>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</si>
  <si>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 FONDO MUNICIPAL</t>
  </si>
  <si>
    <t>SALDOS INICIALES</t>
  </si>
  <si>
    <t>PLANILLA ENERO (25%)</t>
  </si>
  <si>
    <t>SALDOS FINALES</t>
  </si>
  <si>
    <t>SUPERAVIT O DEFICIT FINANCIERO ACUMULADO</t>
  </si>
  <si>
    <t>DEFICIT FINANCIERO MENSUAL</t>
  </si>
  <si>
    <t>SEPT</t>
  </si>
  <si>
    <t>NOVIEMB</t>
  </si>
  <si>
    <t>DICIEMB</t>
  </si>
  <si>
    <t>ENCARGADO DE RASTRO MPAL.</t>
  </si>
  <si>
    <t>CEMENTERIOS</t>
  </si>
  <si>
    <t>ENCARGADO DE CEMENTERIOS</t>
  </si>
  <si>
    <t>09</t>
  </si>
  <si>
    <t>10</t>
  </si>
  <si>
    <t>GUARDAPARQUE Y JARDINERO</t>
  </si>
  <si>
    <t>FONTANERO, ENCARGADO DE VALVULAS Y TANQUES</t>
  </si>
  <si>
    <t>SRIO. MUNICIPAL</t>
  </si>
  <si>
    <t>Gastos de Representacion Externos</t>
  </si>
  <si>
    <t>BIENES DE USO Y CONSUMO DIVERSOS</t>
  </si>
  <si>
    <t>De instituciones descentralizadas no empresa</t>
  </si>
  <si>
    <t>Comisiones y gastos bancarios</t>
  </si>
  <si>
    <t>A organismos sin fines de lucro</t>
  </si>
  <si>
    <t>proyectos de infraestructura diversos</t>
  </si>
  <si>
    <t>proyectos de salud y saneamiento ambiental</t>
  </si>
  <si>
    <t>proyectos de educación</t>
  </si>
  <si>
    <t>de vivienda y oficina</t>
  </si>
  <si>
    <t xml:space="preserve"> proyectos de energía eléctrica</t>
  </si>
  <si>
    <t>proyectos diversos</t>
  </si>
  <si>
    <t>TOTALES POR LINEAS DE TRABAJO</t>
  </si>
  <si>
    <t>TOTALES POR FUENTES DE FINANCIAMIENTO</t>
  </si>
  <si>
    <t>CONSULTORIAS, ESTUDIOS E INVESTIGAC.</t>
  </si>
  <si>
    <t>Servicios de Capacitacion</t>
  </si>
  <si>
    <t>Minerales metalicos y prod. Derivados</t>
  </si>
  <si>
    <t>Materiales  informaticos</t>
  </si>
  <si>
    <t>Herramientas, Repuestos y accesorios</t>
  </si>
  <si>
    <t>Servicio de agua</t>
  </si>
  <si>
    <t>SERVICIOS GENERALES Y ARRENDAMIENTOS DIVERSOS</t>
  </si>
  <si>
    <t>Mantenimiento y Rep. De bienes muebles</t>
  </si>
  <si>
    <t>Servicio de Alimentacion</t>
  </si>
  <si>
    <t>Impresiones, publicaciones y reproducciones</t>
  </si>
  <si>
    <t>Servicios generales diversos</t>
  </si>
  <si>
    <t>CONSULTORIAS, ESTUDIOS E INVESTIGACIONES</t>
  </si>
  <si>
    <t>Servicios Juridicos</t>
  </si>
  <si>
    <t>DAYSI ARELY CHICAS</t>
  </si>
  <si>
    <t>LUCIA ELIZABETH CEDILLOS</t>
  </si>
  <si>
    <t>SERV.SANITARIOS</t>
  </si>
  <si>
    <t>MARCELINO  ORELLANA</t>
  </si>
  <si>
    <t>MARCOS SORTO GUEVARA</t>
  </si>
  <si>
    <t>REINA MARGARITA ORELLANA</t>
  </si>
  <si>
    <t>SERVICIOS SANITARIOS</t>
  </si>
  <si>
    <t>Encargado de baños publicos pque central</t>
  </si>
  <si>
    <t>VARIOS</t>
  </si>
  <si>
    <t>Mensajero</t>
  </si>
  <si>
    <t>Otros gastos no clasificados</t>
  </si>
  <si>
    <t>Sentencias Judiciales</t>
  </si>
  <si>
    <t>De produccion de bienes y servicios</t>
  </si>
  <si>
    <t>SALDO DE AÑOS ANTERIORES</t>
  </si>
  <si>
    <t>Cuentas por pagar años Anteriores</t>
  </si>
  <si>
    <t>03 DESARROLLO SOCIAL Y ECONOMICO</t>
  </si>
  <si>
    <t>0302 INVERSION EN DES. SOCIAL</t>
  </si>
  <si>
    <t>ESTRUCTURA PRESUPUESTARIA</t>
  </si>
  <si>
    <t>UNID.</t>
  </si>
  <si>
    <t>LINEA</t>
  </si>
  <si>
    <t>AREAS DE</t>
  </si>
  <si>
    <t>PRES.</t>
  </si>
  <si>
    <t>TRAB.</t>
  </si>
  <si>
    <t>CONCEPTO</t>
  </si>
  <si>
    <t>GESTIÓN</t>
  </si>
  <si>
    <t>0101</t>
  </si>
  <si>
    <t>.Concejo</t>
  </si>
  <si>
    <t>.Auditoría Interna</t>
  </si>
  <si>
    <t>OFICIOS VARIOS</t>
  </si>
  <si>
    <t xml:space="preserve">MOTORISTA </t>
  </si>
  <si>
    <t>VIGILANTE PLANTA</t>
  </si>
  <si>
    <t>ARRENDAMIENTOS DE BIENES</t>
  </si>
  <si>
    <t>ARRENDAMIENTOS DE BIENES DIVERSOS</t>
  </si>
  <si>
    <t>INGRESOS DIVERSOS</t>
  </si>
  <si>
    <t>.Alcalde</t>
  </si>
  <si>
    <t>.Secretaría</t>
  </si>
  <si>
    <t>0102</t>
  </si>
  <si>
    <t>ADMINISTRACION FINANCIERA</t>
  </si>
  <si>
    <t>.Contabilidad</t>
  </si>
  <si>
    <t>.Tesorería</t>
  </si>
  <si>
    <t>.Uaci</t>
  </si>
  <si>
    <t>SERVICIOS MUNICIPALES</t>
  </si>
  <si>
    <t>0201</t>
  </si>
  <si>
    <t>.Registro y Control Tributario</t>
  </si>
  <si>
    <t>PRESUPUESTO MUNICIPAL POR AREAS DE GESTION</t>
  </si>
  <si>
    <t>PRESUPUESTO DE INGRESOS</t>
  </si>
  <si>
    <t>CLASIFICACION POR RUBRO DE INGRESO</t>
  </si>
  <si>
    <t>PRESUPUESTO DE EGRESOS</t>
  </si>
  <si>
    <t>CLASIFICACION POR RUBRO DE EGRESO</t>
  </si>
  <si>
    <t>ADQUISICION DE BIENES Y SERVICIOS</t>
  </si>
  <si>
    <t>AMORTIZACION DE ENDEUDA.PUBLICO</t>
  </si>
  <si>
    <t>.Servicios Municipales Diversos</t>
  </si>
  <si>
    <t>.Registro del Estado Familiar</t>
  </si>
  <si>
    <t>Primas y gastos por seguro de bienes</t>
  </si>
  <si>
    <t>Primas y gastos por seguros de bienes</t>
  </si>
  <si>
    <t>INVERSION E INSFRAESTRUCTURA SOCIAL</t>
  </si>
  <si>
    <t>PRE-INVERSION</t>
  </si>
  <si>
    <t>AG3 - DESARROLLO SOCIAL</t>
  </si>
  <si>
    <t>PROYECTOS DE DESARROLLO SOCIAL</t>
  </si>
  <si>
    <t>INVERSION E INSFRAESTRUCTURA ECONOMICA</t>
  </si>
  <si>
    <t>0401</t>
  </si>
  <si>
    <t>PROYECTO DE DESARROLLO ECONOMICO</t>
  </si>
  <si>
    <t>PROMOVER EL DESARROLLO LOCAL SOSTENIBLE POR MEDIO DE  LA REALIZACION DE PROYECTOS DIVERSOS  ENCAMINADOS A GENERAR  FUENTES DE EMPLEO Y MEJORAR LAS CONDICIONES DE VIDA DE LOS HABITANTES</t>
  </si>
  <si>
    <t xml:space="preserve"> REALIZAR PROYECTOS DE INFRAESTRUCTURA DIVERSOS Y A LA VEZ DAR EL MANTENIMIENTO ADECUADO  A LOS MISMOS</t>
  </si>
  <si>
    <t>AG4 - APOYO AL DESARR.ECONOMIC.</t>
  </si>
  <si>
    <t>FINANCIAMIENTO MUNICIPAL</t>
  </si>
  <si>
    <t>0501</t>
  </si>
  <si>
    <t>AG5 - DEUDA PUBLICA</t>
  </si>
  <si>
    <t>CLASIFICACIONES ECONOMICAS DE GASTO</t>
  </si>
  <si>
    <t>FUENTES DE FINANCIAMIENTO</t>
  </si>
  <si>
    <t>21</t>
  </si>
  <si>
    <t>GASTOS CORRIENTES</t>
  </si>
  <si>
    <t>1  FONDO GENERAL</t>
  </si>
  <si>
    <t>22</t>
  </si>
  <si>
    <t>2  FONDOS PROPIOS</t>
  </si>
  <si>
    <t>23</t>
  </si>
  <si>
    <t>APLICACIONES FINANCIERAS</t>
  </si>
  <si>
    <t>4 PRESTAMOS INTERNOS</t>
  </si>
  <si>
    <t>5 DONACIONES</t>
  </si>
  <si>
    <t>ALCALDIA MUNICIPAL DE CIUDAD BARRIOS</t>
  </si>
  <si>
    <t>AG1 - CONDUCC.ADMINISTRATIVA</t>
  </si>
  <si>
    <t>ALCALDIA MUNICIPAL DE CIUDAD BARRIOS  DEPARTAMENTO  DE SAN MIGUEL</t>
  </si>
  <si>
    <t>EN DOLARES DE LOS ESTADOS UNIDOS DE AMERICA</t>
  </si>
  <si>
    <t xml:space="preserve">COD. </t>
  </si>
  <si>
    <t>SUBTOTAL</t>
  </si>
  <si>
    <t>SINDICO</t>
  </si>
  <si>
    <t>DETALLE DE PLAZA</t>
  </si>
  <si>
    <t>SUELDO MENSUAL</t>
  </si>
  <si>
    <t>SUELDO ANUAL</t>
  </si>
  <si>
    <t>Alcalde Municipal</t>
  </si>
  <si>
    <t>UNIDAD DE AUDITORIA INTERNA</t>
  </si>
  <si>
    <t>Recepcionista</t>
  </si>
  <si>
    <t>DEPARTAMENTO DE TESORERIA</t>
  </si>
  <si>
    <t xml:space="preserve">Cajera </t>
  </si>
  <si>
    <t>DEPARTAMENTO DE CONTABILIDAD</t>
  </si>
  <si>
    <t>Contador</t>
  </si>
  <si>
    <t>Auxiliar de Contabilidad</t>
  </si>
  <si>
    <t>DEPTO. DE ADMON.TRIBUTARIA MPAL.</t>
  </si>
  <si>
    <t xml:space="preserve">REGISTRO DEL ESTADO FAMILIAR  </t>
  </si>
  <si>
    <t>Jefe del Registro Familiar</t>
  </si>
  <si>
    <t xml:space="preserve">Auxiliar Registro Familiar </t>
  </si>
  <si>
    <t>SERVICIO DE AGUA</t>
  </si>
  <si>
    <t>Fontanero</t>
  </si>
  <si>
    <t xml:space="preserve">             TOTALES</t>
  </si>
  <si>
    <t>UNIDAD DE ADQUISICIONES Y CONTRATACIONES INSTITUCIONALES</t>
  </si>
  <si>
    <t>Jefe de la UACI</t>
  </si>
  <si>
    <t>Secretaria de la UACI</t>
  </si>
  <si>
    <t>SERVICIO SOCIAL</t>
  </si>
  <si>
    <t>Jardinero</t>
  </si>
  <si>
    <t>SERVICIOS VARIOS</t>
  </si>
  <si>
    <t xml:space="preserve">UNIDAD AMBIENTAL </t>
  </si>
  <si>
    <t>Contrib. Patron. Ins. De seg. Soc priv.</t>
  </si>
  <si>
    <t>FONDOS PROPIOS</t>
  </si>
  <si>
    <t>TOTAL DE REMUNERACIONES</t>
  </si>
  <si>
    <t>NO.</t>
  </si>
  <si>
    <t>CARGO</t>
  </si>
  <si>
    <t>SUELDO</t>
  </si>
  <si>
    <t>PRESTACIONES</t>
  </si>
  <si>
    <t>APORTES POR CONTRIBUCIONES PATRONALES</t>
  </si>
  <si>
    <t xml:space="preserve">TOTAL </t>
  </si>
  <si>
    <t>MENSUAL</t>
  </si>
  <si>
    <t>ANUAL</t>
  </si>
  <si>
    <t>AGUINALDO</t>
  </si>
  <si>
    <t>AFP,S = 6.75%</t>
  </si>
  <si>
    <t>ISSS=7.5%</t>
  </si>
  <si>
    <t>IPSFA=6%</t>
  </si>
  <si>
    <t>INSAFORP</t>
  </si>
  <si>
    <t>AÑO</t>
  </si>
  <si>
    <t>Productos Farmaceuticos y medicinales</t>
  </si>
  <si>
    <t>Servicio de Correo</t>
  </si>
  <si>
    <t>SERV. GENERALES Y ARRENDAM.DIVERSOS</t>
  </si>
  <si>
    <t>Mantto y Rep de bienes muebles</t>
  </si>
  <si>
    <t>Mantto y Rep de vehiculos</t>
  </si>
  <si>
    <t>Mantto y Rep. De bienes inmuebles</t>
  </si>
  <si>
    <t>Servicios Educativos</t>
  </si>
  <si>
    <t>Servicios Generales y Arrendamientos diversos</t>
  </si>
  <si>
    <t>Servicios pasajes al exterior</t>
  </si>
  <si>
    <t>Viaticos por comisiones externas</t>
  </si>
  <si>
    <t>BAÑOS PUBLICOS</t>
  </si>
  <si>
    <t>CAJERA</t>
  </si>
  <si>
    <t>CONTADOR</t>
  </si>
  <si>
    <t>LUIS ALONSO RIVERA PEREZ</t>
  </si>
  <si>
    <t>PASCUAL MAURICIO MARTINEZ G.</t>
  </si>
  <si>
    <t xml:space="preserve">JOSE APOLINARIO LARA </t>
  </si>
  <si>
    <t>ORDENANZA</t>
  </si>
  <si>
    <t>JOSE NEFTALI ARGUETA</t>
  </si>
  <si>
    <t>ADAN AMAYA FUENTES</t>
  </si>
  <si>
    <t>FONTANERO</t>
  </si>
  <si>
    <t>ELMER ANTONIO HERNANDEZ</t>
  </si>
  <si>
    <t>JARDINERO</t>
  </si>
  <si>
    <t>(3) AREA DE GESTION: 05 ENDEUDAMIENTO PUBLICO</t>
  </si>
  <si>
    <t>REGIMEN PAGO</t>
  </si>
  <si>
    <t>CONTRATO</t>
  </si>
  <si>
    <t>PERMANENTE</t>
  </si>
  <si>
    <t>TOTAL  PLAZAS</t>
  </si>
  <si>
    <t>Auxiliar del DATMU (Catastro inmuebles y empresas)</t>
  </si>
  <si>
    <t>Auxiliar del DATMU (Cuentas Corrientes y cobros)</t>
  </si>
  <si>
    <t>Auxiliar del DATMU (Recuperacion de mora)</t>
  </si>
  <si>
    <t>Encargado Tanques agua potable</t>
  </si>
  <si>
    <t>Limpieza de calles</t>
  </si>
  <si>
    <t>CONTADOR Y AUXILIARES</t>
  </si>
  <si>
    <t>JEFE, SECRETARIA Y AUXILIAR DE LA UACI</t>
  </si>
  <si>
    <t>JEFE Y AUXILIARES DE REGISTRO FAMILIAR</t>
  </si>
  <si>
    <t>DEPTO DE ADMON TRIBUTARIA MPAL</t>
  </si>
  <si>
    <t>JEFE Y AUXILIARES</t>
  </si>
  <si>
    <t>ORDENANZAS,  ELECTRICISTA, BODEGUERO, RECEPCION</t>
  </si>
  <si>
    <t>NIVEL DE DIRECCION</t>
  </si>
  <si>
    <t>NANCY CRISTINA MEMBREÑO</t>
  </si>
  <si>
    <t xml:space="preserve">GERMAN MAURICIO ARGUETA </t>
  </si>
  <si>
    <t>JOSE ABEL JOYA RODRIGUEZ</t>
  </si>
  <si>
    <t>L T</t>
  </si>
  <si>
    <t>Ordenanza</t>
  </si>
  <si>
    <t>( 3 ) AREA DE GESTION : 03 DESARROLLO SOCIAL y ECONOMICO</t>
  </si>
  <si>
    <t>Servicios Viaticos al Interior</t>
  </si>
  <si>
    <t>libros, textos, utiles de enseñanza y publicaciones</t>
  </si>
  <si>
    <t>Productos Quimicos</t>
  </si>
  <si>
    <t>Minerales no metalicos y productos derivados</t>
  </si>
  <si>
    <t>Minerales  metalicos y productos derivados</t>
  </si>
  <si>
    <t>Productos alimenticios para personas</t>
  </si>
  <si>
    <t>Libros, textos, utiles de enseñanza y publicaciones</t>
  </si>
  <si>
    <t>Servicios de alimentacion</t>
  </si>
  <si>
    <t>Arrendamiento de bienes muebles</t>
  </si>
  <si>
    <t>Arrendamiento de bienes inmuebles</t>
  </si>
  <si>
    <t>Seguros, Comisiones y gastos bancarios</t>
  </si>
  <si>
    <t>SERVICIOS GENERALES</t>
  </si>
  <si>
    <t>subtotal  Pasa……</t>
  </si>
  <si>
    <t>SERVICIO DE AGUA Y ALCANTARILLADOS</t>
  </si>
  <si>
    <t>PLANTA DE COMPOSTAJE</t>
  </si>
  <si>
    <t>Subtotal pasa….</t>
  </si>
  <si>
    <t>Motorista Administrativo</t>
  </si>
  <si>
    <t>Unidad Juridica</t>
  </si>
  <si>
    <t xml:space="preserve">             GRAN TOTAL</t>
  </si>
  <si>
    <t>JOSE YONES GUZMAN ROMERO</t>
  </si>
  <si>
    <t>ALCALDE</t>
  </si>
  <si>
    <t>JULIO ADALBERTO RIVERA</t>
  </si>
  <si>
    <t>CRISTIAN OMAR AMAYA</t>
  </si>
  <si>
    <t>LEA REBECA CHICAS SANDOVAL</t>
  </si>
  <si>
    <t>TESORERA MUNICIPAL</t>
  </si>
  <si>
    <t>SANTOS YOLANDA AYALA</t>
  </si>
  <si>
    <t>AUX.CATAS</t>
  </si>
  <si>
    <t>RECUP.MORA</t>
  </si>
  <si>
    <t>ELENA GUADALUPE ZELAYA RIVERA</t>
  </si>
  <si>
    <t>LUIS NAPOLEON DIAZ TORRES</t>
  </si>
  <si>
    <t>ROMAN MARTINEZ GUEVARA</t>
  </si>
  <si>
    <t xml:space="preserve">ERNESTO VASQUEZ REYES </t>
  </si>
  <si>
    <t>PASCUAL ORELLANA</t>
  </si>
  <si>
    <t>ENCARG. DE DEPORTE</t>
  </si>
  <si>
    <t>JOSE RICARDO FUNES PORTILLO</t>
  </si>
  <si>
    <t>OSMIN MEDRANO VASQUEZ</t>
  </si>
  <si>
    <t>EUGENIO PINEDA MARTINEZ</t>
  </si>
  <si>
    <t>RECEPCION</t>
  </si>
  <si>
    <t>AUX.PROM.SOC</t>
  </si>
  <si>
    <t>UMA</t>
  </si>
  <si>
    <t>Auxiliar de Proyeccion Social</t>
  </si>
  <si>
    <t>ADMIN.OPERATIVO</t>
  </si>
  <si>
    <t>AGUAS NEGRAS</t>
  </si>
  <si>
    <t>JOSE DE JESUS HENRIQUEZ</t>
  </si>
  <si>
    <t>MOTORISTA  ASEO</t>
  </si>
  <si>
    <t>AUX. TREN ASEO</t>
  </si>
  <si>
    <t>LIMPIEZA /CALLES</t>
  </si>
  <si>
    <t>AGR.Y GANAD</t>
  </si>
  <si>
    <t>Gastos bancarios</t>
  </si>
  <si>
    <t>Becas</t>
  </si>
  <si>
    <t>AUDITOR INTERNO</t>
  </si>
  <si>
    <t>(6) OBJETIVO GENERAL INSTITUCIONAL:</t>
  </si>
  <si>
    <t xml:space="preserve">CUMPLIR CON LOS COMPROMISOS CREDITICIOS ADQUIRIDOS </t>
  </si>
  <si>
    <t>( 1 ) INSTITUCION: ALCALDIA MUNICIPAL DE CIUDAD BARRIOS</t>
  </si>
  <si>
    <t>FINANCIEROS</t>
  </si>
  <si>
    <t>DE SERVICIOS</t>
  </si>
  <si>
    <t>VIALIDAD</t>
  </si>
  <si>
    <t>POSTES, TORRES Y ANTENAS</t>
  </si>
  <si>
    <t>TASAS DIVERSAS</t>
  </si>
  <si>
    <t>ING.POR PRESTACION DE SERVICIOS</t>
  </si>
  <si>
    <t>VENTA DE BIENES Y SERVICIOS</t>
  </si>
  <si>
    <t>MULTAS POR MORA DE IMPUESTOS</t>
  </si>
  <si>
    <t>INTERESES POR MORA DE IMPUESTOS</t>
  </si>
  <si>
    <t xml:space="preserve">(4) UNIDAD PRESUPUESTARIA 03 INVERSION E INFRAESTRUCTURA </t>
  </si>
  <si>
    <t>(3) AREA DE GESTION: 05 ENDEUDAMIENTO  PUBLICO</t>
  </si>
  <si>
    <t>RELACION DE PROPOSITOS CON RECURSOS:</t>
  </si>
  <si>
    <t>(3) AREA DE GESTION: 3 DESARROLLO ECONOMICO Y SOCIAL</t>
  </si>
  <si>
    <t>TOTAL CUENTA PRESUPUESTARIA</t>
  </si>
  <si>
    <t xml:space="preserve">( 1 ) INSTITUCION: 9202 ALCALDIA MUNICIPAL CIUDAD BARRIOS </t>
  </si>
  <si>
    <t>( 1 ) INSTITUCION:  9202 ALCALDIA MUNICIPAL DE CIUDAD BARRIOS</t>
  </si>
  <si>
    <t>TESORERO  Y CAJERA</t>
  </si>
  <si>
    <t xml:space="preserve">SERVICIOS MUNICIPALES </t>
  </si>
  <si>
    <t>REGISTRO DEL ESTADO FAMILIAR Y CIUDADANO</t>
  </si>
  <si>
    <t>POLICIA MUNICIPAL</t>
  </si>
  <si>
    <t>JEFE Y POLICIAS MUNICIPALES</t>
  </si>
  <si>
    <t>06</t>
  </si>
  <si>
    <t>FLUJO DE CAJA AÑO 2011 FONDO MUNICIPAL</t>
  </si>
  <si>
    <t>FLUJO DE CAJA AÑO 2011</t>
  </si>
  <si>
    <t>Auxiliar Tesoreria</t>
  </si>
  <si>
    <t>JAVIER MIGDONIO CASTILLO MORALES</t>
  </si>
  <si>
    <t>FISCALIZADOR</t>
  </si>
  <si>
    <t>AUXILIAR UACI</t>
  </si>
  <si>
    <t>IMELDA YANETH AVALOS GUEVARA</t>
  </si>
  <si>
    <t>AUX.TESORERIA</t>
  </si>
  <si>
    <t>ENC.RASTRO</t>
  </si>
  <si>
    <t>GENARO ANDRADE LAZO</t>
  </si>
  <si>
    <t>ALCIDES ANTONIO  MEMBREÑO VIGIL</t>
  </si>
  <si>
    <t>MOISES ALEXANDER MEDRANO RODRIGUEZ</t>
  </si>
  <si>
    <t>SEBASTIAN PORTILLO</t>
  </si>
  <si>
    <t>LT</t>
  </si>
  <si>
    <t>ILIANA ROSIBEL AGUILAR AGUILAR</t>
  </si>
  <si>
    <t>CLASIFICADOR DE DESECHOS</t>
  </si>
  <si>
    <t>ANCELMA AGUILAR VILLALOBOS</t>
  </si>
  <si>
    <t>PATRICIA ARACELY AGUILAR</t>
  </si>
  <si>
    <t xml:space="preserve">MARIA OFELIA RIVAS DIAZ </t>
  </si>
  <si>
    <t>FRANKLIN BENJAMIN FUNES ALVAREZ</t>
  </si>
  <si>
    <t>JOSE DE LA PAZ RIVAS MEMBREÑO</t>
  </si>
  <si>
    <t>NAPOLEON PORTILLO</t>
  </si>
  <si>
    <t>PEDRO HERNANDEZ FUNES</t>
  </si>
  <si>
    <t>ELIDA FREDISBINDA CENTENO PARADA</t>
  </si>
  <si>
    <t>JOSE CELSO MEDINA RIVAS</t>
  </si>
  <si>
    <t>MARIA MAGDALENA VASQUEZ DE MEDRANO</t>
  </si>
  <si>
    <t>PLANILLA NO.4 (75% FODES, PROY.PLANTA DE COMPOSTAJE)</t>
  </si>
  <si>
    <t>JOSE ROBERTO MARQUEZ RIVAS</t>
  </si>
  <si>
    <t>FM</t>
  </si>
  <si>
    <t>PLANILLA NO.2 ( FONDO MUNICIPAL)</t>
  </si>
  <si>
    <t>SUBTOTALES</t>
  </si>
  <si>
    <t>VIENEN….</t>
  </si>
  <si>
    <t>AUX.MOTONIV.</t>
  </si>
  <si>
    <t xml:space="preserve">ADMINISTRADOR DE LA PLANTA </t>
  </si>
  <si>
    <t>vienen….</t>
  </si>
  <si>
    <t>Vigilante planta de compostage</t>
  </si>
  <si>
    <t>UNIDAD DE DEPORTES</t>
  </si>
  <si>
    <t>25% FODES</t>
  </si>
  <si>
    <t>TOTAL FONDOS PROPIOS</t>
  </si>
  <si>
    <t>TOTAL 25% FODES</t>
  </si>
  <si>
    <t>TOTAL PFGL</t>
  </si>
  <si>
    <t>VACACIONES</t>
  </si>
  <si>
    <t>405.10</t>
  </si>
  <si>
    <t>Gastos diversos</t>
  </si>
  <si>
    <t>fodes ingreso</t>
  </si>
  <si>
    <t>fodes inversion</t>
  </si>
  <si>
    <t>diferencia</t>
  </si>
  <si>
    <t>remanentes</t>
  </si>
  <si>
    <t>inversion</t>
  </si>
  <si>
    <t>ingreso fisdl</t>
  </si>
  <si>
    <t>remanentes fisdl</t>
  </si>
  <si>
    <t>inversion fisdl</t>
  </si>
  <si>
    <t>Gastos Diversos</t>
  </si>
  <si>
    <t>COMPONENTES DEL CEP</t>
  </si>
  <si>
    <t>PLAZAS QUE LO COMPONEN</t>
  </si>
  <si>
    <t>FF</t>
  </si>
  <si>
    <t>UP</t>
  </si>
  <si>
    <t>UNIDAD DE AGRICULTURA Y GANADERIA</t>
  </si>
  <si>
    <t xml:space="preserve">TECNICO </t>
  </si>
  <si>
    <t>1 Y 2</t>
  </si>
  <si>
    <t>1 Y 4</t>
  </si>
  <si>
    <t>INVERSION E INFRAESTRUCTURA ECONOMICA</t>
  </si>
  <si>
    <t>PROYECTOS DE INFRAESTRUCTURA  ECONOMICA</t>
  </si>
  <si>
    <t>AREA DE GESTION Nº 4 APOYO AL DESARROLLO EN INFRAESTRUCTURA  ECONOMICA</t>
  </si>
  <si>
    <t>AREA DE GESTION Nº 3 APOYO AL DESARROLLO EN INFRAESTRUCTURA SOCIAL</t>
  </si>
  <si>
    <t>ESTRUCTURA PROGRAMATICA POR CEP</t>
  </si>
  <si>
    <t>CEP</t>
  </si>
  <si>
    <t>ESTRUCTURA</t>
  </si>
  <si>
    <t>DESCRIPCION</t>
  </si>
  <si>
    <t>1-01-01-1-110</t>
  </si>
  <si>
    <t>DIRECCION SUPERIOR FODES GASTOS DE FUNCIONAMIENTO</t>
  </si>
  <si>
    <t>1-01-01-2-000</t>
  </si>
  <si>
    <t>DIRECCION SUPERIOR FONDOS PROPIOS</t>
  </si>
  <si>
    <t>1-01-02-1-110</t>
  </si>
  <si>
    <t>ADMINISTRACION FINANCIERA Y TRIBUTARIA FODES GASTOS DE FUNCIONAMIENTO</t>
  </si>
  <si>
    <t>ADMINISTRACION FINANCIERA Y TRIBUTARIA FONDOS PROPIOS</t>
  </si>
  <si>
    <t>1-01-02-2-000</t>
  </si>
  <si>
    <t>1-02-01-1-110</t>
  </si>
  <si>
    <t>SERVICIOS MUNICIPALES DIVERSOS FODES GASTOS DE FUNCIONAMIENTO</t>
  </si>
  <si>
    <t>1-02-01-2-000</t>
  </si>
  <si>
    <t>SERVICIOS MUNICIPALES DIVERSOS FONDOS PROPIOS</t>
  </si>
  <si>
    <t>PREINVERSION FODES GASTOS DE INVERSION</t>
  </si>
  <si>
    <t>3-03-01-1-111</t>
  </si>
  <si>
    <t>3-03-01-1-112</t>
  </si>
  <si>
    <t>PREINVERSION FISDL GASTOS DE INVERSION</t>
  </si>
  <si>
    <t>3-03-02-1-111</t>
  </si>
  <si>
    <t>INVERSION EN DESARROLLO SOCIAL FODES GASTOS DE INVERSION</t>
  </si>
  <si>
    <t>3-03-02-1-112</t>
  </si>
  <si>
    <t>INVERSION EN DESARROLLO SOCIAL FISDL GASTOS DE INVERSION</t>
  </si>
  <si>
    <t xml:space="preserve"> </t>
  </si>
  <si>
    <t>3-03-02-2-000</t>
  </si>
  <si>
    <t>INVERSION EN DESARROLLO SOCIAL FONDOS PROPIOS PARA GASTOS DE INVERSION</t>
  </si>
  <si>
    <t>3-03-02-4-000</t>
  </si>
  <si>
    <t>PROYECTOS DE DESARROLLO SOCIAL FONDOS PRESTAMO PARA INVERSION</t>
  </si>
  <si>
    <t>PROYECTOS DE INFRAESTRUCTURA SOCIAL</t>
  </si>
  <si>
    <t>PROYECTOS DE INFRAESTRUCTURA ECONOMICA</t>
  </si>
  <si>
    <t>3-04-01-4-000</t>
  </si>
  <si>
    <t>PROYECTOS DE DESARROLLO ECONOMICO FONDOS PRESTAMO PARA INVERSION</t>
  </si>
  <si>
    <t>5-05-01-1-111</t>
  </si>
  <si>
    <t xml:space="preserve">AMORTIZACION DE DEUDA PUBLICA FODES </t>
  </si>
  <si>
    <t>INSTITUCIONAL DE INGRESOS</t>
  </si>
  <si>
    <t>INGRESOS INSTITUCIONALES</t>
  </si>
  <si>
    <t>4-04-01-1-111</t>
  </si>
  <si>
    <t>PROYECTOS DE DESARROLLO ECONOMICO FONDOS FODES PARA INVERSION</t>
  </si>
  <si>
    <t>LA MUNICIPALIDAD DE CIUDAD BARRIOS, DEPARTAMENTO DE SAN MIGUEL, en uso de las facultades que le confiere el numeral 7 del Art. 30 del Codigo Municipal, relacionado con los Arts. 3 numeral 2,73,74,75,76 y 77 del mismo Codigo.</t>
  </si>
  <si>
    <t>PROYECCION DE RECURSOS HUMANOS  PARA EL AÑO 2012</t>
  </si>
  <si>
    <t>DESAGREGACION DE CUENTAS PRESUPUESTO AÑO 2012</t>
  </si>
  <si>
    <t xml:space="preserve">SUYAPA DEL CARMEN ARGUETA </t>
  </si>
  <si>
    <t>JOSE ISIDRO CHAVEZ QUINTANILLA</t>
  </si>
  <si>
    <t>Auxiliar Secretaría Municipal</t>
  </si>
  <si>
    <t>CUADRO DE SALARIOS EVENTUALES  PARA EL AÑO 2012</t>
  </si>
  <si>
    <t>BARES Y RESTAURANTES</t>
  </si>
  <si>
    <t>CENTROS DE ENSEÑANZA</t>
  </si>
  <si>
    <t>ESTUDIOS FOTOGRAFICOS</t>
  </si>
  <si>
    <t>HOTELES, MOTELES Y SIMILARES</t>
  </si>
  <si>
    <t>MAQUINAS TRAGANIQUEL</t>
  </si>
  <si>
    <t>CERTIFICACION O VISADO DE DOC.</t>
  </si>
  <si>
    <t>SALDO INICIAL EN BANCOS PFGL C1</t>
  </si>
  <si>
    <t>SALDO INICIAL EN BANCOS PFGL C2</t>
  </si>
  <si>
    <t>cep 2</t>
  </si>
  <si>
    <t>cep 1</t>
  </si>
  <si>
    <t>cep 3</t>
  </si>
  <si>
    <t>cep 4</t>
  </si>
  <si>
    <t>cep 6</t>
  </si>
  <si>
    <t>cep 5</t>
  </si>
  <si>
    <t>1</t>
  </si>
  <si>
    <t>5</t>
  </si>
  <si>
    <t>CEP 9</t>
  </si>
  <si>
    <t>1-Fondo General</t>
  </si>
  <si>
    <t>1- Fondo General</t>
  </si>
  <si>
    <t>BANCOFIT</t>
  </si>
  <si>
    <t>CEP 13</t>
  </si>
  <si>
    <r>
      <t xml:space="preserve">(3) AREA DE GESTION:  </t>
    </r>
    <r>
      <rPr>
        <b/>
        <sz val="8"/>
        <rFont val="Arial"/>
        <family val="2"/>
      </rPr>
      <t xml:space="preserve">5 (CEP 13) AMORTIZACION DE CAPITAL E INTERESES DE PRESTAMOS </t>
    </r>
  </si>
  <si>
    <t>71308- Amortizacion de capital</t>
  </si>
  <si>
    <t>BANCO DE LOS TRABAJADORES SALVADOREÑOS</t>
  </si>
  <si>
    <t>CAJA DE CREDITO DE CONCEPCION BATRES</t>
  </si>
  <si>
    <t>CAJA DE CREDITO DE JUCUAPA</t>
  </si>
  <si>
    <t>CAJA DE CREDITO DE SAN FRANCISCO GOTERA</t>
  </si>
  <si>
    <t>CAJA DE CREDITO DE SAN PEDRO NONUALCO</t>
  </si>
  <si>
    <t>CAJA DE CREDITO DE SAN VICENTE</t>
  </si>
  <si>
    <t>CAJA DE CREDITO DE SANTIAGO NONUALCO</t>
  </si>
  <si>
    <t>CAJA DE CREDITO DE SOYAPANGO</t>
  </si>
  <si>
    <t>CAJA DE CREDITO DE ZACATECOLUCA</t>
  </si>
  <si>
    <t>55304 - Intereses de emprestitos internos</t>
  </si>
  <si>
    <t>71304- Amortizacion de capital</t>
  </si>
  <si>
    <t>55308 - Intereses y comisiones de emprestitos internos</t>
  </si>
  <si>
    <t>CEP 1- DIRECCION SUPERIOR</t>
  </si>
  <si>
    <t>CEP 2- DIRECCION SUPERIOR</t>
  </si>
  <si>
    <t>CEP 7</t>
  </si>
  <si>
    <t>CEP 8</t>
  </si>
  <si>
    <t>CEP 10</t>
  </si>
  <si>
    <t>PREINVERSION FODES</t>
  </si>
  <si>
    <t>PREINVERSION PFGL</t>
  </si>
  <si>
    <t>INVERSION EN DESARROLLO SOCIAL FODES</t>
  </si>
  <si>
    <t>FISDL PFGL</t>
  </si>
  <si>
    <t>AMORTIZACION DE LA DEUDA PUBLICA</t>
  </si>
  <si>
    <t>INVERSION EN DESARROLLO SOCIAL PFGL</t>
  </si>
  <si>
    <t>CEP 15</t>
  </si>
  <si>
    <t>CEP 14</t>
  </si>
  <si>
    <t>CEP 17</t>
  </si>
  <si>
    <t>PROYECTOS DE DESARROLLO SOCIAL FONDOS PRESTAMO</t>
  </si>
  <si>
    <t>PRESTAMOS</t>
  </si>
  <si>
    <t>PROYECTOS DE DESARROLLO ECONOMICO FONDOS PRESTAMO</t>
  </si>
  <si>
    <t>PROYECTOS DE DESARROLLO ECONOMICO FONDOS FODES</t>
  </si>
  <si>
    <t>Intereses de empresas publicas financieras</t>
  </si>
  <si>
    <t>Emprestitos De empresas privadas financieras</t>
  </si>
  <si>
    <t>Emprestitos De empresas publicas financieras</t>
  </si>
  <si>
    <t>proyectos de educación y recreacion</t>
  </si>
  <si>
    <t>ENDEUDAMIENTO PUBLICO</t>
  </si>
  <si>
    <t>CONTRATACION DE EMPRESTITOS INTERNOS</t>
  </si>
  <si>
    <t>DE EMPRESA PRIVADAS FINANCIERAS</t>
  </si>
  <si>
    <t>TOTAL 75% FODES</t>
  </si>
  <si>
    <t>CEP/ OBJETO ESPECIFICO</t>
  </si>
  <si>
    <t>TOTAL FONDO MPAL CEP 2,4 Y 6</t>
  </si>
  <si>
    <t>TOTAL 25% CEP 1,3 Y 5</t>
  </si>
  <si>
    <t>CEP, LT,  FF/OBJETO ESPECIFICO</t>
  </si>
  <si>
    <t>Supervision de Infraestructuras</t>
  </si>
  <si>
    <t>Transf. De Capital del Sect. Pub. 75%</t>
  </si>
  <si>
    <t>Transf. De Capital del Sect. Pub.PFGL C.1</t>
  </si>
  <si>
    <t>Transf. De Capital del Sect. Pub.PFGL C.2</t>
  </si>
  <si>
    <t>Transf. De Capital del Sect. Externo</t>
  </si>
  <si>
    <t>CEP 1- DIRECCION SUPERIOR FODES GASTOS DE FUNCIONAMIENTO</t>
  </si>
  <si>
    <t>CEP, RUBRO</t>
  </si>
  <si>
    <t>CEP 3- ADMON FINANCIERA FODES GASTOS DE FUNCIONAMIENTO</t>
  </si>
  <si>
    <t>CEP 5- SERV.MPALES DIVERSOS FODES GASTOS DE FUNCIONAMIENTO</t>
  </si>
  <si>
    <t>5.- VARIACION DE GASTOS POR CEP, FF, RUBRO, CUENTA Y OBJETO ESPECIFICO</t>
  </si>
  <si>
    <t>Servicio de Alumbrado Publico</t>
  </si>
  <si>
    <t>CEP 2- DIRECCION SUPERIOR FONDOS PROPIOS</t>
  </si>
  <si>
    <t>CEP 4- ADMON FINANCIERA FONDOS PROPIOS</t>
  </si>
  <si>
    <t>CEP 6- SERV.MPALES DIVERSOS FONDOS PROPIOS</t>
  </si>
  <si>
    <t>Mantenimiento y reparacion de vehiculos</t>
  </si>
  <si>
    <t>Servicios de Publicidad</t>
  </si>
  <si>
    <t>Servicios pasajes al Exterior</t>
  </si>
  <si>
    <t>Servicios Viaticos al Exterior</t>
  </si>
  <si>
    <t>CEP 11- INVERSION EN DESARROLLO SOCIAL FONDOS PROPIOS</t>
  </si>
  <si>
    <t>Productos de cuero y caucho</t>
  </si>
  <si>
    <t>Minerales no metalicos y prod. Derivados</t>
  </si>
  <si>
    <t>Materiales de Defensa</t>
  </si>
  <si>
    <t>CEP 7- PREINVERSION  FODES GASTOS DE INVERSION</t>
  </si>
  <si>
    <t>CEP 9- INVERSION EN DESARROLLO LOCAL FODES PARA INVERSION</t>
  </si>
  <si>
    <t>CEP 13-  AMORTIZACION DE DEUDA PUBLICA FODES</t>
  </si>
  <si>
    <t>CEP 17- PROYECTOS DE DESARROLLO ECONOMICO FODES PARA INVERSION</t>
  </si>
  <si>
    <t>TOTAL FODES 75%</t>
  </si>
  <si>
    <t>Proyectos de infraestructura diversos</t>
  </si>
  <si>
    <t>Estudios de preinversion</t>
  </si>
  <si>
    <t>Bienes Inmuebles</t>
  </si>
  <si>
    <t>llantas y neumaticos</t>
  </si>
  <si>
    <t>TRATAMIENTO DE DESECHOS</t>
  </si>
  <si>
    <t>Deposito de Desechos</t>
  </si>
  <si>
    <t>De educacion y Recreacion</t>
  </si>
  <si>
    <t>Intereses y comisiones de emprestitos internos</t>
  </si>
  <si>
    <t>De empresas publicas financieras</t>
  </si>
  <si>
    <t>AMORTIZACION DE ENDEUDAMIENTO PUBLICO</t>
  </si>
  <si>
    <t>Amortizacion de Emprestitos Internos</t>
  </si>
  <si>
    <t>De empresas publicas Financieras</t>
  </si>
  <si>
    <t>De empresas privadas Financieras</t>
  </si>
  <si>
    <t>Viales</t>
  </si>
  <si>
    <t>Obras de Infraestructura Diversas</t>
  </si>
  <si>
    <t xml:space="preserve">( 3 ) AREA DE GESTION : 3 y 5 </t>
  </si>
  <si>
    <t>( 3 ) AREA DE GESTION : 3  y 5</t>
  </si>
  <si>
    <t xml:space="preserve">( 3 ) AREA DE GESTION : 3 y 4 </t>
  </si>
  <si>
    <t>CEP 8- PREINVERSION PFGL</t>
  </si>
  <si>
    <t>CEP 10- INVERSION EN DESARROLLO LOCAL PFGL</t>
  </si>
  <si>
    <t>TOTAL FODES PFGL Y PRESTAMOS</t>
  </si>
  <si>
    <t>CEP 14- PROYECTOS DE DESARROLLO SOCIAL FONDOS PRESTAMO</t>
  </si>
  <si>
    <t>CEP 15- PROYECTOS DE DESARR. ECONOMICO  FONDOS PRESTAMO</t>
  </si>
  <si>
    <t>De salud y saneamiento ambiental</t>
  </si>
  <si>
    <t>ENDEUDAMIENTO INTERNO</t>
  </si>
  <si>
    <t>(4) CEP</t>
  </si>
  <si>
    <t>(6) FUENTE DE FINANCIAMIENTO</t>
  </si>
  <si>
    <t>CEP 3- ADMINISTRACION FINANCIERA</t>
  </si>
  <si>
    <t>CEP 5- SERVICIOS MPALES DIVERSOS</t>
  </si>
  <si>
    <t xml:space="preserve">CEP 11- INVERSION EN DESARROLLO SOCIAL </t>
  </si>
  <si>
    <t>(3) AREA DE GESTION: TODAS LAS AREAS DE GESTION</t>
  </si>
  <si>
    <t>4. GASTOS POR CEP Y RUBRO DE AGRUPACION</t>
  </si>
  <si>
    <t xml:space="preserve">CEP 7- PREINVERSION </t>
  </si>
  <si>
    <t>CEP 9- INVERSION EN DESARROLLO SOCIAL</t>
  </si>
  <si>
    <t>CEP 13- AMORTIZACION DE DEUDA PUBLICA</t>
  </si>
  <si>
    <t>CEP 17- PORYECTOS DESARROLLO ECONOMICO</t>
  </si>
  <si>
    <t>TOTAL FUENTE DE FINANCIAMIENTO 1, SUBFUENTE DE FINANCIAMIENTO 110</t>
  </si>
  <si>
    <t>TOTAL FUENTE DE FINANCIAMIENTO 1, SUBFUENTE DE FINANCIAMIENTO 111</t>
  </si>
  <si>
    <t>TOTAL FUENTE DE FINANCIAMIENTO 2 FONDOS PROPIOS</t>
  </si>
  <si>
    <t>TOTAL FUENTE DE FINANCIAMIENTO 4 PRESTAMO</t>
  </si>
  <si>
    <t>TOTAL FUENTE DE FINANCIAMIENTO 1, SUBFUENTE DE FINANCIAMIENTO 112 PFGL</t>
  </si>
  <si>
    <t>CEP 10- INVERSION EN DES.SOC.PFGL</t>
  </si>
  <si>
    <t>RUBROS</t>
  </si>
  <si>
    <t>CEP 4- ADMINISTRACION FINANCIERA</t>
  </si>
  <si>
    <t>CEP 6- SERVICIOS MPALES DIVERSOS</t>
  </si>
  <si>
    <t>3. FUENTES DE FINANCIAMIENTO POR CEP</t>
  </si>
  <si>
    <t>CEP 3 Y 4- Administracion Financiera</t>
  </si>
  <si>
    <t xml:space="preserve"> CEP 1 Y 2- Direccion Superior</t>
  </si>
  <si>
    <t>LOGRAR UNA MEJOR ATENCION AL USUARIO MEDIANTE LA TOMA OPORTUNA DE DESICIONES Y SU EFECTIVA APLICACIÓN ORIENTADA A SATISFACER LAS NECESIDADES DE LA POBLACION</t>
  </si>
  <si>
    <t>COORDINAR LAS GESTIONES DE COMPRAS Y CONTRATACIONES NECESARIAS PARA EL BUEN FUNCIONAMIENTO DE LA MUNICIPALIDAD Y LA EFECTIVIDAD DE EJECUCION DE PROYECTOS. ASI MISMO PROVEER DE LA INFORMACION FINANCIERA OPORTUNA PARA LA TOMA DE DESICIONES.</t>
  </si>
  <si>
    <t>CEP 5 Y 6- SERVICIOS MUNICIPALES</t>
  </si>
  <si>
    <t>LOGRAR QUE LA PRESTACION DE LOS SERVICIOS MUNICIPALES A LA COMUNIDAD SEAN</t>
  </si>
  <si>
    <t>AGILIZAR LA PRESTACION DE LOS SERVICIOS MUNICIPALES A TRAVES DE LA COORDINACION Y LA ATENCION EFECTIVA DE LAS NECESIDADES.</t>
  </si>
  <si>
    <t>(7) CEP Y UNIDAD PRESUPUESTARIA</t>
  </si>
  <si>
    <t>CEP 7 Y 8 -PREINVERSION</t>
  </si>
  <si>
    <t>CEP 14- PROY.DESARROLLO SOCIAL PRESTAMO</t>
  </si>
  <si>
    <t>CEP 15- PROY.DESARROLLO  ECONOMICO  PRESTAMO</t>
  </si>
  <si>
    <t>CEP 9, 10,11 Y 14- INVERSION EN PROYECTOS DE DESARROLLO SOCIAL</t>
  </si>
  <si>
    <t xml:space="preserve"> que permitan  satisfacer las necesidades sociales, culturales,  deportivas y turisticas del municipio.</t>
  </si>
  <si>
    <t>CEP 15 Y 17-  INVERSION EN PROYECTOS DE DESARROLLO ECONOMICO</t>
  </si>
  <si>
    <t>(4) UNIDAD PRESUPUESTARIA 04 APOYO AL DESARROLLO ECONOMICO</t>
  </si>
  <si>
    <t>CEP 13- AMORTIZACION DE LA DEUDA PUBLICA</t>
  </si>
  <si>
    <t>(3) AREA DE GESTION: 3 DESARROLLO  SOCIAL</t>
  </si>
  <si>
    <t>ENCAUSAR LA GESTION DEL AÑO 2012  A APROBAR Y EJECUTAR PLANES DE DESARROLLO URBANOS Y RURALES, ENCAMINADOS A MEJORAR LAS CONDICIONES DE VIDA DE LOS CIUDADANOS A TRAVES DE LA EJECUCION DE PROYECTOS DE INFRAESTRUCTURA.</t>
  </si>
  <si>
    <t xml:space="preserve">1- PROPORCIONAR   PROYECTOS DE ENERGIA ELECTRICA  A LOS DIFERENTES LUGARES DEL MUNICIPIO </t>
  </si>
  <si>
    <t>2- IMPLEMENTAR LA MEJOR INFRAESTRUCTURA  DE EDUCACION, AGUA POTABLE, MEDIO AMBIENTE, CENTROS DEPORTIVOS, PARQUES Y OTROS EN LAS DIFERENTES COMUNIDADES DEL MUNICIPIO, PARA UN MEJOR DESARROLLO LOCAL</t>
  </si>
  <si>
    <t>(3) AREA DE GESTION: 4 APOYO AL DESARROLLO ECONOMICO</t>
  </si>
  <si>
    <t>ENCAUSAR LA GESTION DEL AÑO 2012  A APROBAR Y EJECUTAR PLANES DE DESARROLLO URBANOS Y RURALES, ENCAMINADOS A MEJORAR LAS CONDICIONES DE VIDA DE LOS CIUDADANOS A TRAVES DE LA EJECUCION DE PROYECTOS DE INFRAESTRUCTURA ECONOMICA</t>
  </si>
  <si>
    <t>MEJORAR LA RED VIAL MUNICIPAL Y EL DESARROLLO  Y ORDENAMIENTO URBANO</t>
  </si>
  <si>
    <t xml:space="preserve">04- INVERSION EN INFRAESTRUCTURA ECONOMICA </t>
  </si>
  <si>
    <t>Pasajes al Interior</t>
  </si>
  <si>
    <t>Pasajes al Exterior</t>
  </si>
  <si>
    <t>Viaticos al Interior</t>
  </si>
  <si>
    <t>Viaticos al Exterior</t>
  </si>
  <si>
    <t>Tesorero Municipal</t>
  </si>
  <si>
    <t>SERVICIOS INTERNOS</t>
  </si>
  <si>
    <t>SERVICIO DE VIGILANCIA</t>
  </si>
  <si>
    <t>INGENIERIA Y PROYECTOS</t>
  </si>
  <si>
    <t>RECOLECCION DE DESECHOS</t>
  </si>
  <si>
    <t>Motorista de tren de aseo</t>
  </si>
  <si>
    <t>Auxiliares de tren de aseo</t>
  </si>
  <si>
    <t>ASEO DE CALLES</t>
  </si>
  <si>
    <t>PROGRAMAS SOCIALES</t>
  </si>
  <si>
    <t>Unidad de la Mujer</t>
  </si>
  <si>
    <t>CUERPO DE AGENTES MUNICIPALES</t>
  </si>
  <si>
    <t>Director</t>
  </si>
  <si>
    <t>Agentes</t>
  </si>
  <si>
    <t>4-04-01-2-000</t>
  </si>
  <si>
    <t xml:space="preserve">PROYECTOS DE DESARROLLO ECONOMICO FONDOS PROPIOS </t>
  </si>
  <si>
    <t>Encargado Unidad ambiental</t>
  </si>
  <si>
    <t xml:space="preserve">DEPARTAMENTO AGROAMBIENTAL </t>
  </si>
  <si>
    <t>Auxiliar unidad agroambiental</t>
  </si>
  <si>
    <t>EVENTUAL</t>
  </si>
  <si>
    <t>Clasificadores de desechos</t>
  </si>
  <si>
    <t>Oficios Varios2</t>
  </si>
  <si>
    <t>Encargado del Rastro y tiangue Municipal</t>
  </si>
  <si>
    <t>Albañil</t>
  </si>
  <si>
    <t>Vigilante 1</t>
  </si>
  <si>
    <t>CODIGO</t>
  </si>
  <si>
    <t>VIALIDADES</t>
  </si>
  <si>
    <t xml:space="preserve">TASAS  </t>
  </si>
  <si>
    <t>CERTIFICACION O VISADO DE DOCUMENTOS</t>
  </si>
  <si>
    <t>DOC. DE IDENTIFICACION</t>
  </si>
  <si>
    <t>POR ACCESO A LUGARES PUBLICOS</t>
  </si>
  <si>
    <t xml:space="preserve">ALUMBRADO </t>
  </si>
  <si>
    <t>CASETAS TELEFONICAS</t>
  </si>
  <si>
    <t>DESECHOS</t>
  </si>
  <si>
    <t>BAÑOS Y LAVADEROS PUBLICOS</t>
  </si>
  <si>
    <t>PERMISOS Y LICENCIAS MUNICIP</t>
  </si>
  <si>
    <t>ING.POR PRESTAC.DE BIENES Y SERVICIOS</t>
  </si>
  <si>
    <t>MULTAS E INTERESES POR MORA DE IMP</t>
  </si>
  <si>
    <t>INTERESES</t>
  </si>
  <si>
    <t>MULTAS POR REG. CIVIL</t>
  </si>
  <si>
    <t>ARRENDAMIENTO DE BIENES</t>
  </si>
  <si>
    <t>ARRENDAMIENTO DE BIENES DIVERSOS</t>
  </si>
  <si>
    <t>DIFERENCIALES CAMBIARIOS</t>
  </si>
  <si>
    <t>TRANSFERENCIAS CORRIENTES DEL SECTOR PUBLICO</t>
  </si>
  <si>
    <t>TRANS.CTES. DEL SECTOR PUBLICO</t>
  </si>
  <si>
    <t>TRANS.CTES. DEL SECTOR PRIVADO</t>
  </si>
  <si>
    <t>DE PERSONAS NATURALES</t>
  </si>
  <si>
    <t>DE EMPRESAS PRIVADAS FINANCIERAS</t>
  </si>
  <si>
    <t>TRANSFERENCIAS DE CAPÍTAL</t>
  </si>
  <si>
    <t>TRANS. DE KTAL DEL SECTOR PUBLICO</t>
  </si>
  <si>
    <t>TRAN. DE KTAL DEL SECTOR PUBLICO</t>
  </si>
  <si>
    <t>TRANS. DE KTAL DEL SECTOR EXTERNO</t>
  </si>
  <si>
    <t>DE GOBIERNOS Y ORGANISMOS GUBERNAMENTALES</t>
  </si>
  <si>
    <t>DE ORGANISMOS SIN FINES DE LUCRO</t>
  </si>
  <si>
    <t>SALDOS INICIALES DE CAJA Y BANCOS</t>
  </si>
  <si>
    <t>AL 30 DE SEPTIEMBRE 2009</t>
  </si>
  <si>
    <t>IMPUESTOS MUNICIPALES DIVERSOS</t>
  </si>
  <si>
    <t>MEDICOS HOSPITALARIOS</t>
  </si>
  <si>
    <t>SERVICIOS PROFESIONALES</t>
  </si>
  <si>
    <t>MULTAS POR REGISTRO CIVIL</t>
  </si>
  <si>
    <t>TESORERO MUNICIPAL</t>
  </si>
  <si>
    <t>3</t>
  </si>
  <si>
    <t>JEFE DE UATM</t>
  </si>
  <si>
    <t>ADMINISTRADOR OPERATIVO 1</t>
  </si>
  <si>
    <t>VIGILANTE 1</t>
  </si>
  <si>
    <t>VIGILANTE 2</t>
  </si>
  <si>
    <t>ENC.TANQUES</t>
  </si>
  <si>
    <t>AUXILIAR COMUNICACIONES</t>
  </si>
  <si>
    <t>UNIDAD DE LA MUJER</t>
  </si>
  <si>
    <t>JEFE UNIDAD AMB</t>
  </si>
  <si>
    <t>AUX.UNIDAD AGROAMBIENTAL</t>
  </si>
  <si>
    <t>ENC. BAÑOS PUBLICOS</t>
  </si>
  <si>
    <t>ORDENANZA 1</t>
  </si>
  <si>
    <t>ORDENANZA 2</t>
  </si>
  <si>
    <t>OFICIOS VARIOS 1</t>
  </si>
  <si>
    <t>OFICIOS VARIOS 2</t>
  </si>
  <si>
    <t>MOTORISTA OPERATIVO</t>
  </si>
  <si>
    <t>RECURSOS HUMANOS</t>
  </si>
  <si>
    <t>DIRECTOR CAM</t>
  </si>
  <si>
    <t>AGENTE CAM</t>
  </si>
  <si>
    <t>CLASIFICADORES DE DESECHOS</t>
  </si>
  <si>
    <t>6</t>
  </si>
  <si>
    <t>FONDO 25% FODES</t>
  </si>
  <si>
    <t>FODES 75%</t>
  </si>
  <si>
    <t>TOTAL GENERAL</t>
  </si>
  <si>
    <t>TOTAL FONDO MUNICIPAL</t>
  </si>
  <si>
    <t>Gastos de Representacion en el pais</t>
  </si>
  <si>
    <t>Limpieza y Mtto de mdo. Y terminal de buses1</t>
  </si>
  <si>
    <t>Limpieza y Mtto de mdo. Y terminal de buses2</t>
  </si>
  <si>
    <t>9</t>
  </si>
  <si>
    <t>Fiscalizador</t>
  </si>
  <si>
    <t>Jefe de UATM</t>
  </si>
  <si>
    <t>3-03-02-5-000</t>
  </si>
  <si>
    <t>PROYECTOS DE DESARROLLO ECONOMICO FONDOS PNUD/MAG/PRODEMORO</t>
  </si>
  <si>
    <t>PROYECTOS DE DESARROLLO SOCIAL PNUD/MAG/PRODEMOR</t>
  </si>
  <si>
    <t xml:space="preserve">GASTOS DE REPRESENTACION </t>
  </si>
  <si>
    <t>Por prestacion de servicios en el pais</t>
  </si>
  <si>
    <t>De salud y medio ambiente</t>
  </si>
  <si>
    <t>( 2 ) EJERCICICIO FINANCIERO FISCAL : 2015</t>
  </si>
  <si>
    <t>DE EMPRESA PUBLICAS  FINANCIERAS</t>
  </si>
  <si>
    <t>Secretaria del despacho</t>
  </si>
  <si>
    <t xml:space="preserve">Encargado de la planta de compostage </t>
  </si>
  <si>
    <t>MERCADO MUNICIPAL</t>
  </si>
  <si>
    <t>Encargado Unidad de Deportes</t>
  </si>
  <si>
    <t>8. CONSOLIDADO  DE PROYECTOS DE INVERSION</t>
  </si>
  <si>
    <t>No</t>
  </si>
  <si>
    <t>NOMBRE DEL PROYECTO</t>
  </si>
  <si>
    <t>(5) UBICACIÓN GEOGRAFICA</t>
  </si>
  <si>
    <t>(6)UNIDAD DE MEDIDA</t>
  </si>
  <si>
    <t>(7) META FISICA</t>
  </si>
  <si>
    <t>CALENDARIO EJECUCION</t>
  </si>
  <si>
    <t>(13) MONTO</t>
  </si>
  <si>
    <t>(10) FECHA INICIO</t>
  </si>
  <si>
    <t>(11) AVANCE A LA FECHA</t>
  </si>
  <si>
    <t>(12) FECHA DE FINALIZACION</t>
  </si>
  <si>
    <t>(2) EJERCICIO FINANCIERO FISCAL: 2015</t>
  </si>
  <si>
    <t>CODIGO PRESUPUESTO</t>
  </si>
  <si>
    <t>(8)FUENTE DE FINANC</t>
  </si>
  <si>
    <t>(9)CEP</t>
  </si>
  <si>
    <t>FIESTAS PATRONALES</t>
  </si>
  <si>
    <t>FIESTAS TITULARES</t>
  </si>
  <si>
    <t>SALDO INICIAL EN BANCOS PRESTAMO HIPOTECARIO</t>
  </si>
  <si>
    <t>TOTAL FONDOS  PRESTAMOS</t>
  </si>
  <si>
    <t xml:space="preserve">De empresas descentralizadas </t>
  </si>
  <si>
    <t>DESAGREGACION DE CUENTAS PRESUPUESTO AÑO 2015</t>
  </si>
  <si>
    <t>55302 -De empresas descentralizadas empresariales</t>
  </si>
  <si>
    <t>BANCO HIPOTECARIO REF.AA1016991</t>
  </si>
  <si>
    <t>BANCO HIPOTECARIO REF.AA1016981</t>
  </si>
  <si>
    <t>MANORSAM</t>
  </si>
  <si>
    <t>SALDO INICIAL EN BANCOS FR111  (comprometido</t>
  </si>
  <si>
    <t>SALDO INICIAL EN BANCOS FR111 (no comprom</t>
  </si>
  <si>
    <t>PREVENCION DE LA VIOLENCIA POR EL DEPORTE</t>
  </si>
  <si>
    <t xml:space="preserve">UNIDAD DE LA MUJER </t>
  </si>
  <si>
    <t>EN EJECUCION</t>
  </si>
  <si>
    <t>( FF5)</t>
  </si>
  <si>
    <t>SALDO INICIAL EN BANCOS PRODEMORO</t>
  </si>
  <si>
    <t>CEP 19</t>
  </si>
  <si>
    <t>PRODEMORO</t>
  </si>
  <si>
    <t>PROYECTOS DE DESARROLLO SOCIAL FONDOS DONACIONES</t>
  </si>
  <si>
    <t>FONDOS PRODEMORO</t>
  </si>
  <si>
    <t>DONACIONES</t>
  </si>
  <si>
    <t>51101 Y 54399</t>
  </si>
  <si>
    <t>OTORGAMIENTO DE 50 BECAS UNIVERSITARIAS</t>
  </si>
  <si>
    <r>
      <t xml:space="preserve">(3) AREA DE GESTION: </t>
    </r>
    <r>
      <rPr>
        <b/>
        <sz val="8"/>
        <rFont val="Arial Narrow"/>
        <family val="2"/>
      </rPr>
      <t>3  Y  4  DESARROLLO SOCIAL Y APOYO AL DESARROLLO ECONOMICO</t>
    </r>
  </si>
  <si>
    <t>Electricas y comunicaciones</t>
  </si>
  <si>
    <t>CEP 19- PROYECTOS DE DESARROLLO SOCIAL FONDOS DONACIONES</t>
  </si>
  <si>
    <t>( 3 ) AREA DE GESTION : 3 DESARROLLO SOCIAL FONDOS MAG- PRODEMORO</t>
  </si>
  <si>
    <t>FUENTE DE FINANCIAMIENTO 1, SUBFUENTE DE FINANCIAMIENTO 110</t>
  </si>
  <si>
    <t>FUENTE DE FINANCIAMIENTO 1, SUBFUENTE DE FINANCIAMIENTO 111</t>
  </si>
  <si>
    <t>FUENTE DE FINANCIAMIENTO 1, SUBFUENTE DE FINANCIAMIENTO 112 PFGL</t>
  </si>
  <si>
    <t>FUENTE DE FINANCIAMIENTO 2 FONDOS PROPIOS</t>
  </si>
  <si>
    <t>FUENTE DE FINANCIAMIENTO 4 PRESTAMO</t>
  </si>
  <si>
    <t>FUENTE DE FINANCIAMIENTO 5 DONACIONES</t>
  </si>
  <si>
    <t>CEP 19- PROY.DESARROLLO SOCIAL MAG-PRODEMORO</t>
  </si>
  <si>
    <t>CEP 19,PROYECTOS DE DESARROLLO SOCIAL FONDOS DONACIONES</t>
  </si>
  <si>
    <t>Ejecutar proyectos agroambientales sostenibles con fondos donaciones</t>
  </si>
  <si>
    <t>Encargada de bodega</t>
  </si>
  <si>
    <t>Administrador Operativo</t>
  </si>
  <si>
    <t>Administradora del Mercado</t>
  </si>
  <si>
    <t>Servicios Sanitarios Mdo. Municipal2</t>
  </si>
  <si>
    <t>Servicios Sanitarios Mdo. Municipal1</t>
  </si>
  <si>
    <t>Encargado de Cementerio No.1</t>
  </si>
  <si>
    <t>Encargado de Cementerio No.2</t>
  </si>
  <si>
    <t>Jefe de Proyeccion Social y comunicaciones</t>
  </si>
  <si>
    <t>edwin</t>
  </si>
  <si>
    <t>Auxiliar de comunicaciones</t>
  </si>
  <si>
    <t>Motorista OPERATIVO</t>
  </si>
  <si>
    <t>( 2 ) EJERCICICIO FINANCIERO FISCAL : 2016</t>
  </si>
  <si>
    <t>PROYECCION AL 31/12/2015</t>
  </si>
  <si>
    <t>ESTIMACION AÑO 2016</t>
  </si>
  <si>
    <t xml:space="preserve">SRIO. MUNICIPAL </t>
  </si>
  <si>
    <t>JEFE OPERATIVO</t>
  </si>
  <si>
    <t>Sindica Municipal</t>
  </si>
  <si>
    <t>Gerencia General</t>
  </si>
  <si>
    <t>Auxiliar de UACI</t>
  </si>
  <si>
    <t>Cobro diario de Mercado</t>
  </si>
  <si>
    <t>Jefe Operativo</t>
  </si>
  <si>
    <t>Auxiliar de area operativa 1</t>
  </si>
  <si>
    <t>Oficios Varios1</t>
  </si>
  <si>
    <t>Auxiliar de area operativa 2</t>
  </si>
  <si>
    <t xml:space="preserve">Electricista </t>
  </si>
  <si>
    <t>ATENCION PSICOLOGICA</t>
  </si>
  <si>
    <t>Psicologa</t>
  </si>
  <si>
    <t>CUADRO DE PERSONAL PERMANENTE PROGRAMA DE   DESARROLLO ECONOMICO Y SOCIAL DE LA  UNIDAD DE LA MUJER 2016</t>
  </si>
  <si>
    <t>Vigilante 2</t>
  </si>
  <si>
    <t>SUELDO 2016</t>
  </si>
  <si>
    <t>SINDICA MUNICIPAL</t>
  </si>
  <si>
    <t>GERENTE MUNICIPAL</t>
  </si>
  <si>
    <t>Secretario Municipal</t>
  </si>
  <si>
    <t>AUXILIAR DE UACI</t>
  </si>
  <si>
    <t>ENCARGADA DE BODEGA</t>
  </si>
  <si>
    <t>Auxiliar de area operativa 3</t>
  </si>
  <si>
    <t>AUXILIAR AREA OPERATIVA 1</t>
  </si>
  <si>
    <t>AUXILIAR AREA OPERATIVA 2</t>
  </si>
  <si>
    <t>AUXILIAR AREA OPERATIVA 3</t>
  </si>
  <si>
    <t>SERV.SAN MDO MUNICIPAL</t>
  </si>
  <si>
    <t>ENC.CEMENTERIO NO.2</t>
  </si>
  <si>
    <t>ENCARG.CEMENTERIO NO. 1</t>
  </si>
  <si>
    <t>PSICOLOGA</t>
  </si>
  <si>
    <t>Auxiliar de area operativa 4</t>
  </si>
  <si>
    <t>AUXILIAR AREA OPERATIVA 4</t>
  </si>
  <si>
    <t>Auxiliar de area operativa 5</t>
  </si>
  <si>
    <t>HOJA 1</t>
  </si>
  <si>
    <t>DIETA</t>
  </si>
  <si>
    <t>CONCEJAL</t>
  </si>
  <si>
    <t xml:space="preserve"> + Aporte INSAFORP</t>
  </si>
  <si>
    <t>GRAN TOTAL  PLANILLAS FONDOS PROPIOS</t>
  </si>
  <si>
    <t>JEFE DE LA PLANTA</t>
  </si>
  <si>
    <t xml:space="preserve">CAMINOS Y CALLES </t>
  </si>
  <si>
    <t>COMPRA DE JUGUETES</t>
  </si>
  <si>
    <t>(11)NOMBRE DEL RESPONSABLE: HERIS NEFTALI ROMERO CARBALLO</t>
  </si>
  <si>
    <t>(13) SALDO CAPITAL AL  31/12/2015</t>
  </si>
  <si>
    <t>TECNICO EN MANEJO DE FUENTES DE AGUA</t>
  </si>
  <si>
    <t>Tecnico</t>
  </si>
  <si>
    <t>GESTION INTEGRAL DEL MEDIO AMBIENTE</t>
  </si>
  <si>
    <t>CUADRO DE SALARIOS PROYECTO GESTION INTEGRAL DEL MEDIO AMBIENTE PARA EL AÑO 2016</t>
  </si>
  <si>
    <t>CUADRO DE PERSONAL EVENTUAL PROYECTO:   GESTION INTEGRAL DEL MEDIO AMBIENTE PARA EL AÑO 2016</t>
  </si>
  <si>
    <t>Oficios Varios3</t>
  </si>
  <si>
    <t>AUX.PROY.SOC</t>
  </si>
  <si>
    <t>ENCARGADO DE PROYEC. SOCIAL</t>
  </si>
  <si>
    <t>ENC.MAQ.Y EQUIPO</t>
  </si>
  <si>
    <t xml:space="preserve">COBRO DIARIO DEL MERCADO </t>
  </si>
  <si>
    <t>Encargada de Recursos Humanos</t>
  </si>
  <si>
    <t>Encargado de Maquinaria y Equipo</t>
  </si>
  <si>
    <t xml:space="preserve">AUXILIAR SRIO. MUNICIPAL </t>
  </si>
  <si>
    <t>IMPUESTOS DIVERSOS</t>
  </si>
  <si>
    <t>CUENTAS POR COBRAR AÑOS ANTERIORES (5% DE MORA)</t>
  </si>
  <si>
    <t>INDEMNIZACIONES</t>
  </si>
  <si>
    <t>Al personal servicios permanentes</t>
  </si>
  <si>
    <t>Consultorias, estudios e Investigaciones diversas</t>
  </si>
  <si>
    <t>Cobro a E.E.O</t>
  </si>
  <si>
    <t>SECRETARIA PRIVADA DEL DESPACHO</t>
  </si>
  <si>
    <t>PRESUPUESTO  POR AREAS DE GESTION                                                                 AÑO 2017</t>
  </si>
  <si>
    <t>LA ORDENANZA DEL PRESUPUESTO MUNICIPAL POR AREAS DE GESTION, Para el ejercicio que inicia el uno de enero y concluye el treinta y uno de diciembre del año dos mil diecisiete.</t>
  </si>
  <si>
    <t>EJERCICIO FISCAL 2017</t>
  </si>
  <si>
    <t>ESTRUCTURA PRESUPUESTARIA  POR LINEA DE TRABAJO Y FUENTE DE FINANCIAMIENTO     PRESUPUESTO  2017</t>
  </si>
  <si>
    <t>PRESUPUESTO 2017</t>
  </si>
  <si>
    <t>CUADRO DE SALARIOS  PARA EL AÑO 2017</t>
  </si>
  <si>
    <t>COMPARATIVO DE INGRESOS ANTEPROYECTO PRESUPUESTO 2017</t>
  </si>
  <si>
    <t>2015</t>
  </si>
  <si>
    <t>MULTAS E INTERESES DIVERSOS</t>
  </si>
  <si>
    <t>PROYECCION AL 31/12/2016</t>
  </si>
  <si>
    <t>AL 31/08/2016</t>
  </si>
  <si>
    <t>ESTIMACION AÑO 2017 (0% EN IMPUESTOS, 5% EN TASAS)</t>
  </si>
  <si>
    <t>RECUP-.MORA</t>
  </si>
  <si>
    <t>ENCARGADO CANCHA</t>
  </si>
  <si>
    <t>LIMPIEZA DEL MERCADO</t>
  </si>
  <si>
    <t>PROYECCION DE RECURSOS HUMANOS  PARA EL AÑO 2017</t>
  </si>
  <si>
    <t>PROYECCION DE RECURSOS HUMANOS DEL AÑO 2017 POR CEP Y FUENTE DE FINANCIAMIENTO</t>
  </si>
  <si>
    <t>CEP 2, LT 0101</t>
  </si>
  <si>
    <t>CEP 4, LT 0102</t>
  </si>
  <si>
    <t>CEP 6, LT 0201</t>
  </si>
  <si>
    <t>TOTAL PRESUPUESTO</t>
  </si>
  <si>
    <t>PRESUPUESTO 2012</t>
  </si>
  <si>
    <t>DEVENGADO AL 30/11/16</t>
  </si>
  <si>
    <t>PROYECCION  AL 31/12/16</t>
  </si>
  <si>
    <t>SALARIO POR JORNAL</t>
  </si>
  <si>
    <t xml:space="preserve">AGUINALDOS </t>
  </si>
  <si>
    <t>SALARIOS POR JORNAL</t>
  </si>
  <si>
    <t>REMUNERACIONES EXTRAORDINARIAS</t>
  </si>
  <si>
    <t>CONTRIB. PATRONALES A INST. DE SEG. SOCIAL PUBLICA</t>
  </si>
  <si>
    <t>POR REMUNERACIONES PERMANENTES</t>
  </si>
  <si>
    <t>CONTRIB. PATRONALES A INST. DE SEG. SOCIAL PRIVADA</t>
  </si>
  <si>
    <t>POR PRESTACION DE SERVICIOS EN EL EXTERIOR</t>
  </si>
  <si>
    <t>AL PERSONAL SERVICIOS PERMANENTES</t>
  </si>
  <si>
    <t>HONORARIOS</t>
  </si>
  <si>
    <t>REMUNERACIONES POR SERVICIOS ESPECIALES</t>
  </si>
  <si>
    <t>ADQUISICIONES DE BIENES Y SERVICIOS</t>
  </si>
  <si>
    <t>PRODUCTOS  ALIMENTICIOS PARA PERSONAS</t>
  </si>
  <si>
    <t>PRODUCTOS AGROPECUARIOS Y FORESTALES</t>
  </si>
  <si>
    <t>PRODUCTOS TEXTILES Y VESTUARIOS</t>
  </si>
  <si>
    <t>PRODUCTOS DE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</si>
  <si>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</si>
  <si>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</si>
  <si>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</si>
  <si>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</si>
  <si>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</si>
  <si>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MINERALES NO METALICOS  Y PRODUCTOS DERIVADOS</t>
  </si>
  <si>
    <t>MINERALES  METALICOS  Y PRODUCTOS DERIVADOS</t>
  </si>
  <si>
    <t>DEVENGADO AL 30/11/12</t>
  </si>
  <si>
    <t>PROYECCION  AL 31/12/12</t>
  </si>
  <si>
    <t>ESTIMACION AÑO 2013</t>
  </si>
  <si>
    <t>MATERIALES DE OFICINA</t>
  </si>
  <si>
    <t>MATERIALES INFORMATICOS</t>
  </si>
  <si>
    <t>LIBROS, TEXTOS, UTILES DE ENSEÑANZA Y OTROS</t>
  </si>
  <si>
    <t>MATERIALES DE DEFENSA Y SEGURIDAD  PUBLICA</t>
  </si>
  <si>
    <t>HERRAMIENTAS, REPUESTOS Y ACCESORIOS</t>
  </si>
  <si>
    <t>MATERIALES ELECTRICOS</t>
  </si>
  <si>
    <t>ESPECIES MUNICIPALES DIVERSAS</t>
  </si>
  <si>
    <t>SERVICIOS DE ENERGIA ELECTRICA</t>
  </si>
  <si>
    <t>SERVICIOS DE AGUA</t>
  </si>
  <si>
    <t>SERVICIOS DE TELECOMUNICACIONES</t>
  </si>
  <si>
    <t>SERVICIOS DE CORREOS</t>
  </si>
  <si>
    <t>MANTENIMIENTO Y REPARACION DE BIENES MUEBLES</t>
  </si>
  <si>
    <t>MANTENIMIENTOS Y REPARACIONES DE VEHICULOS</t>
  </si>
  <si>
    <t>MANTENIMIENTO Y REPARACION DE BIENES INMUEBLES</t>
  </si>
  <si>
    <t>TRANSPORTES, FLETES Y ALMACENAMIENTOS</t>
  </si>
  <si>
    <t>SERVICIOS DE PUBLICIDAD</t>
  </si>
  <si>
    <t>SERVICIOS DE LAVANDERIA Y PLANCHADO</t>
  </si>
  <si>
    <t>SERVICIOS DE ALIMENTACION</t>
  </si>
  <si>
    <t>SERVICIOS EDUCATIVOS</t>
  </si>
  <si>
    <t>IMPRESIONES, PUBLICACIONES Y REPRODUCCIONES</t>
  </si>
  <si>
    <t>ATENCIONES OFICIALES</t>
  </si>
  <si>
    <t>ARRENDAMIENTO DE BIENES MUEBLES</t>
  </si>
  <si>
    <t>ARRENDAMIENTO DE BIENES INMUEBLES</t>
  </si>
  <si>
    <t>PASAJES Y VIATICOS</t>
  </si>
  <si>
    <t>PASAJES AL INTERIOR</t>
  </si>
  <si>
    <t>PASAJES AL EXTERIOR</t>
  </si>
  <si>
    <t>VIATICOS POR COMISION INTERNA</t>
  </si>
  <si>
    <t>VIATICOS POR COMISION EXTERNA</t>
  </si>
  <si>
    <t>SERVICIOS JURIDICOS</t>
  </si>
  <si>
    <t>SERVICIOS DE CAPACITACION</t>
  </si>
  <si>
    <t>ESTUDIOS E INVESTIGACIONES</t>
  </si>
  <si>
    <t>INTERESES Y COMISIONES DE EMPRESTITOS INTERNOS</t>
  </si>
  <si>
    <t>SEGUROS, COMISIONES Y GASTOS BANCARIOS</t>
  </si>
  <si>
    <t>PRIMAS Y SEGUROS DE GASTOS DE BIENES</t>
  </si>
  <si>
    <t>COMISIONES Y GASTOS BANCARIOS</t>
  </si>
  <si>
    <t>OTROS GASTOS NO CLASIFICADOS</t>
  </si>
  <si>
    <t>SENTENCIAS JUDICIALES</t>
  </si>
  <si>
    <t>MULTAS Y COSTAS JUDICIALES</t>
  </si>
  <si>
    <t>GASTOS DIVERSOS</t>
  </si>
  <si>
    <t>TRANSFERENCIAS CORRIENTES AL SECTOR PUBLICO</t>
  </si>
  <si>
    <t>TRANSFERENCIAS CORRIENTES AL SECTOR PRIVADO</t>
  </si>
  <si>
    <t>A ORGANISMOS SIN FINES DE LUCRO</t>
  </si>
  <si>
    <t>A PERSONAS NATURALES</t>
  </si>
  <si>
    <t>BECAS</t>
  </si>
  <si>
    <t>BIENES MUEBLES</t>
  </si>
  <si>
    <t>MOBILIARIOS</t>
  </si>
  <si>
    <t>MAQUINARIA Y EQUIPO</t>
  </si>
  <si>
    <t>EQUIPO INFORMATICO</t>
  </si>
  <si>
    <t>VEHICULOS DE TRANSPORTE</t>
  </si>
  <si>
    <t>HERRAMIENTAS Y REPUESTOS PRINCIPALES</t>
  </si>
  <si>
    <t>BIENES MUEBLES DIVERSOS</t>
  </si>
  <si>
    <t>BIENES INMUEBLES</t>
  </si>
  <si>
    <t>TERRENOS</t>
  </si>
  <si>
    <t>EDIFICIOS E INSTALACIONES</t>
  </si>
  <si>
    <t>EGRESOS  AL 30 DE SEPTIEMBRE DE 2011 25% FODES</t>
  </si>
  <si>
    <t>CEP 1, LT 0101</t>
  </si>
  <si>
    <t>CEP 3, LT 0102</t>
  </si>
  <si>
    <t>CEP 5, LT 0201</t>
  </si>
  <si>
    <t>PRESUPUESTO 2011</t>
  </si>
  <si>
    <t>DEVENGADO AL 30/09/11</t>
  </si>
  <si>
    <t>PROYECCION  AL 31/12/11</t>
  </si>
  <si>
    <t>ESTIMACION AÑO 2012</t>
  </si>
  <si>
    <t>EGRESOS  AL 30 DE SEPTIEMBRE DE 2011 FONDOS PROPIOS</t>
  </si>
  <si>
    <t>CUENTAS POR PAGAR DE AÑOS ANTERIORES</t>
  </si>
  <si>
    <t>EGRESOS  AL 30 DE NOVIEMBRE DE 2016 FONDOS PROPIOS</t>
  </si>
  <si>
    <t>COMPLEMENTO 8A.AV SUR</t>
  </si>
  <si>
    <t>MEJORAS EN SISTEMA DE AGUA POTABLE C/GUANASTE</t>
  </si>
  <si>
    <t>CONTRAPARTIDA PROYECTO AGUA POTABLE SAN CRISTOBAL</t>
  </si>
  <si>
    <t>CAPITAL EL 40%</t>
  </si>
  <si>
    <t>INTERES EL 60% DE LA CUOTA MENSUAL</t>
  </si>
  <si>
    <t>( 2 ) EJERCICICIO FINANCIERO FISCAL : 2017</t>
  </si>
  <si>
    <t>(2) EJERCICIO FINANCIERO FISCAL: 2017</t>
  </si>
  <si>
    <t>(5) CIFRA PRESUPUESTARIA 2017</t>
  </si>
  <si>
    <t>(4) FECHA DE ELABORACION:  DICIEMBRE DE 2016</t>
  </si>
  <si>
    <t xml:space="preserve"> RESUMEN INSTITUCIONAL</t>
  </si>
  <si>
    <t>RESUMEN INSTITUCIONAL</t>
  </si>
  <si>
    <t>MOTORISTA</t>
  </si>
  <si>
    <t>AUXILIAR DE GERENCIA</t>
  </si>
  <si>
    <t>PLAZA PROVISIONAL I</t>
  </si>
  <si>
    <t>PLAZA PROVISIONAL II</t>
  </si>
  <si>
    <t>DECRETO Nº  8</t>
  </si>
  <si>
    <t>AUXILIAR  UACI</t>
  </si>
  <si>
    <t>RECEPCIONISTA</t>
  </si>
  <si>
    <t>AUX.DEPORTES</t>
  </si>
  <si>
    <t>AUX PROYECC.SOCIAL</t>
  </si>
  <si>
    <t>nen</t>
  </si>
  <si>
    <t>Art. 1.- Apruebese el Presupuesto de Ingresos y Egresos por Areas de Gestion para el año 2017, con sus Disposiciones Generales, según acuerdo municipal Numero cuarenta y seis, asentado en acta numero veinticinco  de fecha veintidos de diciembre  del año dos mil dieciseis,   en la Forma siguiente: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</si>
</sst>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$-409]#,##0.00"/>
    <numFmt numFmtId="168" formatCode="&quot;$&quot;#,##0.00"/>
    <numFmt numFmtId="169" formatCode="_([$$-440A]* #,##0.00_);_([$$-440A]* \(#,##0.00\);_([$$-440A]* &quot;-&quot;??_);_(@_)"/>
    <numFmt numFmtId="170" formatCode="_([$$-409]* #,##0.00_);_([$$-409]* \(#,##0.00\);_([$$-409]* &quot;-&quot;??_);_(@_)"/>
    <numFmt numFmtId="171" formatCode="_-[$$-1409]* #,##0.00_-;\-[$$-1409]* #,##0.00_-;_-[$$-1409]* &quot;-&quot;??_-;_-@_-"/>
    <numFmt numFmtId="172" formatCode="&quot;$&quot;#,##0.00;[Red]&quot;$&quot;#,##0.00"/>
    <numFmt numFmtId="173" formatCode="[$$-409]#,##0.00;[Red][$$-409]#,##0.00"/>
    <numFmt numFmtId="174" formatCode="_-[$$-409]* #,##0.00_ ;_-[$$-409]* \-#,##0.00\ ;_-[$$-409]* &quot;-&quot;??_ ;_-@_ "/>
    <numFmt numFmtId="175" formatCode="_ [$$-2C0A]\ * #,##0.00_ ;_ [$$-2C0A]\ * \-#,##0.00_ ;_ [$$-2C0A]\ * &quot;-&quot;??_ ;_ @_ "/>
    <numFmt numFmtId="176" formatCode="[$$-2C0A]\ #,##0.00"/>
    <numFmt numFmtId="177" formatCode="[$$-2C0A]\ #,##0.00;[$$-2C0A]\ \-#,##0.00"/>
    <numFmt numFmtId="178" formatCode="_(* #,##0_);_(* \(#,##0\);_(* &quot;-&quot;??_);_(@_)"/>
    <numFmt numFmtId="179" formatCode="_(&quot;$&quot;* #,##0_);_(&quot;$&quot;* \(#,##0\);_(&quot;$&quot;* &quot;-&quot;??_);_(@_)"/>
    <numFmt numFmtId="180" formatCode="_-&quot;$&quot;* #,##0.0_-;\-&quot;$&quot;* #,##0.0_-;_-&quot;$&quot;* &quot;-&quot;??_-;_-@_-"/>
    <numFmt numFmtId="181" formatCode="_ [$$-2C0A]\ * #,##0.0000_ ;_ [$$-2C0A]\ * \-#,##0.0000_ ;_ [$$-2C0A]\ * &quot;-&quot;??_ ;_ @_ "/>
    <numFmt numFmtId="182" formatCode="_-[$$-440A]* #,##0.00_-;\-[$$-440A]* #,##0.00_-;_-[$$-440A]* &quot;-&quot;??_-;_-@_-"/>
    <numFmt numFmtId="183" formatCode="_-[$$-2C0A]\ * #,##0.00_-;\-[$$-2C0A]\ * #,##0.00_-;_-[$$-2C0A]\ * &quot;-&quot;??_-;_-@_-"/>
  </numFmts>
  <fonts count="127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Bradley Hand ITC"/>
      <family val="4"/>
    </font>
    <font>
      <sz val="12"/>
      <name val="Bradley Hand ITC"/>
      <family val="4"/>
    </font>
    <font>
      <sz val="1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color indexed="17"/>
      <name val="Arial"/>
      <family val="2"/>
    </font>
    <font>
      <sz val="8"/>
      <color indexed="17"/>
      <name val="Arial Narrow"/>
      <family val="2"/>
    </font>
    <font>
      <sz val="8"/>
      <color indexed="17"/>
      <name val="Bradley Hand ITC"/>
      <family val="4"/>
    </font>
    <font>
      <sz val="10"/>
      <color indexed="17"/>
      <name val="Arial"/>
      <family val="2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u/>
      <sz val="11"/>
      <name val="Arial"/>
      <family val="2"/>
    </font>
    <font>
      <sz val="12"/>
      <name val="Book Antiqua"/>
      <family val="1"/>
    </font>
    <font>
      <sz val="8"/>
      <name val="Abadi MT Condensed Light"/>
      <family val="2"/>
    </font>
    <font>
      <sz val="12"/>
      <name val="Lucida Calligraphy"/>
      <family val="4"/>
    </font>
    <font>
      <sz val="11"/>
      <name val="Lucida Calligraphy"/>
      <family val="4"/>
    </font>
    <font>
      <sz val="11"/>
      <name val="Book Antiqua"/>
      <family val="1"/>
    </font>
    <font>
      <b/>
      <sz val="20"/>
      <name val="Arial"/>
      <family val="2"/>
    </font>
    <font>
      <b/>
      <sz val="16"/>
      <name val="Arial"/>
      <family val="2"/>
    </font>
    <font>
      <b/>
      <sz val="4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5"/>
      <name val="Arial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sz val="7"/>
      <name val="Arial Narrow"/>
      <family val="2"/>
    </font>
    <font>
      <sz val="10"/>
      <name val="Book Antiqua"/>
      <family val="1"/>
    </font>
    <font>
      <sz val="10"/>
      <name val="Lucida Calligraphy"/>
      <family val="4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8"/>
      <color indexed="17"/>
      <name val="Bradley Hand ITC"/>
      <family val="4"/>
    </font>
    <font>
      <b/>
      <sz val="8"/>
      <name val="Times New Roman"/>
      <family val="1"/>
    </font>
    <font>
      <b/>
      <sz val="7"/>
      <name val="Times New Roman"/>
      <family val="1"/>
    </font>
    <font>
      <sz val="6"/>
      <name val="Times New Roman"/>
      <family val="1"/>
    </font>
    <font>
      <b/>
      <sz val="7"/>
      <name val="Arial"/>
      <family val="2"/>
    </font>
    <font>
      <sz val="8"/>
      <name val="Tahoma"/>
      <family val="2"/>
    </font>
    <font>
      <sz val="14"/>
      <name val="Arial"/>
      <family val="2"/>
    </font>
    <font>
      <b/>
      <sz val="6"/>
      <name val="Arial"/>
      <family val="2"/>
    </font>
    <font>
      <sz val="8"/>
      <color indexed="17"/>
      <name val="Tahoma"/>
      <family val="2"/>
    </font>
    <font>
      <b/>
      <sz val="8"/>
      <name val="Tahoma"/>
      <family val="2"/>
    </font>
    <font>
      <sz val="9"/>
      <color indexed="17"/>
      <name val="Tahoma"/>
      <family val="2"/>
    </font>
    <font>
      <b/>
      <sz val="8"/>
      <color indexed="17"/>
      <name val="Tahoma"/>
      <family val="2"/>
    </font>
    <font>
      <b/>
      <sz val="8"/>
      <color indexed="17"/>
      <name val="Arial Narrow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Times New Roman"/>
      <family val="1"/>
    </font>
    <font>
      <sz val="18"/>
      <name val="Arial"/>
      <family val="2"/>
    </font>
    <font>
      <b/>
      <sz val="10"/>
      <color indexed="17"/>
      <name val="Arial"/>
      <family val="2"/>
    </font>
    <font>
      <b/>
      <sz val="6"/>
      <name val="Times New Roman"/>
      <family val="1"/>
    </font>
    <font>
      <i/>
      <sz val="1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name val="Tahoma"/>
      <family val="2"/>
    </font>
    <font>
      <sz val="12"/>
      <name val="Arial"/>
      <family val="2"/>
    </font>
    <font>
      <sz val="8"/>
      <color theme="1"/>
      <name val="Arial"/>
      <family val="2"/>
    </font>
    <font>
      <sz val="12"/>
      <name val="Times New Roman"/>
      <family val="1"/>
    </font>
    <font>
      <b/>
      <sz val="8"/>
      <color theme="1"/>
      <name val="Arial"/>
      <family val="2"/>
    </font>
    <font>
      <sz val="6"/>
      <name val="Arial Narrow"/>
      <family val="2"/>
    </font>
    <font>
      <sz val="7"/>
      <color theme="1"/>
      <name val="Arial"/>
      <family val="2"/>
    </font>
    <font>
      <b/>
      <sz val="10"/>
      <color indexed="17"/>
      <name val="Arial Narrow"/>
      <family val="2"/>
    </font>
    <font>
      <b/>
      <sz val="9"/>
      <color indexed="17"/>
      <name val="Arial Narrow"/>
      <family val="2"/>
    </font>
    <font>
      <sz val="10"/>
      <color indexed="17"/>
      <name val="Arial Narrow"/>
      <family val="2"/>
    </font>
    <font>
      <sz val="8"/>
      <color indexed="17"/>
      <name val="Arial"/>
      <family val="2"/>
    </font>
    <font>
      <b/>
      <sz val="8"/>
      <color indexed="17"/>
      <name val="Arial"/>
      <family val="2"/>
    </font>
    <font>
      <sz val="10"/>
      <name val="Arial"/>
      <family val="2"/>
    </font>
    <font>
      <b/>
      <sz val="8"/>
      <color indexed="56"/>
      <name val="Arial"/>
      <family val="2"/>
    </font>
    <font>
      <b/>
      <sz val="10"/>
      <color indexed="56"/>
      <name val="Arial"/>
      <family val="2"/>
    </font>
    <font>
      <sz val="10"/>
      <color indexed="56"/>
      <name val="Arial"/>
      <family val="2"/>
    </font>
    <font>
      <sz val="8"/>
      <color indexed="56"/>
      <name val="Arial"/>
      <family val="2"/>
    </font>
    <font>
      <sz val="6"/>
      <color indexed="56"/>
      <name val="Arial"/>
      <family val="2"/>
    </font>
    <font>
      <b/>
      <i/>
      <sz val="12"/>
      <color indexed="56"/>
      <name val="Arial"/>
      <family val="2"/>
    </font>
    <font>
      <b/>
      <sz val="7"/>
      <name val="Tahoma"/>
      <family val="2"/>
    </font>
    <font>
      <sz val="10"/>
      <color indexed="57"/>
      <name val="Arial Narrow"/>
      <family val="2"/>
    </font>
    <font>
      <sz val="8"/>
      <color indexed="57"/>
      <name val="Arial Narrow"/>
      <family val="2"/>
    </font>
    <font>
      <sz val="5"/>
      <name val="Times New Roman"/>
      <family val="1"/>
    </font>
    <font>
      <sz val="8"/>
      <color rgb="FFFF0000"/>
      <name val="Times New Roman"/>
      <family val="1"/>
    </font>
    <font>
      <sz val="8"/>
      <color rgb="FFFF0000"/>
      <name val="Arial"/>
      <family val="2"/>
    </font>
    <font>
      <b/>
      <sz val="6"/>
      <name val="Tahoma"/>
      <family val="2"/>
    </font>
    <font>
      <sz val="6"/>
      <name val="Abadi MT Condensed Light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74" fillId="2" borderId="0" applyNumberFormat="0" applyBorder="0" applyAlignment="0" applyProtection="0"/>
    <xf numFmtId="0" fontId="74" fillId="3" borderId="0" applyNumberFormat="0" applyBorder="0" applyAlignment="0" applyProtection="0"/>
    <xf numFmtId="0" fontId="74" fillId="4" borderId="0" applyNumberFormat="0" applyBorder="0" applyAlignment="0" applyProtection="0"/>
    <xf numFmtId="0" fontId="74" fillId="5" borderId="0" applyNumberFormat="0" applyBorder="0" applyAlignment="0" applyProtection="0"/>
    <xf numFmtId="0" fontId="74" fillId="6" borderId="0" applyNumberFormat="0" applyBorder="0" applyAlignment="0" applyProtection="0"/>
    <xf numFmtId="0" fontId="74" fillId="7" borderId="0" applyNumberFormat="0" applyBorder="0" applyAlignment="0" applyProtection="0"/>
    <xf numFmtId="0" fontId="74" fillId="8" borderId="0" applyNumberFormat="0" applyBorder="0" applyAlignment="0" applyProtection="0"/>
    <xf numFmtId="0" fontId="74" fillId="9" borderId="0" applyNumberFormat="0" applyBorder="0" applyAlignment="0" applyProtection="0"/>
    <xf numFmtId="0" fontId="74" fillId="10" borderId="0" applyNumberFormat="0" applyBorder="0" applyAlignment="0" applyProtection="0"/>
    <xf numFmtId="0" fontId="74" fillId="5" borderId="0" applyNumberFormat="0" applyBorder="0" applyAlignment="0" applyProtection="0"/>
    <xf numFmtId="0" fontId="74" fillId="8" borderId="0" applyNumberFormat="0" applyBorder="0" applyAlignment="0" applyProtection="0"/>
    <xf numFmtId="0" fontId="74" fillId="11" borderId="0" applyNumberFormat="0" applyBorder="0" applyAlignment="0" applyProtection="0"/>
    <xf numFmtId="0" fontId="75" fillId="12" borderId="0" applyNumberFormat="0" applyBorder="0" applyAlignment="0" applyProtection="0"/>
    <xf numFmtId="0" fontId="75" fillId="9" borderId="0" applyNumberFormat="0" applyBorder="0" applyAlignment="0" applyProtection="0"/>
    <xf numFmtId="0" fontId="75" fillId="10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5" borderId="0" applyNumberFormat="0" applyBorder="0" applyAlignment="0" applyProtection="0"/>
    <xf numFmtId="0" fontId="76" fillId="4" borderId="0" applyNumberFormat="0" applyBorder="0" applyAlignment="0" applyProtection="0"/>
    <xf numFmtId="0" fontId="77" fillId="16" borderId="1" applyNumberFormat="0" applyAlignment="0" applyProtection="0"/>
    <xf numFmtId="0" fontId="78" fillId="17" borderId="2" applyNumberFormat="0" applyAlignment="0" applyProtection="0"/>
    <xf numFmtId="0" fontId="79" fillId="0" borderId="3" applyNumberFormat="0" applyFill="0" applyAlignment="0" applyProtection="0"/>
    <xf numFmtId="0" fontId="80" fillId="0" borderId="0" applyNumberFormat="0" applyFill="0" applyBorder="0" applyAlignment="0" applyProtection="0"/>
    <xf numFmtId="0" fontId="75" fillId="18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21" borderId="0" applyNumberFormat="0" applyBorder="0" applyAlignment="0" applyProtection="0"/>
    <xf numFmtId="0" fontId="81" fillId="7" borderId="1" applyNumberFormat="0" applyAlignment="0" applyProtection="0"/>
    <xf numFmtId="0" fontId="82" fillId="3" borderId="0" applyNumberFormat="0" applyBorder="0" applyAlignment="0" applyProtection="0"/>
    <xf numFmtId="44" fontId="1" fillId="0" borderId="0" applyFont="0" applyFill="0" applyBorder="0" applyAlignment="0" applyProtection="0"/>
    <xf numFmtId="0" fontId="83" fillId="22" borderId="0" applyNumberFormat="0" applyBorder="0" applyAlignment="0" applyProtection="0"/>
    <xf numFmtId="0" fontId="1" fillId="23" borderId="4" applyNumberFormat="0" applyFont="0" applyAlignment="0" applyProtection="0"/>
    <xf numFmtId="0" fontId="84" fillId="16" borderId="5" applyNumberFormat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6" applyNumberFormat="0" applyFill="0" applyAlignment="0" applyProtection="0"/>
    <xf numFmtId="0" fontId="89" fillId="0" borderId="7" applyNumberFormat="0" applyFill="0" applyAlignment="0" applyProtection="0"/>
    <xf numFmtId="0" fontId="80" fillId="0" borderId="8" applyNumberFormat="0" applyFill="0" applyAlignment="0" applyProtection="0"/>
    <xf numFmtId="0" fontId="90" fillId="0" borderId="9" applyNumberFormat="0" applyFill="0" applyAlignment="0" applyProtection="0"/>
    <xf numFmtId="166" fontId="110" fillId="0" borderId="0" applyFont="0" applyFill="0" applyBorder="0" applyAlignment="0" applyProtection="0"/>
    <xf numFmtId="0" fontId="1" fillId="0" borderId="0"/>
  </cellStyleXfs>
  <cellXfs count="1769">
    <xf numFmtId="0" fontId="0" fillId="0" borderId="0" xfId="0"/>
    <xf numFmtId="0" fontId="0" fillId="0" borderId="0" xfId="0" applyBorder="1"/>
    <xf numFmtId="0" fontId="6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49" fontId="9" fillId="0" borderId="0" xfId="0" applyNumberFormat="1" applyFont="1" applyAlignment="1">
      <alignment horizontal="center"/>
    </xf>
    <xf numFmtId="0" fontId="7" fillId="0" borderId="10" xfId="0" applyFont="1" applyBorder="1" applyAlignment="1">
      <alignment shrinkToFit="1"/>
    </xf>
    <xf numFmtId="0" fontId="9" fillId="0" borderId="0" xfId="0" applyFont="1" applyBorder="1"/>
    <xf numFmtId="0" fontId="6" fillId="0" borderId="0" xfId="0" applyFont="1"/>
    <xf numFmtId="0" fontId="0" fillId="0" borderId="14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5" fillId="0" borderId="0" xfId="0" applyFont="1" applyBorder="1"/>
    <xf numFmtId="0" fontId="5" fillId="0" borderId="23" xfId="0" applyFont="1" applyBorder="1"/>
    <xf numFmtId="0" fontId="5" fillId="0" borderId="24" xfId="0" applyFont="1" applyBorder="1"/>
    <xf numFmtId="0" fontId="0" fillId="0" borderId="24" xfId="0" applyBorder="1"/>
    <xf numFmtId="0" fontId="5" fillId="0" borderId="20" xfId="0" applyFont="1" applyBorder="1"/>
    <xf numFmtId="0" fontId="3" fillId="0" borderId="23" xfId="0" applyFont="1" applyBorder="1"/>
    <xf numFmtId="0" fontId="0" fillId="0" borderId="25" xfId="0" applyBorder="1"/>
    <xf numFmtId="0" fontId="0" fillId="0" borderId="0" xfId="0" applyBorder="1" applyAlignment="1"/>
    <xf numFmtId="0" fontId="0" fillId="0" borderId="26" xfId="0" applyBorder="1"/>
    <xf numFmtId="0" fontId="0" fillId="0" borderId="27" xfId="0" applyBorder="1"/>
    <xf numFmtId="0" fontId="17" fillId="0" borderId="27" xfId="0" applyFont="1" applyBorder="1"/>
    <xf numFmtId="0" fontId="5" fillId="0" borderId="27" xfId="0" applyFont="1" applyBorder="1"/>
    <xf numFmtId="0" fontId="2" fillId="0" borderId="22" xfId="0" applyFont="1" applyBorder="1" applyAlignment="1">
      <alignment horizontal="center"/>
    </xf>
    <xf numFmtId="0" fontId="0" fillId="0" borderId="27" xfId="0" applyBorder="1" applyAlignment="1"/>
    <xf numFmtId="0" fontId="5" fillId="0" borderId="23" xfId="0" applyFont="1" applyBorder="1" applyAlignment="1">
      <alignment vertical="justify"/>
    </xf>
    <xf numFmtId="0" fontId="5" fillId="0" borderId="20" xfId="0" applyFont="1" applyBorder="1" applyAlignment="1">
      <alignment vertical="justify"/>
    </xf>
    <xf numFmtId="0" fontId="19" fillId="0" borderId="20" xfId="0" applyFont="1" applyBorder="1" applyAlignment="1">
      <alignment vertical="justify"/>
    </xf>
    <xf numFmtId="0" fontId="17" fillId="0" borderId="21" xfId="0" applyFont="1" applyBorder="1" applyAlignment="1">
      <alignment vertical="justify"/>
    </xf>
    <xf numFmtId="0" fontId="5" fillId="0" borderId="0" xfId="0" applyFont="1" applyFill="1" applyBorder="1"/>
    <xf numFmtId="0" fontId="20" fillId="0" borderId="0" xfId="0" applyFont="1" applyBorder="1"/>
    <xf numFmtId="0" fontId="21" fillId="0" borderId="0" xfId="0" applyFont="1" applyBorder="1"/>
    <xf numFmtId="0" fontId="23" fillId="0" borderId="0" xfId="0" applyFont="1" applyBorder="1"/>
    <xf numFmtId="0" fontId="23" fillId="0" borderId="0" xfId="0" applyFont="1" applyBorder="1" applyAlignment="1">
      <alignment vertical="justify"/>
    </xf>
    <xf numFmtId="0" fontId="5" fillId="0" borderId="0" xfId="0" applyFont="1"/>
    <xf numFmtId="165" fontId="0" fillId="0" borderId="0" xfId="0" applyNumberFormat="1" applyBorder="1"/>
    <xf numFmtId="0" fontId="3" fillId="0" borderId="0" xfId="0" applyFont="1" applyBorder="1"/>
    <xf numFmtId="49" fontId="26" fillId="0" borderId="0" xfId="0" applyNumberFormat="1" applyFont="1" applyAlignment="1">
      <alignment horizontal="center"/>
    </xf>
    <xf numFmtId="0" fontId="26" fillId="0" borderId="0" xfId="0" applyFont="1"/>
    <xf numFmtId="49" fontId="26" fillId="0" borderId="22" xfId="0" applyNumberFormat="1" applyFont="1" applyBorder="1" applyAlignment="1">
      <alignment horizontal="center" vertical="center" wrapText="1"/>
    </xf>
    <xf numFmtId="0" fontId="26" fillId="0" borderId="22" xfId="0" applyFont="1" applyBorder="1"/>
    <xf numFmtId="0" fontId="26" fillId="0" borderId="22" xfId="0" applyFont="1" applyBorder="1" applyAlignment="1">
      <alignment shrinkToFit="1"/>
    </xf>
    <xf numFmtId="49" fontId="26" fillId="0" borderId="22" xfId="0" applyNumberFormat="1" applyFont="1" applyBorder="1" applyAlignment="1">
      <alignment horizontal="center"/>
    </xf>
    <xf numFmtId="49" fontId="26" fillId="0" borderId="22" xfId="0" applyNumberFormat="1" applyFont="1" applyFill="1" applyBorder="1" applyAlignment="1">
      <alignment horizontal="center"/>
    </xf>
    <xf numFmtId="0" fontId="26" fillId="0" borderId="22" xfId="0" applyFont="1" applyBorder="1" applyAlignment="1">
      <alignment horizontal="left" shrinkToFit="1"/>
    </xf>
    <xf numFmtId="0" fontId="26" fillId="0" borderId="22" xfId="0" applyFont="1" applyBorder="1" applyAlignment="1"/>
    <xf numFmtId="49" fontId="6" fillId="0" borderId="0" xfId="0" applyNumberFormat="1" applyFont="1"/>
    <xf numFmtId="49" fontId="6" fillId="0" borderId="29" xfId="0" applyNumberFormat="1" applyFont="1" applyBorder="1"/>
    <xf numFmtId="49" fontId="6" fillId="0" borderId="30" xfId="0" applyNumberFormat="1" applyFont="1" applyBorder="1"/>
    <xf numFmtId="0" fontId="6" fillId="0" borderId="31" xfId="0" applyFont="1" applyBorder="1"/>
    <xf numFmtId="0" fontId="6" fillId="0" borderId="32" xfId="0" applyFont="1" applyBorder="1"/>
    <xf numFmtId="0" fontId="6" fillId="0" borderId="33" xfId="0" applyFont="1" applyBorder="1"/>
    <xf numFmtId="0" fontId="6" fillId="0" borderId="34" xfId="0" applyFont="1" applyBorder="1"/>
    <xf numFmtId="49" fontId="6" fillId="0" borderId="35" xfId="0" applyNumberFormat="1" applyFont="1" applyBorder="1" applyAlignment="1">
      <alignment horizontal="center"/>
    </xf>
    <xf numFmtId="49" fontId="6" fillId="0" borderId="27" xfId="0" applyNumberFormat="1" applyFont="1" applyBorder="1" applyAlignment="1">
      <alignment horizontal="center"/>
    </xf>
    <xf numFmtId="0" fontId="6" fillId="0" borderId="14" xfId="0" applyFont="1" applyBorder="1"/>
    <xf numFmtId="0" fontId="6" fillId="0" borderId="0" xfId="0" applyFont="1" applyBorder="1"/>
    <xf numFmtId="0" fontId="6" fillId="0" borderId="15" xfId="0" applyFont="1" applyBorder="1"/>
    <xf numFmtId="0" fontId="6" fillId="0" borderId="14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49" fontId="6" fillId="0" borderId="37" xfId="0" applyNumberFormat="1" applyFont="1" applyBorder="1" applyAlignment="1">
      <alignment horizontal="center"/>
    </xf>
    <xf numFmtId="49" fontId="6" fillId="0" borderId="38" xfId="0" applyNumberFormat="1" applyFont="1" applyBorder="1" applyAlignment="1">
      <alignment horizontal="center"/>
    </xf>
    <xf numFmtId="49" fontId="6" fillId="0" borderId="35" xfId="0" applyNumberFormat="1" applyFont="1" applyBorder="1"/>
    <xf numFmtId="49" fontId="6" fillId="0" borderId="0" xfId="0" applyNumberFormat="1" applyFont="1" applyBorder="1"/>
    <xf numFmtId="0" fontId="6" fillId="0" borderId="36" xfId="0" applyFont="1" applyBorder="1"/>
    <xf numFmtId="0" fontId="10" fillId="0" borderId="14" xfId="0" applyFont="1" applyBorder="1"/>
    <xf numFmtId="49" fontId="6" fillId="0" borderId="37" xfId="0" applyNumberFormat="1" applyFont="1" applyBorder="1"/>
    <xf numFmtId="49" fontId="6" fillId="0" borderId="19" xfId="0" applyNumberFormat="1" applyFont="1" applyBorder="1"/>
    <xf numFmtId="0" fontId="10" fillId="0" borderId="28" xfId="0" applyFont="1" applyBorder="1"/>
    <xf numFmtId="0" fontId="6" fillId="0" borderId="19" xfId="0" applyFont="1" applyBorder="1"/>
    <xf numFmtId="0" fontId="6" fillId="0" borderId="25" xfId="0" applyFont="1" applyBorder="1"/>
    <xf numFmtId="0" fontId="6" fillId="0" borderId="28" xfId="0" applyFont="1" applyBorder="1"/>
    <xf numFmtId="0" fontId="6" fillId="0" borderId="39" xfId="0" applyFont="1" applyBorder="1"/>
    <xf numFmtId="49" fontId="0" fillId="0" borderId="37" xfId="0" applyNumberFormat="1" applyBorder="1"/>
    <xf numFmtId="49" fontId="0" fillId="0" borderId="19" xfId="0" applyNumberFormat="1" applyBorder="1"/>
    <xf numFmtId="0" fontId="0" fillId="0" borderId="28" xfId="0" applyBorder="1"/>
    <xf numFmtId="0" fontId="0" fillId="0" borderId="39" xfId="0" applyBorder="1"/>
    <xf numFmtId="0" fontId="30" fillId="0" borderId="0" xfId="0" applyFont="1"/>
    <xf numFmtId="49" fontId="31" fillId="0" borderId="0" xfId="0" applyNumberFormat="1" applyFont="1"/>
    <xf numFmtId="0" fontId="31" fillId="0" borderId="0" xfId="0" applyFont="1"/>
    <xf numFmtId="0" fontId="32" fillId="0" borderId="0" xfId="0" applyFont="1"/>
    <xf numFmtId="49" fontId="0" fillId="0" borderId="0" xfId="0" applyNumberFormat="1"/>
    <xf numFmtId="0" fontId="33" fillId="0" borderId="0" xfId="0" applyFont="1"/>
    <xf numFmtId="0" fontId="5" fillId="0" borderId="22" xfId="0" applyFont="1" applyFill="1" applyBorder="1"/>
    <xf numFmtId="167" fontId="19" fillId="0" borderId="22" xfId="0" applyNumberFormat="1" applyFont="1" applyFill="1" applyBorder="1"/>
    <xf numFmtId="0" fontId="5" fillId="0" borderId="0" xfId="0" applyFont="1" applyFill="1"/>
    <xf numFmtId="0" fontId="0" fillId="0" borderId="0" xfId="0" applyFill="1" applyBorder="1"/>
    <xf numFmtId="0" fontId="0" fillId="0" borderId="0" xfId="0" applyFill="1"/>
    <xf numFmtId="0" fontId="19" fillId="0" borderId="22" xfId="0" applyFont="1" applyFill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23" fillId="0" borderId="0" xfId="0" applyFont="1" applyBorder="1" applyAlignment="1">
      <alignment wrapText="1"/>
    </xf>
    <xf numFmtId="0" fontId="39" fillId="0" borderId="0" xfId="0" applyFont="1" applyAlignment="1">
      <alignment wrapText="1"/>
    </xf>
    <xf numFmtId="49" fontId="27" fillId="0" borderId="22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 applyBorder="1" applyAlignment="1">
      <alignment horizontal="center"/>
    </xf>
    <xf numFmtId="0" fontId="3" fillId="0" borderId="16" xfId="0" applyFont="1" applyBorder="1"/>
    <xf numFmtId="0" fontId="3" fillId="0" borderId="27" xfId="0" applyFont="1" applyFill="1" applyBorder="1"/>
    <xf numFmtId="175" fontId="5" fillId="0" borderId="22" xfId="0" applyNumberFormat="1" applyFont="1" applyFill="1" applyBorder="1" applyAlignment="1">
      <alignment horizontal="center" vertical="justify"/>
    </xf>
    <xf numFmtId="0" fontId="10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0" fillId="0" borderId="14" xfId="0" applyFont="1" applyFill="1" applyBorder="1"/>
    <xf numFmtId="0" fontId="10" fillId="0" borderId="15" xfId="0" applyFont="1" applyFill="1" applyBorder="1"/>
    <xf numFmtId="0" fontId="10" fillId="0" borderId="23" xfId="0" applyFont="1" applyFill="1" applyBorder="1"/>
    <xf numFmtId="0" fontId="10" fillId="0" borderId="20" xfId="0" applyFont="1" applyFill="1" applyBorder="1"/>
    <xf numFmtId="0" fontId="10" fillId="0" borderId="21" xfId="0" applyFont="1" applyFill="1" applyBorder="1"/>
    <xf numFmtId="0" fontId="3" fillId="0" borderId="35" xfId="0" applyFont="1" applyFill="1" applyBorder="1"/>
    <xf numFmtId="0" fontId="10" fillId="0" borderId="11" xfId="0" applyFont="1" applyFill="1" applyBorder="1"/>
    <xf numFmtId="0" fontId="10" fillId="0" borderId="14" xfId="0" applyFont="1" applyFill="1" applyBorder="1" applyAlignment="1">
      <alignment horizontal="left" vertical="justify"/>
    </xf>
    <xf numFmtId="0" fontId="10" fillId="0" borderId="0" xfId="0" applyFont="1" applyFill="1" applyBorder="1" applyAlignment="1">
      <alignment horizontal="left" vertical="justify"/>
    </xf>
    <xf numFmtId="0" fontId="10" fillId="0" borderId="15" xfId="0" applyFont="1" applyFill="1" applyBorder="1" applyAlignment="1">
      <alignment horizontal="left" vertical="justify"/>
    </xf>
    <xf numFmtId="0" fontId="2" fillId="0" borderId="14" xfId="0" applyFont="1" applyFill="1" applyBorder="1"/>
    <xf numFmtId="0" fontId="10" fillId="0" borderId="14" xfId="0" applyFont="1" applyFill="1" applyBorder="1" applyAlignment="1">
      <alignment vertical="justify"/>
    </xf>
    <xf numFmtId="0" fontId="10" fillId="0" borderId="0" xfId="0" applyFont="1" applyFill="1" applyBorder="1" applyAlignment="1">
      <alignment vertical="justify"/>
    </xf>
    <xf numFmtId="0" fontId="10" fillId="0" borderId="15" xfId="0" applyFont="1" applyFill="1" applyBorder="1" applyAlignment="1">
      <alignment vertical="justify"/>
    </xf>
    <xf numFmtId="0" fontId="3" fillId="0" borderId="14" xfId="0" applyFont="1" applyFill="1" applyBorder="1"/>
    <xf numFmtId="0" fontId="2" fillId="0" borderId="22" xfId="0" applyFont="1" applyFill="1" applyBorder="1" applyAlignment="1">
      <alignment horizontal="center"/>
    </xf>
    <xf numFmtId="0" fontId="10" fillId="0" borderId="12" xfId="0" applyFont="1" applyFill="1" applyBorder="1"/>
    <xf numFmtId="0" fontId="10" fillId="0" borderId="14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10" fillId="0" borderId="27" xfId="0" applyFont="1" applyFill="1" applyBorder="1"/>
    <xf numFmtId="0" fontId="10" fillId="0" borderId="0" xfId="0" applyFont="1" applyFill="1" applyBorder="1" applyAlignment="1">
      <alignment wrapText="1"/>
    </xf>
    <xf numFmtId="0" fontId="10" fillId="0" borderId="14" xfId="0" applyFont="1" applyFill="1" applyBorder="1" applyAlignment="1"/>
    <xf numFmtId="0" fontId="10" fillId="0" borderId="0" xfId="0" applyFont="1" applyFill="1" applyAlignment="1"/>
    <xf numFmtId="0" fontId="10" fillId="0" borderId="0" xfId="0" applyFont="1" applyFill="1" applyBorder="1" applyAlignment="1"/>
    <xf numFmtId="0" fontId="3" fillId="0" borderId="0" xfId="0" applyFont="1" applyFill="1" applyBorder="1"/>
    <xf numFmtId="0" fontId="0" fillId="0" borderId="0" xfId="0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0" fillId="0" borderId="23" xfId="0" applyFont="1" applyFill="1" applyBorder="1" applyAlignment="1">
      <alignment horizontal="center" wrapText="1"/>
    </xf>
    <xf numFmtId="0" fontId="10" fillId="0" borderId="35" xfId="0" applyFont="1" applyFill="1" applyBorder="1"/>
    <xf numFmtId="0" fontId="10" fillId="0" borderId="29" xfId="0" applyFont="1" applyFill="1" applyBorder="1"/>
    <xf numFmtId="0" fontId="10" fillId="0" borderId="36" xfId="0" applyFont="1" applyFill="1" applyBorder="1"/>
    <xf numFmtId="0" fontId="10" fillId="0" borderId="37" xfId="0" applyFont="1" applyFill="1" applyBorder="1"/>
    <xf numFmtId="0" fontId="10" fillId="0" borderId="19" xfId="0" applyFont="1" applyFill="1" applyBorder="1"/>
    <xf numFmtId="0" fontId="10" fillId="0" borderId="39" xfId="0" applyFont="1" applyFill="1" applyBorder="1"/>
    <xf numFmtId="0" fontId="10" fillId="0" borderId="32" xfId="0" applyFont="1" applyFill="1" applyBorder="1"/>
    <xf numFmtId="0" fontId="10" fillId="0" borderId="34" xfId="0" applyFont="1" applyFill="1" applyBorder="1"/>
    <xf numFmtId="0" fontId="10" fillId="0" borderId="19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10" fillId="0" borderId="23" xfId="0" applyFont="1" applyFill="1" applyBorder="1" applyAlignment="1">
      <alignment wrapText="1"/>
    </xf>
    <xf numFmtId="0" fontId="10" fillId="0" borderId="13" xfId="0" applyFont="1" applyFill="1" applyBorder="1"/>
    <xf numFmtId="0" fontId="10" fillId="0" borderId="19" xfId="0" applyFont="1" applyFill="1" applyBorder="1" applyAlignment="1">
      <alignment wrapText="1"/>
    </xf>
    <xf numFmtId="0" fontId="10" fillId="0" borderId="39" xfId="0" applyFont="1" applyFill="1" applyBorder="1" applyAlignment="1">
      <alignment wrapText="1"/>
    </xf>
    <xf numFmtId="0" fontId="45" fillId="0" borderId="0" xfId="0" applyFont="1" applyBorder="1"/>
    <xf numFmtId="0" fontId="47" fillId="0" borderId="0" xfId="0" applyFont="1" applyBorder="1"/>
    <xf numFmtId="0" fontId="11" fillId="0" borderId="0" xfId="0" applyFont="1" applyBorder="1"/>
    <xf numFmtId="165" fontId="13" fillId="0" borderId="26" xfId="0" applyNumberFormat="1" applyFont="1" applyBorder="1"/>
    <xf numFmtId="0" fontId="14" fillId="0" borderId="26" xfId="0" applyFont="1" applyBorder="1"/>
    <xf numFmtId="0" fontId="14" fillId="0" borderId="0" xfId="0" applyFont="1" applyBorder="1"/>
    <xf numFmtId="0" fontId="14" fillId="0" borderId="27" xfId="0" applyFont="1" applyBorder="1"/>
    <xf numFmtId="165" fontId="14" fillId="0" borderId="27" xfId="0" applyNumberFormat="1" applyFont="1" applyBorder="1"/>
    <xf numFmtId="165" fontId="14" fillId="0" borderId="0" xfId="0" applyNumberFormat="1" applyFont="1" applyBorder="1"/>
    <xf numFmtId="165" fontId="11" fillId="0" borderId="27" xfId="0" applyNumberFormat="1" applyFont="1" applyBorder="1"/>
    <xf numFmtId="165" fontId="11" fillId="0" borderId="0" xfId="0" applyNumberFormat="1" applyFont="1" applyBorder="1"/>
    <xf numFmtId="0" fontId="11" fillId="0" borderId="27" xfId="0" applyFont="1" applyBorder="1"/>
    <xf numFmtId="0" fontId="11" fillId="0" borderId="27" xfId="0" applyFont="1" applyBorder="1" applyAlignment="1"/>
    <xf numFmtId="165" fontId="11" fillId="0" borderId="27" xfId="0" applyNumberFormat="1" applyFont="1" applyBorder="1" applyAlignment="1"/>
    <xf numFmtId="165" fontId="11" fillId="0" borderId="0" xfId="0" applyNumberFormat="1" applyFont="1" applyBorder="1" applyAlignment="1"/>
    <xf numFmtId="0" fontId="11" fillId="0" borderId="0" xfId="0" applyFont="1" applyBorder="1" applyAlignment="1"/>
    <xf numFmtId="165" fontId="13" fillId="0" borderId="27" xfId="0" applyNumberFormat="1" applyFont="1" applyBorder="1"/>
    <xf numFmtId="165" fontId="13" fillId="0" borderId="0" xfId="0" applyNumberFormat="1" applyFont="1" applyBorder="1"/>
    <xf numFmtId="0" fontId="11" fillId="0" borderId="14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12" xfId="0" applyFont="1" applyBorder="1"/>
    <xf numFmtId="0" fontId="10" fillId="0" borderId="26" xfId="0" applyFont="1" applyBorder="1"/>
    <xf numFmtId="0" fontId="10" fillId="0" borderId="26" xfId="0" applyFont="1" applyBorder="1" applyAlignment="1">
      <alignment horizontal="center"/>
    </xf>
    <xf numFmtId="165" fontId="10" fillId="0" borderId="26" xfId="0" applyNumberFormat="1" applyFont="1" applyBorder="1"/>
    <xf numFmtId="0" fontId="10" fillId="0" borderId="27" xfId="0" applyFont="1" applyBorder="1"/>
    <xf numFmtId="165" fontId="6" fillId="0" borderId="0" xfId="0" applyNumberFormat="1" applyFont="1" applyBorder="1"/>
    <xf numFmtId="165" fontId="10" fillId="0" borderId="0" xfId="0" applyNumberFormat="1" applyFont="1" applyBorder="1"/>
    <xf numFmtId="165" fontId="10" fillId="0" borderId="27" xfId="0" applyNumberFormat="1" applyFont="1" applyBorder="1"/>
    <xf numFmtId="0" fontId="10" fillId="0" borderId="27" xfId="0" applyFont="1" applyBorder="1" applyAlignment="1"/>
    <xf numFmtId="165" fontId="10" fillId="0" borderId="27" xfId="0" applyNumberFormat="1" applyFont="1" applyBorder="1" applyAlignment="1"/>
    <xf numFmtId="165" fontId="10" fillId="0" borderId="0" xfId="0" applyNumberFormat="1" applyFont="1" applyBorder="1" applyAlignment="1"/>
    <xf numFmtId="165" fontId="10" fillId="0" borderId="15" xfId="0" applyNumberFormat="1" applyFont="1" applyBorder="1"/>
    <xf numFmtId="0" fontId="10" fillId="0" borderId="27" xfId="0" applyFont="1" applyBorder="1" applyAlignment="1">
      <alignment horizontal="center"/>
    </xf>
    <xf numFmtId="0" fontId="10" fillId="0" borderId="24" xfId="0" applyFont="1" applyBorder="1"/>
    <xf numFmtId="0" fontId="10" fillId="0" borderId="24" xfId="0" applyFont="1" applyBorder="1" applyAlignment="1">
      <alignment horizontal="center"/>
    </xf>
    <xf numFmtId="165" fontId="10" fillId="0" borderId="24" xfId="0" applyNumberFormat="1" applyFont="1" applyBorder="1"/>
    <xf numFmtId="165" fontId="3" fillId="0" borderId="18" xfId="0" applyNumberFormat="1" applyFont="1" applyBorder="1" applyAlignment="1"/>
    <xf numFmtId="0" fontId="10" fillId="0" borderId="22" xfId="0" applyFont="1" applyBorder="1"/>
    <xf numFmtId="165" fontId="10" fillId="0" borderId="22" xfId="0" applyNumberFormat="1" applyFont="1" applyBorder="1"/>
    <xf numFmtId="165" fontId="10" fillId="0" borderId="21" xfId="0" applyNumberFormat="1" applyFont="1" applyBorder="1"/>
    <xf numFmtId="165" fontId="6" fillId="0" borderId="22" xfId="0" applyNumberFormat="1" applyFont="1" applyBorder="1"/>
    <xf numFmtId="0" fontId="10" fillId="0" borderId="0" xfId="0" applyFont="1" applyBorder="1"/>
    <xf numFmtId="165" fontId="3" fillId="0" borderId="27" xfId="0" applyNumberFormat="1" applyFont="1" applyBorder="1" applyAlignment="1"/>
    <xf numFmtId="0" fontId="3" fillId="0" borderId="11" xfId="0" applyFont="1" applyBorder="1"/>
    <xf numFmtId="0" fontId="3" fillId="0" borderId="27" xfId="0" applyFont="1" applyBorder="1"/>
    <xf numFmtId="0" fontId="15" fillId="0" borderId="27" xfId="0" applyFont="1" applyBorder="1"/>
    <xf numFmtId="0" fontId="3" fillId="0" borderId="14" xfId="0" applyFont="1" applyBorder="1"/>
    <xf numFmtId="0" fontId="2" fillId="0" borderId="0" xfId="0" applyFont="1" applyBorder="1" applyAlignment="1">
      <alignment horizontal="center"/>
    </xf>
    <xf numFmtId="0" fontId="3" fillId="0" borderId="27" xfId="0" applyFont="1" applyBorder="1" applyAlignment="1"/>
    <xf numFmtId="0" fontId="6" fillId="0" borderId="27" xfId="0" applyFont="1" applyBorder="1"/>
    <xf numFmtId="0" fontId="49" fillId="0" borderId="0" xfId="0" applyFont="1" applyBorder="1"/>
    <xf numFmtId="0" fontId="49" fillId="0" borderId="23" xfId="0" applyFont="1" applyBorder="1" applyAlignment="1">
      <alignment horizontal="left"/>
    </xf>
    <xf numFmtId="0" fontId="49" fillId="0" borderId="20" xfId="0" applyFont="1" applyBorder="1" applyAlignment="1">
      <alignment horizontal="left"/>
    </xf>
    <xf numFmtId="0" fontId="49" fillId="0" borderId="20" xfId="0" applyFont="1" applyBorder="1"/>
    <xf numFmtId="0" fontId="49" fillId="0" borderId="21" xfId="0" applyFont="1" applyBorder="1"/>
    <xf numFmtId="0" fontId="49" fillId="0" borderId="23" xfId="0" applyFont="1" applyBorder="1"/>
    <xf numFmtId="0" fontId="49" fillId="0" borderId="26" xfId="0" applyFont="1" applyBorder="1"/>
    <xf numFmtId="0" fontId="49" fillId="0" borderId="26" xfId="0" applyFont="1" applyBorder="1" applyAlignment="1">
      <alignment horizontal="center"/>
    </xf>
    <xf numFmtId="0" fontId="49" fillId="0" borderId="27" xfId="0" applyFont="1" applyBorder="1" applyAlignment="1">
      <alignment horizontal="center"/>
    </xf>
    <xf numFmtId="0" fontId="49" fillId="0" borderId="24" xfId="0" applyFont="1" applyBorder="1" applyAlignment="1">
      <alignment horizontal="center"/>
    </xf>
    <xf numFmtId="0" fontId="49" fillId="0" borderId="11" xfId="0" applyFont="1" applyBorder="1"/>
    <xf numFmtId="0" fontId="49" fillId="0" borderId="12" xfId="0" applyFont="1" applyBorder="1"/>
    <xf numFmtId="0" fontId="49" fillId="0" borderId="13" xfId="0" applyFont="1" applyBorder="1"/>
    <xf numFmtId="0" fontId="49" fillId="0" borderId="14" xfId="0" applyFont="1" applyBorder="1"/>
    <xf numFmtId="0" fontId="49" fillId="0" borderId="27" xfId="0" applyFont="1" applyBorder="1"/>
    <xf numFmtId="165" fontId="49" fillId="0" borderId="0" xfId="0" applyNumberFormat="1" applyFont="1" applyBorder="1"/>
    <xf numFmtId="0" fontId="49" fillId="0" borderId="15" xfId="0" applyFont="1" applyBorder="1"/>
    <xf numFmtId="0" fontId="50" fillId="0" borderId="14" xfId="0" applyFont="1" applyBorder="1" applyAlignment="1">
      <alignment horizontal="left"/>
    </xf>
    <xf numFmtId="0" fontId="50" fillId="0" borderId="27" xfId="0" applyFont="1" applyBorder="1"/>
    <xf numFmtId="0" fontId="52" fillId="0" borderId="14" xfId="0" applyFont="1" applyBorder="1" applyAlignment="1">
      <alignment horizontal="left"/>
    </xf>
    <xf numFmtId="0" fontId="49" fillId="0" borderId="14" xfId="0" applyFont="1" applyBorder="1" applyAlignment="1">
      <alignment horizontal="left"/>
    </xf>
    <xf numFmtId="0" fontId="52" fillId="0" borderId="27" xfId="0" applyFont="1" applyBorder="1"/>
    <xf numFmtId="0" fontId="53" fillId="0" borderId="27" xfId="0" applyFont="1" applyBorder="1"/>
    <xf numFmtId="0" fontId="49" fillId="0" borderId="16" xfId="0" applyFont="1" applyBorder="1" applyAlignment="1">
      <alignment horizontal="left"/>
    </xf>
    <xf numFmtId="0" fontId="49" fillId="0" borderId="24" xfId="0" applyFont="1" applyBorder="1"/>
    <xf numFmtId="0" fontId="49" fillId="0" borderId="18" xfId="0" applyFont="1" applyBorder="1"/>
    <xf numFmtId="0" fontId="49" fillId="0" borderId="27" xfId="0" applyFont="1" applyBorder="1" applyAlignment="1">
      <alignment horizontal="left"/>
    </xf>
    <xf numFmtId="0" fontId="52" fillId="0" borderId="27" xfId="0" applyFont="1" applyBorder="1" applyAlignment="1">
      <alignment horizontal="left"/>
    </xf>
    <xf numFmtId="0" fontId="52" fillId="0" borderId="0" xfId="0" applyFont="1" applyBorder="1"/>
    <xf numFmtId="0" fontId="50" fillId="0" borderId="27" xfId="0" applyFont="1" applyBorder="1" applyAlignment="1">
      <alignment horizontal="left"/>
    </xf>
    <xf numFmtId="0" fontId="50" fillId="0" borderId="0" xfId="0" applyFont="1" applyBorder="1"/>
    <xf numFmtId="0" fontId="49" fillId="0" borderId="24" xfId="0" applyFont="1" applyBorder="1" applyAlignment="1">
      <alignment horizontal="left"/>
    </xf>
    <xf numFmtId="0" fontId="49" fillId="0" borderId="17" xfId="0" applyFont="1" applyBorder="1"/>
    <xf numFmtId="0" fontId="49" fillId="0" borderId="0" xfId="0" applyFont="1" applyBorder="1" applyAlignment="1">
      <alignment horizontal="left"/>
    </xf>
    <xf numFmtId="0" fontId="49" fillId="0" borderId="16" xfId="0" applyFont="1" applyBorder="1"/>
    <xf numFmtId="165" fontId="49" fillId="0" borderId="27" xfId="0" applyNumberFormat="1" applyFont="1" applyBorder="1"/>
    <xf numFmtId="165" fontId="52" fillId="0" borderId="27" xfId="0" applyNumberFormat="1" applyFont="1" applyBorder="1"/>
    <xf numFmtId="0" fontId="49" fillId="0" borderId="27" xfId="0" applyFont="1" applyFill="1" applyBorder="1"/>
    <xf numFmtId="0" fontId="0" fillId="0" borderId="0" xfId="0" applyFill="1" applyBorder="1" applyAlignment="1"/>
    <xf numFmtId="0" fontId="0" fillId="0" borderId="0" xfId="0" applyAlignment="1"/>
    <xf numFmtId="165" fontId="0" fillId="0" borderId="0" xfId="0" applyNumberFormat="1"/>
    <xf numFmtId="0" fontId="0" fillId="0" borderId="22" xfId="0" applyBorder="1" applyAlignment="1">
      <alignment horizontal="center"/>
    </xf>
    <xf numFmtId="165" fontId="0" fillId="0" borderId="22" xfId="0" applyNumberFormat="1" applyBorder="1"/>
    <xf numFmtId="0" fontId="56" fillId="0" borderId="0" xfId="0" applyFont="1"/>
    <xf numFmtId="0" fontId="55" fillId="0" borderId="0" xfId="0" applyFont="1"/>
    <xf numFmtId="0" fontId="56" fillId="0" borderId="0" xfId="0" applyFont="1" applyAlignment="1">
      <alignment wrapText="1"/>
    </xf>
    <xf numFmtId="0" fontId="10" fillId="0" borderId="16" xfId="0" applyFont="1" applyFill="1" applyBorder="1"/>
    <xf numFmtId="0" fontId="10" fillId="0" borderId="17" xfId="0" applyFont="1" applyFill="1" applyBorder="1"/>
    <xf numFmtId="0" fontId="10" fillId="0" borderId="18" xfId="0" applyFont="1" applyFill="1" applyBorder="1"/>
    <xf numFmtId="165" fontId="5" fillId="0" borderId="0" xfId="0" applyNumberFormat="1" applyFont="1" applyFill="1"/>
    <xf numFmtId="49" fontId="5" fillId="0" borderId="22" xfId="0" applyNumberFormat="1" applyFont="1" applyFill="1" applyBorder="1" applyAlignment="1">
      <alignment horizontal="center"/>
    </xf>
    <xf numFmtId="175" fontId="5" fillId="0" borderId="22" xfId="0" applyNumberFormat="1" applyFont="1" applyFill="1" applyBorder="1" applyAlignment="1">
      <alignment horizontal="center" vertical="justify" wrapText="1"/>
    </xf>
    <xf numFmtId="175" fontId="5" fillId="0" borderId="22" xfId="0" applyNumberFormat="1" applyFont="1" applyFill="1" applyBorder="1"/>
    <xf numFmtId="175" fontId="15" fillId="0" borderId="22" xfId="0" applyNumberFormat="1" applyFont="1" applyFill="1" applyBorder="1"/>
    <xf numFmtId="165" fontId="5" fillId="0" borderId="22" xfId="0" applyNumberFormat="1" applyFont="1" applyFill="1" applyBorder="1"/>
    <xf numFmtId="175" fontId="19" fillId="0" borderId="22" xfId="0" applyNumberFormat="1" applyFont="1" applyFill="1" applyBorder="1"/>
    <xf numFmtId="175" fontId="19" fillId="0" borderId="0" xfId="0" applyNumberFormat="1" applyFont="1" applyFill="1" applyAlignment="1"/>
    <xf numFmtId="175" fontId="5" fillId="0" borderId="0" xfId="0" applyNumberFormat="1" applyFont="1" applyFill="1" applyAlignment="1"/>
    <xf numFmtId="175" fontId="15" fillId="0" borderId="0" xfId="0" applyNumberFormat="1" applyFont="1" applyFill="1"/>
    <xf numFmtId="175" fontId="5" fillId="0" borderId="0" xfId="0" applyNumberFormat="1" applyFont="1" applyFill="1"/>
    <xf numFmtId="9" fontId="5" fillId="0" borderId="0" xfId="0" applyNumberFormat="1" applyFont="1" applyFill="1" applyAlignment="1">
      <alignment horizontal="left"/>
    </xf>
    <xf numFmtId="0" fontId="5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22" xfId="0" applyFont="1" applyBorder="1"/>
    <xf numFmtId="0" fontId="64" fillId="0" borderId="22" xfId="0" applyFont="1" applyFill="1" applyBorder="1" applyAlignment="1"/>
    <xf numFmtId="165" fontId="15" fillId="0" borderId="0" xfId="0" applyNumberFormat="1" applyFont="1" applyBorder="1"/>
    <xf numFmtId="0" fontId="5" fillId="0" borderId="22" xfId="0" applyFont="1" applyBorder="1"/>
    <xf numFmtId="165" fontId="15" fillId="0" borderId="22" xfId="0" applyNumberFormat="1" applyFont="1" applyBorder="1"/>
    <xf numFmtId="165" fontId="0" fillId="0" borderId="27" xfId="0" applyNumberFormat="1" applyBorder="1" applyAlignment="1"/>
    <xf numFmtId="165" fontId="0" fillId="0" borderId="27" xfId="0" applyNumberFormat="1" applyBorder="1"/>
    <xf numFmtId="165" fontId="5" fillId="0" borderId="20" xfId="0" applyNumberFormat="1" applyFont="1" applyBorder="1"/>
    <xf numFmtId="165" fontId="0" fillId="0" borderId="20" xfId="0" applyNumberFormat="1" applyBorder="1"/>
    <xf numFmtId="9" fontId="5" fillId="0" borderId="22" xfId="0" applyNumberFormat="1" applyFont="1" applyFill="1" applyBorder="1" applyAlignment="1">
      <alignment horizontal="center" vertical="justify"/>
    </xf>
    <xf numFmtId="0" fontId="3" fillId="0" borderId="16" xfId="0" applyFont="1" applyFill="1" applyBorder="1"/>
    <xf numFmtId="165" fontId="15" fillId="0" borderId="22" xfId="0" applyNumberFormat="1" applyFont="1" applyFill="1" applyBorder="1"/>
    <xf numFmtId="0" fontId="66" fillId="0" borderId="0" xfId="0" applyFont="1"/>
    <xf numFmtId="49" fontId="6" fillId="0" borderId="22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64" fillId="0" borderId="26" xfId="0" applyFont="1" applyFill="1" applyBorder="1" applyAlignment="1">
      <alignment horizontal="justify" vertical="justify" wrapText="1"/>
    </xf>
    <xf numFmtId="0" fontId="19" fillId="0" borderId="27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21" fillId="0" borderId="27" xfId="0" applyFont="1" applyBorder="1"/>
    <xf numFmtId="0" fontId="54" fillId="0" borderId="27" xfId="0" applyFont="1" applyBorder="1" applyAlignment="1">
      <alignment horizontal="left"/>
    </xf>
    <xf numFmtId="0" fontId="12" fillId="0" borderId="0" xfId="0" applyFont="1" applyBorder="1"/>
    <xf numFmtId="0" fontId="27" fillId="0" borderId="22" xfId="0" applyFont="1" applyBorder="1" applyAlignment="1">
      <alignment horizontal="left" wrapText="1"/>
    </xf>
    <xf numFmtId="0" fontId="64" fillId="0" borderId="22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15" fillId="0" borderId="22" xfId="0" applyFont="1" applyFill="1" applyBorder="1" applyAlignment="1">
      <alignment horizontal="left"/>
    </xf>
    <xf numFmtId="49" fontId="15" fillId="0" borderId="22" xfId="0" applyNumberFormat="1" applyFont="1" applyFill="1" applyBorder="1" applyAlignment="1">
      <alignment horizontal="left"/>
    </xf>
    <xf numFmtId="167" fontId="15" fillId="0" borderId="22" xfId="0" applyNumberFormat="1" applyFont="1" applyFill="1" applyBorder="1"/>
    <xf numFmtId="0" fontId="15" fillId="0" borderId="22" xfId="0" applyFont="1" applyFill="1" applyBorder="1"/>
    <xf numFmtId="165" fontId="15" fillId="0" borderId="22" xfId="0" applyNumberFormat="1" applyFont="1" applyFill="1" applyBorder="1" applyAlignment="1">
      <alignment horizontal="right"/>
    </xf>
    <xf numFmtId="0" fontId="5" fillId="0" borderId="11" xfId="0" applyFont="1" applyFill="1" applyBorder="1"/>
    <xf numFmtId="0" fontId="5" fillId="0" borderId="13" xfId="0" applyFont="1" applyFill="1" applyBorder="1"/>
    <xf numFmtId="0" fontId="52" fillId="0" borderId="15" xfId="0" applyFont="1" applyBorder="1"/>
    <xf numFmtId="0" fontId="72" fillId="0" borderId="0" xfId="0" applyFont="1" applyBorder="1"/>
    <xf numFmtId="0" fontId="73" fillId="0" borderId="0" xfId="0" applyFont="1"/>
    <xf numFmtId="167" fontId="59" fillId="0" borderId="22" xfId="0" applyNumberFormat="1" applyFont="1" applyFill="1" applyBorder="1"/>
    <xf numFmtId="167" fontId="0" fillId="0" borderId="0" xfId="0" applyNumberFormat="1" applyFill="1"/>
    <xf numFmtId="0" fontId="65" fillId="0" borderId="15" xfId="0" applyFont="1" applyFill="1" applyBorder="1"/>
    <xf numFmtId="0" fontId="65" fillId="0" borderId="27" xfId="0" applyFont="1" applyFill="1" applyBorder="1"/>
    <xf numFmtId="0" fontId="69" fillId="0" borderId="15" xfId="0" applyFont="1" applyFill="1" applyBorder="1"/>
    <xf numFmtId="165" fontId="65" fillId="0" borderId="0" xfId="0" applyNumberFormat="1" applyFont="1" applyFill="1" applyBorder="1"/>
    <xf numFmtId="0" fontId="65" fillId="0" borderId="18" xfId="0" applyFont="1" applyFill="1" applyBorder="1"/>
    <xf numFmtId="0" fontId="65" fillId="0" borderId="24" xfId="0" applyFont="1" applyFill="1" applyBorder="1"/>
    <xf numFmtId="0" fontId="65" fillId="0" borderId="0" xfId="0" applyFont="1" applyFill="1" applyBorder="1" applyAlignment="1">
      <alignment horizontal="left"/>
    </xf>
    <xf numFmtId="0" fontId="65" fillId="0" borderId="13" xfId="0" applyFont="1" applyFill="1" applyBorder="1" applyAlignment="1"/>
    <xf numFmtId="0" fontId="65" fillId="0" borderId="26" xfId="0" applyFont="1" applyFill="1" applyBorder="1" applyAlignment="1">
      <alignment horizontal="center"/>
    </xf>
    <xf numFmtId="0" fontId="65" fillId="0" borderId="27" xfId="0" applyFont="1" applyFill="1" applyBorder="1" applyAlignment="1">
      <alignment horizontal="center"/>
    </xf>
    <xf numFmtId="0" fontId="65" fillId="0" borderId="24" xfId="0" applyFont="1" applyFill="1" applyBorder="1" applyAlignment="1">
      <alignment horizontal="center"/>
    </xf>
    <xf numFmtId="0" fontId="65" fillId="0" borderId="23" xfId="0" applyFont="1" applyFill="1" applyBorder="1" applyAlignment="1">
      <alignment horizontal="left"/>
    </xf>
    <xf numFmtId="0" fontId="65" fillId="0" borderId="22" xfId="0" applyFont="1" applyFill="1" applyBorder="1" applyAlignment="1"/>
    <xf numFmtId="0" fontId="65" fillId="0" borderId="22" xfId="0" applyFont="1" applyFill="1" applyBorder="1"/>
    <xf numFmtId="0" fontId="69" fillId="0" borderId="27" xfId="0" applyFont="1" applyFill="1" applyBorder="1"/>
    <xf numFmtId="0" fontId="65" fillId="0" borderId="27" xfId="0" applyFont="1" applyFill="1" applyBorder="1" applyAlignment="1"/>
    <xf numFmtId="165" fontId="65" fillId="0" borderId="27" xfId="0" applyNumberFormat="1" applyFont="1" applyFill="1" applyBorder="1"/>
    <xf numFmtId="0" fontId="65" fillId="0" borderId="0" xfId="0" applyFont="1" applyFill="1" applyBorder="1"/>
    <xf numFmtId="0" fontId="65" fillId="0" borderId="26" xfId="0" applyFont="1" applyFill="1" applyBorder="1" applyAlignment="1"/>
    <xf numFmtId="0" fontId="65" fillId="0" borderId="26" xfId="0" applyFont="1" applyFill="1" applyBorder="1"/>
    <xf numFmtId="0" fontId="65" fillId="0" borderId="13" xfId="0" applyFont="1" applyFill="1" applyBorder="1"/>
    <xf numFmtId="0" fontId="65" fillId="0" borderId="24" xfId="0" applyFont="1" applyFill="1" applyBorder="1" applyAlignment="1"/>
    <xf numFmtId="0" fontId="65" fillId="0" borderId="21" xfId="0" applyFont="1" applyFill="1" applyBorder="1" applyAlignment="1">
      <alignment horizontal="left"/>
    </xf>
    <xf numFmtId="0" fontId="65" fillId="0" borderId="20" xfId="0" applyFont="1" applyFill="1" applyBorder="1" applyAlignment="1">
      <alignment horizontal="center"/>
    </xf>
    <xf numFmtId="0" fontId="65" fillId="0" borderId="21" xfId="0" applyFont="1" applyFill="1" applyBorder="1"/>
    <xf numFmtId="0" fontId="69" fillId="0" borderId="14" xfId="0" applyFont="1" applyFill="1" applyBorder="1" applyAlignment="1">
      <alignment horizontal="left"/>
    </xf>
    <xf numFmtId="165" fontId="69" fillId="0" borderId="27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15" fillId="0" borderId="0" xfId="0" applyFont="1" applyFill="1"/>
    <xf numFmtId="0" fontId="61" fillId="0" borderId="26" xfId="0" applyFont="1" applyFill="1" applyBorder="1" applyAlignment="1">
      <alignment horizontal="center" vertical="top" wrapText="1"/>
    </xf>
    <xf numFmtId="0" fontId="13" fillId="0" borderId="0" xfId="0" applyFont="1" applyFill="1"/>
    <xf numFmtId="0" fontId="61" fillId="0" borderId="52" xfId="0" applyFont="1" applyFill="1" applyBorder="1" applyAlignment="1">
      <alignment horizontal="center" vertical="top" wrapText="1"/>
    </xf>
    <xf numFmtId="0" fontId="61" fillId="0" borderId="22" xfId="0" applyFont="1" applyFill="1" applyBorder="1" applyAlignment="1">
      <alignment horizontal="center" vertical="top" wrapText="1"/>
    </xf>
    <xf numFmtId="0" fontId="61" fillId="0" borderId="14" xfId="0" applyFont="1" applyFill="1" applyBorder="1" applyAlignment="1">
      <alignment horizontal="center" vertical="top" wrapText="1"/>
    </xf>
    <xf numFmtId="0" fontId="6" fillId="0" borderId="41" xfId="0" applyFont="1" applyFill="1" applyBorder="1" applyAlignment="1">
      <alignment horizontal="center"/>
    </xf>
    <xf numFmtId="0" fontId="57" fillId="0" borderId="0" xfId="0" applyFont="1" applyFill="1" applyBorder="1"/>
    <xf numFmtId="49" fontId="57" fillId="0" borderId="0" xfId="0" applyNumberFormat="1" applyFont="1" applyFill="1" applyBorder="1" applyAlignment="1">
      <alignment horizontal="center"/>
    </xf>
    <xf numFmtId="167" fontId="19" fillId="0" borderId="0" xfId="0" applyNumberFormat="1" applyFont="1" applyFill="1" applyBorder="1"/>
    <xf numFmtId="167" fontId="5" fillId="0" borderId="0" xfId="0" applyNumberFormat="1" applyFont="1" applyFill="1" applyBorder="1"/>
    <xf numFmtId="167" fontId="34" fillId="0" borderId="0" xfId="0" applyNumberFormat="1" applyFont="1" applyFill="1" applyBorder="1"/>
    <xf numFmtId="0" fontId="91" fillId="0" borderId="0" xfId="0" applyFont="1" applyFill="1" applyBorder="1"/>
    <xf numFmtId="165" fontId="65" fillId="0" borderId="22" xfId="0" applyNumberFormat="1" applyFont="1" applyFill="1" applyBorder="1" applyAlignment="1">
      <alignment horizontal="center"/>
    </xf>
    <xf numFmtId="165" fontId="65" fillId="0" borderId="24" xfId="0" applyNumberFormat="1" applyFont="1" applyFill="1" applyBorder="1"/>
    <xf numFmtId="0" fontId="69" fillId="0" borderId="11" xfId="0" applyFont="1" applyFill="1" applyBorder="1" applyAlignment="1">
      <alignment horizontal="left"/>
    </xf>
    <xf numFmtId="0" fontId="65" fillId="0" borderId="12" xfId="0" applyFont="1" applyFill="1" applyBorder="1" applyAlignment="1">
      <alignment horizontal="left"/>
    </xf>
    <xf numFmtId="0" fontId="69" fillId="0" borderId="11" xfId="0" applyFont="1" applyFill="1" applyBorder="1"/>
    <xf numFmtId="0" fontId="69" fillId="0" borderId="14" xfId="0" applyFont="1" applyFill="1" applyBorder="1"/>
    <xf numFmtId="0" fontId="65" fillId="0" borderId="14" xfId="0" applyFont="1" applyFill="1" applyBorder="1"/>
    <xf numFmtId="0" fontId="65" fillId="0" borderId="16" xfId="0" applyFont="1" applyFill="1" applyBorder="1"/>
    <xf numFmtId="0" fontId="65" fillId="0" borderId="11" xfId="0" applyFont="1" applyFill="1" applyBorder="1"/>
    <xf numFmtId="0" fontId="65" fillId="0" borderId="14" xfId="0" applyFont="1" applyFill="1" applyBorder="1" applyAlignment="1"/>
    <xf numFmtId="0" fontId="69" fillId="0" borderId="14" xfId="0" applyFont="1" applyFill="1" applyBorder="1" applyAlignment="1"/>
    <xf numFmtId="165" fontId="65" fillId="0" borderId="14" xfId="0" applyNumberFormat="1" applyFont="1" applyFill="1" applyBorder="1"/>
    <xf numFmtId="170" fontId="69" fillId="0" borderId="14" xfId="0" applyNumberFormat="1" applyFont="1" applyFill="1" applyBorder="1"/>
    <xf numFmtId="165" fontId="69" fillId="0" borderId="14" xfId="0" applyNumberFormat="1" applyFont="1" applyFill="1" applyBorder="1"/>
    <xf numFmtId="165" fontId="65" fillId="0" borderId="16" xfId="0" applyNumberFormat="1" applyFont="1" applyFill="1" applyBorder="1"/>
    <xf numFmtId="165" fontId="65" fillId="0" borderId="15" xfId="0" applyNumberFormat="1" applyFont="1" applyFill="1" applyBorder="1"/>
    <xf numFmtId="165" fontId="69" fillId="0" borderId="15" xfId="0" applyNumberFormat="1" applyFont="1" applyFill="1" applyBorder="1"/>
    <xf numFmtId="165" fontId="69" fillId="0" borderId="24" xfId="0" applyNumberFormat="1" applyFont="1" applyFill="1" applyBorder="1"/>
    <xf numFmtId="165" fontId="65" fillId="0" borderId="18" xfId="0" applyNumberFormat="1" applyFont="1" applyFill="1" applyBorder="1"/>
    <xf numFmtId="165" fontId="69" fillId="0" borderId="0" xfId="0" applyNumberFormat="1" applyFont="1" applyFill="1" applyBorder="1"/>
    <xf numFmtId="165" fontId="65" fillId="0" borderId="26" xfId="0" applyNumberFormat="1" applyFont="1" applyFill="1" applyBorder="1"/>
    <xf numFmtId="0" fontId="18" fillId="0" borderId="22" xfId="0" applyFont="1" applyBorder="1" applyAlignment="1">
      <alignment horizontal="center"/>
    </xf>
    <xf numFmtId="0" fontId="6" fillId="0" borderId="22" xfId="0" applyFont="1" applyBorder="1"/>
    <xf numFmtId="165" fontId="27" fillId="0" borderId="27" xfId="0" applyNumberFormat="1" applyFont="1" applyFill="1" applyBorder="1"/>
    <xf numFmtId="165" fontId="27" fillId="0" borderId="38" xfId="0" applyNumberFormat="1" applyFont="1" applyFill="1" applyBorder="1"/>
    <xf numFmtId="0" fontId="27" fillId="0" borderId="38" xfId="0" applyFont="1" applyFill="1" applyBorder="1"/>
    <xf numFmtId="168" fontId="27" fillId="0" borderId="59" xfId="0" applyNumberFormat="1" applyFont="1" applyFill="1" applyBorder="1"/>
    <xf numFmtId="0" fontId="69" fillId="0" borderId="0" xfId="0" applyFont="1" applyFill="1" applyBorder="1" applyAlignment="1">
      <alignment horizontal="center"/>
    </xf>
    <xf numFmtId="0" fontId="69" fillId="0" borderId="13" xfId="0" applyFont="1" applyFill="1" applyBorder="1"/>
    <xf numFmtId="0" fontId="15" fillId="0" borderId="26" xfId="0" applyFont="1" applyFill="1" applyBorder="1" applyAlignment="1"/>
    <xf numFmtId="0" fontId="67" fillId="0" borderId="26" xfId="0" applyFont="1" applyFill="1" applyBorder="1"/>
    <xf numFmtId="0" fontId="64" fillId="0" borderId="26" xfId="0" applyFont="1" applyFill="1" applyBorder="1"/>
    <xf numFmtId="0" fontId="64" fillId="0" borderId="11" xfId="0" applyFont="1" applyFill="1" applyBorder="1"/>
    <xf numFmtId="0" fontId="18" fillId="0" borderId="4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65" fontId="69" fillId="0" borderId="22" xfId="0" applyNumberFormat="1" applyFont="1" applyFill="1" applyBorder="1"/>
    <xf numFmtId="165" fontId="52" fillId="0" borderId="0" xfId="0" applyNumberFormat="1" applyFont="1" applyFill="1" applyBorder="1"/>
    <xf numFmtId="0" fontId="43" fillId="0" borderId="0" xfId="0" applyFont="1" applyFill="1"/>
    <xf numFmtId="0" fontId="15" fillId="0" borderId="0" xfId="0" applyFont="1" applyFill="1" applyBorder="1" applyAlignment="1">
      <alignment horizontal="left"/>
    </xf>
    <xf numFmtId="164" fontId="69" fillId="0" borderId="22" xfId="0" applyNumberFormat="1" applyFont="1" applyFill="1" applyBorder="1"/>
    <xf numFmtId="164" fontId="15" fillId="0" borderId="0" xfId="0" applyNumberFormat="1" applyFont="1" applyFill="1" applyBorder="1"/>
    <xf numFmtId="164" fontId="12" fillId="0" borderId="22" xfId="0" applyNumberFormat="1" applyFont="1" applyFill="1" applyBorder="1"/>
    <xf numFmtId="167" fontId="59" fillId="0" borderId="0" xfId="0" applyNumberFormat="1" applyFont="1" applyFill="1" applyBorder="1"/>
    <xf numFmtId="167" fontId="15" fillId="0" borderId="0" xfId="0" applyNumberFormat="1" applyFont="1" applyFill="1" applyBorder="1" applyAlignment="1"/>
    <xf numFmtId="167" fontId="15" fillId="0" borderId="22" xfId="0" applyNumberFormat="1" applyFont="1" applyFill="1" applyBorder="1" applyAlignment="1"/>
    <xf numFmtId="0" fontId="6" fillId="0" borderId="0" xfId="0" applyFont="1" applyFill="1" applyBorder="1" applyAlignment="1">
      <alignment horizontal="left"/>
    </xf>
    <xf numFmtId="165" fontId="12" fillId="0" borderId="0" xfId="0" applyNumberFormat="1" applyFont="1" applyFill="1" applyBorder="1"/>
    <xf numFmtId="167" fontId="69" fillId="0" borderId="22" xfId="0" applyNumberFormat="1" applyFont="1" applyFill="1" applyBorder="1"/>
    <xf numFmtId="167" fontId="15" fillId="0" borderId="0" xfId="0" applyNumberFormat="1" applyFont="1" applyFill="1" applyBorder="1"/>
    <xf numFmtId="0" fontId="65" fillId="0" borderId="0" xfId="0" applyFont="1" applyFill="1"/>
    <xf numFmtId="0" fontId="65" fillId="0" borderId="0" xfId="0" applyFont="1"/>
    <xf numFmtId="165" fontId="6" fillId="0" borderId="0" xfId="0" applyNumberFormat="1" applyFont="1" applyFill="1" applyBorder="1" applyAlignment="1">
      <alignment horizontal="center"/>
    </xf>
    <xf numFmtId="0" fontId="0" fillId="0" borderId="35" xfId="0" applyBorder="1"/>
    <xf numFmtId="0" fontId="6" fillId="0" borderId="37" xfId="0" applyFont="1" applyFill="1" applyBorder="1"/>
    <xf numFmtId="0" fontId="0" fillId="0" borderId="29" xfId="0" applyBorder="1"/>
    <xf numFmtId="0" fontId="0" fillId="0" borderId="32" xfId="0" applyBorder="1"/>
    <xf numFmtId="0" fontId="0" fillId="0" borderId="34" xfId="0" applyBorder="1"/>
    <xf numFmtId="168" fontId="5" fillId="0" borderId="22" xfId="0" applyNumberFormat="1" applyFont="1" applyFill="1" applyBorder="1"/>
    <xf numFmtId="175" fontId="15" fillId="0" borderId="22" xfId="0" applyNumberFormat="1" applyFont="1" applyFill="1" applyBorder="1" applyAlignment="1">
      <alignment horizontal="center" vertical="justify"/>
    </xf>
    <xf numFmtId="49" fontId="5" fillId="0" borderId="23" xfId="0" applyNumberFormat="1" applyFont="1" applyFill="1" applyBorder="1" applyAlignment="1">
      <alignment horizontal="center"/>
    </xf>
    <xf numFmtId="49" fontId="5" fillId="0" borderId="21" xfId="0" applyNumberFormat="1" applyFont="1" applyFill="1" applyBorder="1" applyAlignment="1">
      <alignment horizontal="center"/>
    </xf>
    <xf numFmtId="9" fontId="5" fillId="0" borderId="23" xfId="0" applyNumberFormat="1" applyFont="1" applyFill="1" applyBorder="1" applyAlignment="1">
      <alignment horizontal="center" vertical="justify"/>
    </xf>
    <xf numFmtId="175" fontId="5" fillId="0" borderId="23" xfId="0" applyNumberFormat="1" applyFont="1" applyFill="1" applyBorder="1"/>
    <xf numFmtId="175" fontId="15" fillId="0" borderId="21" xfId="0" applyNumberFormat="1" applyFont="1" applyFill="1" applyBorder="1"/>
    <xf numFmtId="9" fontId="5" fillId="0" borderId="21" xfId="0" applyNumberFormat="1" applyFont="1" applyFill="1" applyBorder="1" applyAlignment="1">
      <alignment horizontal="center" vertical="justify"/>
    </xf>
    <xf numFmtId="175" fontId="5" fillId="0" borderId="21" xfId="0" applyNumberFormat="1" applyFont="1" applyFill="1" applyBorder="1"/>
    <xf numFmtId="0" fontId="5" fillId="0" borderId="0" xfId="0" applyFont="1" applyFill="1" applyBorder="1" applyAlignment="1"/>
    <xf numFmtId="0" fontId="5" fillId="0" borderId="35" xfId="0" applyFont="1" applyFill="1" applyBorder="1" applyAlignment="1"/>
    <xf numFmtId="49" fontId="5" fillId="0" borderId="36" xfId="0" applyNumberFormat="1" applyFont="1" applyFill="1" applyBorder="1" applyAlignment="1">
      <alignment horizontal="center"/>
    </xf>
    <xf numFmtId="175" fontId="5" fillId="0" borderId="36" xfId="0" applyNumberFormat="1" applyFont="1" applyFill="1" applyBorder="1" applyAlignment="1">
      <alignment horizontal="center" vertical="justify"/>
    </xf>
    <xf numFmtId="168" fontId="0" fillId="0" borderId="0" xfId="0" applyNumberFormat="1" applyFill="1"/>
    <xf numFmtId="168" fontId="19" fillId="0" borderId="0" xfId="0" applyNumberFormat="1" applyFont="1"/>
    <xf numFmtId="0" fontId="19" fillId="0" borderId="0" xfId="0" applyFont="1"/>
    <xf numFmtId="165" fontId="5" fillId="0" borderId="23" xfId="0" applyNumberFormat="1" applyFont="1" applyFill="1" applyBorder="1" applyAlignment="1">
      <alignment horizontal="center"/>
    </xf>
    <xf numFmtId="165" fontId="5" fillId="0" borderId="23" xfId="0" applyNumberFormat="1" applyFont="1" applyFill="1" applyBorder="1"/>
    <xf numFmtId="168" fontId="0" fillId="0" borderId="22" xfId="0" applyNumberFormat="1" applyFill="1" applyBorder="1"/>
    <xf numFmtId="176" fontId="5" fillId="0" borderId="22" xfId="0" applyNumberFormat="1" applyFont="1" applyFill="1" applyBorder="1"/>
    <xf numFmtId="168" fontId="15" fillId="0" borderId="22" xfId="0" applyNumberFormat="1" applyFont="1" applyFill="1" applyBorder="1"/>
    <xf numFmtId="175" fontId="64" fillId="0" borderId="22" xfId="0" applyNumberFormat="1" applyFont="1" applyFill="1" applyBorder="1"/>
    <xf numFmtId="168" fontId="19" fillId="0" borderId="22" xfId="0" applyNumberFormat="1" applyFont="1" applyBorder="1"/>
    <xf numFmtId="168" fontId="5" fillId="0" borderId="22" xfId="0" applyNumberFormat="1" applyFont="1" applyBorder="1"/>
    <xf numFmtId="0" fontId="44" fillId="0" borderId="29" xfId="0" applyFont="1" applyBorder="1"/>
    <xf numFmtId="0" fontId="44" fillId="0" borderId="32" xfId="0" applyFont="1" applyBorder="1"/>
    <xf numFmtId="0" fontId="44" fillId="0" borderId="34" xfId="0" applyFont="1" applyBorder="1"/>
    <xf numFmtId="0" fontId="44" fillId="0" borderId="0" xfId="0" applyFont="1"/>
    <xf numFmtId="0" fontId="44" fillId="0" borderId="35" xfId="0" applyFont="1" applyFill="1" applyBorder="1" applyAlignment="1"/>
    <xf numFmtId="0" fontId="44" fillId="0" borderId="0" xfId="0" applyFont="1" applyFill="1" applyBorder="1" applyAlignment="1"/>
    <xf numFmtId="49" fontId="44" fillId="0" borderId="36" xfId="0" applyNumberFormat="1" applyFont="1" applyFill="1" applyBorder="1" applyAlignment="1">
      <alignment horizontal="center"/>
    </xf>
    <xf numFmtId="49" fontId="44" fillId="0" borderId="21" xfId="0" applyNumberFormat="1" applyFont="1" applyFill="1" applyBorder="1" applyAlignment="1">
      <alignment horizontal="center"/>
    </xf>
    <xf numFmtId="49" fontId="44" fillId="0" borderId="22" xfId="0" applyNumberFormat="1" applyFont="1" applyFill="1" applyBorder="1" applyAlignment="1">
      <alignment horizontal="center"/>
    </xf>
    <xf numFmtId="49" fontId="44" fillId="0" borderId="23" xfId="0" applyNumberFormat="1" applyFont="1" applyFill="1" applyBorder="1" applyAlignment="1">
      <alignment horizontal="center"/>
    </xf>
    <xf numFmtId="165" fontId="44" fillId="0" borderId="23" xfId="0" applyNumberFormat="1" applyFont="1" applyFill="1" applyBorder="1" applyAlignment="1">
      <alignment horizontal="center"/>
    </xf>
    <xf numFmtId="0" fontId="6" fillId="0" borderId="35" xfId="0" applyFont="1" applyBorder="1"/>
    <xf numFmtId="0" fontId="15" fillId="0" borderId="0" xfId="0" applyFont="1" applyFill="1" applyBorder="1" applyAlignment="1"/>
    <xf numFmtId="175" fontId="15" fillId="0" borderId="36" xfId="0" applyNumberFormat="1" applyFont="1" applyFill="1" applyBorder="1" applyAlignment="1">
      <alignment horizontal="center" vertical="justify"/>
    </xf>
    <xf numFmtId="9" fontId="15" fillId="0" borderId="21" xfId="0" applyNumberFormat="1" applyFont="1" applyFill="1" applyBorder="1" applyAlignment="1">
      <alignment horizontal="center" vertical="justify"/>
    </xf>
    <xf numFmtId="9" fontId="15" fillId="0" borderId="22" xfId="0" applyNumberFormat="1" applyFont="1" applyFill="1" applyBorder="1" applyAlignment="1">
      <alignment horizontal="center" vertical="justify"/>
    </xf>
    <xf numFmtId="9" fontId="15" fillId="0" borderId="23" xfId="0" applyNumberFormat="1" applyFont="1" applyFill="1" applyBorder="1" applyAlignment="1">
      <alignment horizontal="center" vertical="justify"/>
    </xf>
    <xf numFmtId="175" fontId="15" fillId="0" borderId="22" xfId="0" applyNumberFormat="1" applyFont="1" applyFill="1" applyBorder="1" applyAlignment="1">
      <alignment horizontal="center" vertical="justify" wrapText="1"/>
    </xf>
    <xf numFmtId="165" fontId="15" fillId="0" borderId="23" xfId="0" applyNumberFormat="1" applyFont="1" applyFill="1" applyBorder="1" applyAlignment="1">
      <alignment horizontal="center"/>
    </xf>
    <xf numFmtId="175" fontId="15" fillId="0" borderId="23" xfId="0" applyNumberFormat="1" applyFont="1" applyFill="1" applyBorder="1"/>
    <xf numFmtId="165" fontId="15" fillId="0" borderId="23" xfId="0" applyNumberFormat="1" applyFont="1" applyFill="1" applyBorder="1"/>
    <xf numFmtId="9" fontId="15" fillId="0" borderId="22" xfId="0" applyNumberFormat="1" applyFont="1" applyFill="1" applyBorder="1" applyAlignment="1">
      <alignment horizontal="left"/>
    </xf>
    <xf numFmtId="0" fontId="93" fillId="0" borderId="0" xfId="0" applyFont="1" applyBorder="1"/>
    <xf numFmtId="0" fontId="6" fillId="0" borderId="0" xfId="0" applyFont="1" applyFill="1" applyBorder="1" applyAlignment="1">
      <alignment horizontal="center"/>
    </xf>
    <xf numFmtId="0" fontId="15" fillId="0" borderId="27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left"/>
    </xf>
    <xf numFmtId="0" fontId="0" fillId="0" borderId="27" xfId="0" applyFill="1" applyBorder="1" applyAlignment="1">
      <alignment horizontal="center" wrapText="1"/>
    </xf>
    <xf numFmtId="0" fontId="6" fillId="0" borderId="34" xfId="0" applyFont="1" applyFill="1" applyBorder="1" applyAlignment="1">
      <alignment horizontal="center"/>
    </xf>
    <xf numFmtId="0" fontId="10" fillId="0" borderId="0" xfId="0" applyFont="1" applyFill="1"/>
    <xf numFmtId="0" fontId="51" fillId="0" borderId="76" xfId="0" applyFont="1" applyFill="1" applyBorder="1" applyAlignment="1"/>
    <xf numFmtId="0" fontId="51" fillId="0" borderId="53" xfId="0" applyFont="1" applyFill="1" applyBorder="1" applyAlignment="1"/>
    <xf numFmtId="165" fontId="51" fillId="0" borderId="77" xfId="0" applyNumberFormat="1" applyFont="1" applyFill="1" applyBorder="1" applyAlignment="1"/>
    <xf numFmtId="0" fontId="69" fillId="0" borderId="22" xfId="0" applyFont="1" applyFill="1" applyBorder="1"/>
    <xf numFmtId="0" fontId="15" fillId="0" borderId="22" xfId="0" applyFont="1" applyFill="1" applyBorder="1" applyAlignment="1"/>
    <xf numFmtId="0" fontId="64" fillId="0" borderId="22" xfId="0" applyFont="1" applyFill="1" applyBorder="1" applyAlignment="1">
      <alignment horizontal="justify" vertical="justify" wrapText="1"/>
    </xf>
    <xf numFmtId="0" fontId="67" fillId="0" borderId="22" xfId="0" applyFont="1" applyFill="1" applyBorder="1"/>
    <xf numFmtId="0" fontId="64" fillId="0" borderId="22" xfId="0" applyFont="1" applyFill="1" applyBorder="1"/>
    <xf numFmtId="0" fontId="6" fillId="0" borderId="48" xfId="0" applyFont="1" applyFill="1" applyBorder="1" applyAlignment="1">
      <alignment horizontal="center"/>
    </xf>
    <xf numFmtId="0" fontId="6" fillId="0" borderId="49" xfId="0" applyFont="1" applyFill="1" applyBorder="1" applyAlignment="1">
      <alignment horizontal="center"/>
    </xf>
    <xf numFmtId="0" fontId="18" fillId="0" borderId="5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67" fontId="43" fillId="0" borderId="0" xfId="0" applyNumberFormat="1" applyFont="1" applyFill="1"/>
    <xf numFmtId="0" fontId="57" fillId="0" borderId="22" xfId="0" applyFont="1" applyFill="1" applyBorder="1"/>
    <xf numFmtId="0" fontId="54" fillId="0" borderId="22" xfId="0" applyFont="1" applyFill="1" applyBorder="1"/>
    <xf numFmtId="49" fontId="57" fillId="0" borderId="22" xfId="0" applyNumberFormat="1" applyFont="1" applyFill="1" applyBorder="1" applyAlignment="1">
      <alignment horizontal="center"/>
    </xf>
    <xf numFmtId="165" fontId="65" fillId="0" borderId="22" xfId="0" applyNumberFormat="1" applyFont="1" applyFill="1" applyBorder="1"/>
    <xf numFmtId="167" fontId="5" fillId="0" borderId="22" xfId="0" applyNumberFormat="1" applyFont="1" applyFill="1" applyBorder="1"/>
    <xf numFmtId="167" fontId="34" fillId="0" borderId="22" xfId="0" applyNumberFormat="1" applyFont="1" applyFill="1" applyBorder="1"/>
    <xf numFmtId="164" fontId="69" fillId="0" borderId="15" xfId="0" applyNumberFormat="1" applyFont="1" applyFill="1" applyBorder="1"/>
    <xf numFmtId="164" fontId="65" fillId="0" borderId="15" xfId="0" applyNumberFormat="1" applyFont="1" applyFill="1" applyBorder="1"/>
    <xf numFmtId="0" fontId="69" fillId="0" borderId="77" xfId="0" applyFont="1" applyFill="1" applyBorder="1"/>
    <xf numFmtId="0" fontId="15" fillId="0" borderId="52" xfId="0" applyFont="1" applyFill="1" applyBorder="1" applyAlignment="1"/>
    <xf numFmtId="0" fontId="67" fillId="0" borderId="52" xfId="0" applyFont="1" applyFill="1" applyBorder="1"/>
    <xf numFmtId="0" fontId="64" fillId="0" borderId="52" xfId="0" applyFont="1" applyFill="1" applyBorder="1"/>
    <xf numFmtId="0" fontId="64" fillId="0" borderId="51" xfId="0" applyFont="1" applyFill="1" applyBorder="1"/>
    <xf numFmtId="0" fontId="18" fillId="0" borderId="59" xfId="0" applyFont="1" applyFill="1" applyBorder="1" applyAlignment="1">
      <alignment horizontal="center"/>
    </xf>
    <xf numFmtId="165" fontId="52" fillId="0" borderId="77" xfId="0" applyNumberFormat="1" applyFont="1" applyFill="1" applyBorder="1" applyAlignment="1"/>
    <xf numFmtId="0" fontId="6" fillId="0" borderId="0" xfId="0" applyFont="1" applyFill="1"/>
    <xf numFmtId="0" fontId="57" fillId="0" borderId="44" xfId="0" applyFont="1" applyFill="1" applyBorder="1"/>
    <xf numFmtId="0" fontId="63" fillId="0" borderId="22" xfId="0" applyFont="1" applyFill="1" applyBorder="1" applyAlignment="1">
      <alignment vertical="distributed" wrapText="1"/>
    </xf>
    <xf numFmtId="49" fontId="57" fillId="0" borderId="24" xfId="0" applyNumberFormat="1" applyFont="1" applyFill="1" applyBorder="1" applyAlignment="1">
      <alignment horizontal="center"/>
    </xf>
    <xf numFmtId="165" fontId="95" fillId="0" borderId="22" xfId="0" applyNumberFormat="1" applyFont="1" applyFill="1" applyBorder="1"/>
    <xf numFmtId="0" fontId="3" fillId="0" borderId="22" xfId="0" applyFont="1" applyFill="1" applyBorder="1"/>
    <xf numFmtId="0" fontId="4" fillId="0" borderId="22" xfId="0" applyFont="1" applyFill="1" applyBorder="1" applyAlignment="1">
      <alignment horizontal="left"/>
    </xf>
    <xf numFmtId="49" fontId="57" fillId="0" borderId="22" xfId="0" applyNumberFormat="1" applyFont="1" applyFill="1" applyBorder="1" applyAlignment="1">
      <alignment horizontal="left"/>
    </xf>
    <xf numFmtId="0" fontId="3" fillId="0" borderId="22" xfId="0" applyFont="1" applyFill="1" applyBorder="1" applyAlignment="1"/>
    <xf numFmtId="0" fontId="16" fillId="0" borderId="22" xfId="0" applyFont="1" applyFill="1" applyBorder="1" applyAlignment="1">
      <alignment vertical="distributed"/>
    </xf>
    <xf numFmtId="0" fontId="54" fillId="0" borderId="22" xfId="0" applyFont="1" applyFill="1" applyBorder="1" applyAlignment="1">
      <alignment horizontal="left"/>
    </xf>
    <xf numFmtId="165" fontId="65" fillId="0" borderId="22" xfId="32" applyNumberFormat="1" applyFont="1" applyFill="1" applyBorder="1"/>
    <xf numFmtId="165" fontId="65" fillId="0" borderId="22" xfId="0" applyNumberFormat="1" applyFont="1" applyFill="1" applyBorder="1" applyAlignment="1">
      <alignment wrapText="1"/>
    </xf>
    <xf numFmtId="167" fontId="6" fillId="0" borderId="0" xfId="0" applyNumberFormat="1" applyFont="1" applyFill="1"/>
    <xf numFmtId="0" fontId="4" fillId="0" borderId="22" xfId="0" applyFont="1" applyFill="1" applyBorder="1"/>
    <xf numFmtId="0" fontId="16" fillId="0" borderId="22" xfId="0" applyFont="1" applyFill="1" applyBorder="1"/>
    <xf numFmtId="0" fontId="16" fillId="0" borderId="22" xfId="0" applyFont="1" applyFill="1" applyBorder="1" applyAlignment="1"/>
    <xf numFmtId="0" fontId="54" fillId="0" borderId="22" xfId="0" applyFont="1" applyFill="1" applyBorder="1" applyAlignment="1">
      <alignment horizontal="left" wrapText="1"/>
    </xf>
    <xf numFmtId="167" fontId="16" fillId="0" borderId="22" xfId="0" applyNumberFormat="1" applyFont="1" applyFill="1" applyBorder="1"/>
    <xf numFmtId="167" fontId="3" fillId="0" borderId="22" xfId="0" applyNumberFormat="1" applyFont="1" applyFill="1" applyBorder="1"/>
    <xf numFmtId="0" fontId="10" fillId="0" borderId="22" xfId="0" applyFont="1" applyFill="1" applyBorder="1"/>
    <xf numFmtId="165" fontId="65" fillId="0" borderId="13" xfId="0" applyNumberFormat="1" applyFont="1" applyFill="1" applyBorder="1"/>
    <xf numFmtId="167" fontId="16" fillId="0" borderId="0" xfId="0" applyNumberFormat="1" applyFont="1" applyFill="1" applyBorder="1"/>
    <xf numFmtId="0" fontId="10" fillId="0" borderId="0" xfId="0" applyFont="1"/>
    <xf numFmtId="0" fontId="91" fillId="0" borderId="22" xfId="0" applyFont="1" applyFill="1" applyBorder="1"/>
    <xf numFmtId="0" fontId="16" fillId="0" borderId="24" xfId="0" applyFont="1" applyFill="1" applyBorder="1" applyAlignment="1"/>
    <xf numFmtId="0" fontId="91" fillId="0" borderId="22" xfId="0" applyFont="1" applyFill="1" applyBorder="1" applyAlignment="1"/>
    <xf numFmtId="165" fontId="65" fillId="0" borderId="22" xfId="0" applyNumberFormat="1" applyFont="1" applyFill="1" applyBorder="1" applyAlignment="1"/>
    <xf numFmtId="0" fontId="57" fillId="0" borderId="22" xfId="0" applyFont="1" applyFill="1" applyBorder="1" applyAlignment="1">
      <alignment horizontal="left"/>
    </xf>
    <xf numFmtId="0" fontId="57" fillId="0" borderId="42" xfId="0" applyFont="1" applyFill="1" applyBorder="1"/>
    <xf numFmtId="0" fontId="16" fillId="0" borderId="24" xfId="0" applyFont="1" applyFill="1" applyBorder="1" applyAlignment="1">
      <alignment vertical="distributed"/>
    </xf>
    <xf numFmtId="0" fontId="63" fillId="0" borderId="24" xfId="0" applyFont="1" applyFill="1" applyBorder="1" applyAlignment="1">
      <alignment vertical="distributed" wrapText="1"/>
    </xf>
    <xf numFmtId="165" fontId="95" fillId="0" borderId="24" xfId="0" applyNumberFormat="1" applyFont="1" applyFill="1" applyBorder="1"/>
    <xf numFmtId="0" fontId="64" fillId="0" borderId="0" xfId="0" applyFont="1" applyFill="1"/>
    <xf numFmtId="164" fontId="12" fillId="0" borderId="0" xfId="0" applyNumberFormat="1" applyFont="1" applyFill="1" applyBorder="1"/>
    <xf numFmtId="167" fontId="13" fillId="0" borderId="0" xfId="0" applyNumberFormat="1" applyFont="1" applyFill="1"/>
    <xf numFmtId="165" fontId="3" fillId="0" borderId="0" xfId="0" applyNumberFormat="1" applyFont="1" applyFill="1"/>
    <xf numFmtId="0" fontId="3" fillId="0" borderId="0" xfId="0" applyFont="1" applyFill="1"/>
    <xf numFmtId="175" fontId="3" fillId="0" borderId="22" xfId="0" applyNumberFormat="1" applyFont="1" applyFill="1" applyBorder="1"/>
    <xf numFmtId="175" fontId="3" fillId="0" borderId="0" xfId="0" applyNumberFormat="1" applyFont="1" applyFill="1"/>
    <xf numFmtId="44" fontId="3" fillId="0" borderId="0" xfId="0" applyNumberFormat="1" applyFont="1" applyFill="1"/>
    <xf numFmtId="175" fontId="16" fillId="0" borderId="22" xfId="0" applyNumberFormat="1" applyFont="1" applyFill="1" applyBorder="1"/>
    <xf numFmtId="175" fontId="64" fillId="0" borderId="0" xfId="0" applyNumberFormat="1" applyFont="1" applyFill="1"/>
    <xf numFmtId="175" fontId="16" fillId="0" borderId="22" xfId="0" applyNumberFormat="1" applyFont="1" applyFill="1" applyBorder="1" applyAlignment="1">
      <alignment horizontal="center" vertical="justify"/>
    </xf>
    <xf numFmtId="175" fontId="16" fillId="0" borderId="0" xfId="0" applyNumberFormat="1" applyFont="1" applyFill="1" applyAlignment="1"/>
    <xf numFmtId="175" fontId="16" fillId="0" borderId="0" xfId="0" applyNumberFormat="1" applyFont="1" applyFill="1"/>
    <xf numFmtId="44" fontId="16" fillId="0" borderId="0" xfId="0" applyNumberFormat="1" applyFont="1" applyFill="1"/>
    <xf numFmtId="0" fontId="64" fillId="0" borderId="0" xfId="0" applyFont="1" applyFill="1" applyBorder="1" applyAlignment="1">
      <alignment horizontal="center"/>
    </xf>
    <xf numFmtId="165" fontId="98" fillId="0" borderId="22" xfId="0" applyNumberFormat="1" applyFont="1" applyFill="1" applyBorder="1"/>
    <xf numFmtId="0" fontId="16" fillId="0" borderId="0" xfId="0" applyFont="1" applyFill="1"/>
    <xf numFmtId="175" fontId="0" fillId="0" borderId="0" xfId="0" applyNumberFormat="1" applyFill="1"/>
    <xf numFmtId="165" fontId="4" fillId="0" borderId="0" xfId="0" applyNumberFormat="1" applyFont="1" applyFill="1"/>
    <xf numFmtId="0" fontId="4" fillId="0" borderId="0" xfId="0" applyFont="1" applyFill="1"/>
    <xf numFmtId="0" fontId="6" fillId="0" borderId="70" xfId="0" applyFont="1" applyFill="1" applyBorder="1"/>
    <xf numFmtId="0" fontId="68" fillId="0" borderId="0" xfId="0" applyFont="1" applyFill="1" applyBorder="1"/>
    <xf numFmtId="0" fontId="22" fillId="0" borderId="0" xfId="0" applyFont="1" applyFill="1" applyBorder="1"/>
    <xf numFmtId="0" fontId="71" fillId="0" borderId="0" xfId="0" applyFont="1" applyFill="1" applyBorder="1"/>
    <xf numFmtId="0" fontId="60" fillId="0" borderId="0" xfId="0" applyFont="1" applyFill="1" applyBorder="1"/>
    <xf numFmtId="175" fontId="16" fillId="0" borderId="0" xfId="0" applyNumberFormat="1" applyFont="1" applyFill="1" applyBorder="1"/>
    <xf numFmtId="175" fontId="64" fillId="0" borderId="0" xfId="0" applyNumberFormat="1" applyFont="1" applyFill="1" applyBorder="1"/>
    <xf numFmtId="175" fontId="3" fillId="0" borderId="0" xfId="0" applyNumberFormat="1" applyFont="1" applyFill="1" applyBorder="1"/>
    <xf numFmtId="44" fontId="16" fillId="0" borderId="0" xfId="0" applyNumberFormat="1" applyFont="1" applyFill="1" applyBorder="1"/>
    <xf numFmtId="44" fontId="3" fillId="0" borderId="0" xfId="0" applyNumberFormat="1" applyFont="1" applyFill="1" applyBorder="1"/>
    <xf numFmtId="165" fontId="3" fillId="0" borderId="0" xfId="0" applyNumberFormat="1" applyFont="1" applyFill="1" applyBorder="1"/>
    <xf numFmtId="165" fontId="3" fillId="0" borderId="27" xfId="0" applyNumberFormat="1" applyFont="1" applyBorder="1"/>
    <xf numFmtId="165" fontId="3" fillId="0" borderId="0" xfId="0" applyNumberFormat="1" applyFont="1" applyBorder="1"/>
    <xf numFmtId="165" fontId="3" fillId="0" borderId="22" xfId="0" applyNumberFormat="1" applyFont="1" applyBorder="1"/>
    <xf numFmtId="165" fontId="10" fillId="0" borderId="0" xfId="0" applyNumberFormat="1" applyFont="1" applyFill="1" applyBorder="1"/>
    <xf numFmtId="0" fontId="100" fillId="0" borderId="27" xfId="0" applyFont="1" applyBorder="1"/>
    <xf numFmtId="49" fontId="26" fillId="0" borderId="22" xfId="0" applyNumberFormat="1" applyFont="1" applyBorder="1" applyAlignment="1">
      <alignment horizontal="center" vertical="center" wrapText="1"/>
    </xf>
    <xf numFmtId="49" fontId="26" fillId="0" borderId="2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22" xfId="0" applyFont="1" applyBorder="1"/>
    <xf numFmtId="0" fontId="44" fillId="0" borderId="22" xfId="0" applyFont="1" applyBorder="1"/>
    <xf numFmtId="0" fontId="28" fillId="0" borderId="22" xfId="0" applyFont="1" applyBorder="1" applyAlignment="1">
      <alignment vertical="center" wrapText="1"/>
    </xf>
    <xf numFmtId="0" fontId="44" fillId="0" borderId="22" xfId="0" applyFont="1" applyBorder="1" applyAlignment="1">
      <alignment horizontal="center"/>
    </xf>
    <xf numFmtId="49" fontId="27" fillId="0" borderId="0" xfId="0" applyNumberFormat="1" applyFont="1" applyBorder="1" applyAlignment="1">
      <alignment vertical="center" wrapText="1" readingOrder="1"/>
    </xf>
    <xf numFmtId="49" fontId="26" fillId="0" borderId="0" xfId="0" applyNumberFormat="1" applyFont="1" applyBorder="1" applyAlignment="1"/>
    <xf numFmtId="0" fontId="99" fillId="0" borderId="0" xfId="0" applyFont="1"/>
    <xf numFmtId="0" fontId="99" fillId="0" borderId="0" xfId="0" applyFont="1" applyAlignment="1">
      <alignment wrapText="1"/>
    </xf>
    <xf numFmtId="0" fontId="99" fillId="0" borderId="22" xfId="0" applyFont="1" applyBorder="1" applyAlignment="1">
      <alignment horizontal="center"/>
    </xf>
    <xf numFmtId="0" fontId="99" fillId="0" borderId="22" xfId="0" applyFont="1" applyBorder="1"/>
    <xf numFmtId="165" fontId="99" fillId="0" borderId="22" xfId="0" applyNumberFormat="1" applyFont="1" applyBorder="1"/>
    <xf numFmtId="165" fontId="99" fillId="0" borderId="0" xfId="0" applyNumberFormat="1" applyFont="1"/>
    <xf numFmtId="167" fontId="91" fillId="0" borderId="22" xfId="0" applyNumberFormat="1" applyFont="1" applyFill="1" applyBorder="1"/>
    <xf numFmtId="167" fontId="27" fillId="0" borderId="22" xfId="0" applyNumberFormat="1" applyFont="1" applyFill="1" applyBorder="1"/>
    <xf numFmtId="0" fontId="26" fillId="0" borderId="0" xfId="0" applyFont="1" applyFill="1"/>
    <xf numFmtId="167" fontId="61" fillId="0" borderId="22" xfId="0" applyNumberFormat="1" applyFont="1" applyFill="1" applyBorder="1" applyAlignment="1"/>
    <xf numFmtId="167" fontId="61" fillId="0" borderId="0" xfId="0" applyNumberFormat="1" applyFont="1" applyFill="1" applyBorder="1" applyAlignment="1"/>
    <xf numFmtId="49" fontId="27" fillId="0" borderId="22" xfId="0" applyNumberFormat="1" applyFont="1" applyFill="1" applyBorder="1" applyAlignment="1">
      <alignment horizontal="center"/>
    </xf>
    <xf numFmtId="167" fontId="61" fillId="0" borderId="0" xfId="0" applyNumberFormat="1" applyFont="1" applyFill="1" applyBorder="1"/>
    <xf numFmtId="0" fontId="99" fillId="0" borderId="22" xfId="0" applyFont="1" applyBorder="1" applyAlignment="1">
      <alignment horizontal="center"/>
    </xf>
    <xf numFmtId="0" fontId="100" fillId="0" borderId="26" xfId="0" applyFont="1" applyBorder="1"/>
    <xf numFmtId="0" fontId="100" fillId="0" borderId="0" xfId="0" applyFont="1"/>
    <xf numFmtId="0" fontId="100" fillId="0" borderId="14" xfId="0" applyFont="1" applyBorder="1" applyAlignment="1">
      <alignment horizontal="center"/>
    </xf>
    <xf numFmtId="0" fontId="102" fillId="0" borderId="26" xfId="0" applyFont="1" applyBorder="1"/>
    <xf numFmtId="172" fontId="100" fillId="0" borderId="26" xfId="0" applyNumberFormat="1" applyFont="1" applyBorder="1"/>
    <xf numFmtId="165" fontId="100" fillId="0" borderId="11" xfId="0" applyNumberFormat="1" applyFont="1" applyBorder="1"/>
    <xf numFmtId="172" fontId="100" fillId="0" borderId="48" xfId="0" applyNumberFormat="1" applyFont="1" applyBorder="1"/>
    <xf numFmtId="0" fontId="100" fillId="0" borderId="49" xfId="0" applyFont="1" applyBorder="1"/>
    <xf numFmtId="0" fontId="100" fillId="0" borderId="14" xfId="0" applyFont="1" applyBorder="1"/>
    <xf numFmtId="0" fontId="100" fillId="0" borderId="27" xfId="0" applyFont="1" applyBorder="1" applyAlignment="1"/>
    <xf numFmtId="0" fontId="100" fillId="0" borderId="14" xfId="0" applyFont="1" applyBorder="1" applyAlignment="1"/>
    <xf numFmtId="165" fontId="100" fillId="0" borderId="27" xfId="0" applyNumberFormat="1" applyFont="1" applyBorder="1" applyAlignment="1"/>
    <xf numFmtId="165" fontId="100" fillId="0" borderId="49" xfId="0" applyNumberFormat="1" applyFont="1" applyBorder="1" applyAlignment="1"/>
    <xf numFmtId="0" fontId="3" fillId="0" borderId="0" xfId="0" applyFont="1"/>
    <xf numFmtId="165" fontId="3" fillId="0" borderId="14" xfId="0" applyNumberFormat="1" applyFont="1" applyBorder="1"/>
    <xf numFmtId="0" fontId="3" fillId="0" borderId="49" xfId="0" applyFont="1" applyBorder="1"/>
    <xf numFmtId="174" fontId="3" fillId="0" borderId="27" xfId="0" applyNumberFormat="1" applyFont="1" applyBorder="1"/>
    <xf numFmtId="165" fontId="3" fillId="0" borderId="49" xfId="0" applyNumberFormat="1" applyFont="1" applyBorder="1"/>
    <xf numFmtId="0" fontId="3" fillId="0" borderId="24" xfId="0" applyFont="1" applyBorder="1"/>
    <xf numFmtId="165" fontId="3" fillId="0" borderId="16" xfId="0" applyNumberFormat="1" applyFont="1" applyBorder="1"/>
    <xf numFmtId="0" fontId="3" fillId="0" borderId="50" xfId="0" applyFont="1" applyBorder="1" applyAlignment="1"/>
    <xf numFmtId="0" fontId="3" fillId="0" borderId="22" xfId="0" applyFont="1" applyBorder="1" applyAlignment="1">
      <alignment horizontal="center"/>
    </xf>
    <xf numFmtId="0" fontId="3" fillId="0" borderId="22" xfId="0" applyFont="1" applyBorder="1"/>
    <xf numFmtId="173" fontId="3" fillId="0" borderId="22" xfId="0" applyNumberFormat="1" applyFont="1" applyBorder="1"/>
    <xf numFmtId="173" fontId="3" fillId="0" borderId="24" xfId="0" applyNumberFormat="1" applyFont="1" applyBorder="1"/>
    <xf numFmtId="0" fontId="100" fillId="0" borderId="12" xfId="0" applyFont="1" applyBorder="1"/>
    <xf numFmtId="0" fontId="100" fillId="0" borderId="0" xfId="0" applyFont="1" applyBorder="1"/>
    <xf numFmtId="0" fontId="100" fillId="0" borderId="0" xfId="0" applyFont="1" applyBorder="1" applyAlignment="1"/>
    <xf numFmtId="0" fontId="100" fillId="0" borderId="24" xfId="0" applyFont="1" applyBorder="1" applyAlignment="1"/>
    <xf numFmtId="0" fontId="100" fillId="0" borderId="24" xfId="0" applyFont="1" applyBorder="1"/>
    <xf numFmtId="0" fontId="100" fillId="0" borderId="17" xfId="0" applyFont="1" applyBorder="1"/>
    <xf numFmtId="0" fontId="100" fillId="0" borderId="79" xfId="0" applyFont="1" applyBorder="1"/>
    <xf numFmtId="175" fontId="15" fillId="0" borderId="22" xfId="0" applyNumberFormat="1" applyFont="1" applyFill="1" applyBorder="1" applyAlignment="1">
      <alignment horizontal="center" vertical="center" wrapText="1"/>
    </xf>
    <xf numFmtId="0" fontId="44" fillId="0" borderId="0" xfId="0" applyFont="1" applyFill="1" applyAlignment="1"/>
    <xf numFmtId="0" fontId="1" fillId="0" borderId="22" xfId="0" applyFont="1" applyBorder="1"/>
    <xf numFmtId="9" fontId="3" fillId="0" borderId="0" xfId="0" applyNumberFormat="1" applyFont="1" applyFill="1" applyAlignment="1">
      <alignment horizontal="left"/>
    </xf>
    <xf numFmtId="175" fontId="16" fillId="0" borderId="12" xfId="0" applyNumberFormat="1" applyFont="1" applyFill="1" applyBorder="1" applyAlignment="1"/>
    <xf numFmtId="175" fontId="64" fillId="0" borderId="23" xfId="0" applyNumberFormat="1" applyFont="1" applyFill="1" applyBorder="1"/>
    <xf numFmtId="177" fontId="3" fillId="0" borderId="0" xfId="0" applyNumberFormat="1" applyFont="1" applyFill="1" applyBorder="1"/>
    <xf numFmtId="7" fontId="3" fillId="0" borderId="0" xfId="0" applyNumberFormat="1" applyFont="1" applyFill="1" applyBorder="1"/>
    <xf numFmtId="165" fontId="15" fillId="0" borderId="0" xfId="0" applyNumberFormat="1" applyFont="1" applyFill="1" applyBorder="1"/>
    <xf numFmtId="165" fontId="16" fillId="0" borderId="0" xfId="0" applyNumberFormat="1" applyFont="1" applyFill="1" applyBorder="1"/>
    <xf numFmtId="0" fontId="4" fillId="0" borderId="0" xfId="0" applyFont="1" applyFill="1" applyBorder="1"/>
    <xf numFmtId="0" fontId="49" fillId="0" borderId="14" xfId="0" applyFont="1" applyBorder="1" applyAlignment="1">
      <alignment horizontal="left"/>
    </xf>
    <xf numFmtId="0" fontId="49" fillId="0" borderId="23" xfId="0" applyFont="1" applyBorder="1" applyAlignment="1">
      <alignment horizontal="left"/>
    </xf>
    <xf numFmtId="0" fontId="49" fillId="0" borderId="20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3" fillId="0" borderId="26" xfId="0" applyFont="1" applyBorder="1" applyAlignment="1">
      <alignment horizontal="center" vertical="justify"/>
    </xf>
    <xf numFmtId="0" fontId="3" fillId="0" borderId="24" xfId="0" applyFont="1" applyBorder="1" applyAlignment="1">
      <alignment horizontal="center" vertical="justify"/>
    </xf>
    <xf numFmtId="0" fontId="49" fillId="0" borderId="23" xfId="0" applyFont="1" applyBorder="1" applyAlignment="1">
      <alignment horizontal="left"/>
    </xf>
    <xf numFmtId="0" fontId="49" fillId="0" borderId="20" xfId="0" applyFont="1" applyBorder="1" applyAlignment="1">
      <alignment horizontal="left"/>
    </xf>
    <xf numFmtId="0" fontId="12" fillId="0" borderId="27" xfId="0" applyFont="1" applyBorder="1"/>
    <xf numFmtId="165" fontId="12" fillId="0" borderId="27" xfId="0" applyNumberFormat="1" applyFont="1" applyBorder="1"/>
    <xf numFmtId="0" fontId="105" fillId="0" borderId="0" xfId="0" applyFont="1" applyBorder="1"/>
    <xf numFmtId="0" fontId="12" fillId="0" borderId="27" xfId="0" applyFont="1" applyBorder="1" applyAlignment="1">
      <alignment horizontal="left"/>
    </xf>
    <xf numFmtId="165" fontId="50" fillId="0" borderId="27" xfId="0" applyNumberFormat="1" applyFont="1" applyBorder="1"/>
    <xf numFmtId="0" fontId="50" fillId="0" borderId="15" xfId="0" applyFont="1" applyBorder="1"/>
    <xf numFmtId="0" fontId="106" fillId="0" borderId="0" xfId="0" applyFont="1" applyBorder="1"/>
    <xf numFmtId="165" fontId="49" fillId="0" borderId="20" xfId="0" applyNumberFormat="1" applyFont="1" applyFill="1" applyBorder="1" applyAlignment="1">
      <alignment horizontal="left"/>
    </xf>
    <xf numFmtId="0" fontId="49" fillId="0" borderId="20" xfId="0" applyFont="1" applyFill="1" applyBorder="1" applyAlignment="1">
      <alignment horizontal="left"/>
    </xf>
    <xf numFmtId="0" fontId="49" fillId="0" borderId="20" xfId="0" applyFont="1" applyFill="1" applyBorder="1"/>
    <xf numFmtId="165" fontId="49" fillId="0" borderId="12" xfId="0" applyNumberFormat="1" applyFont="1" applyFill="1" applyBorder="1"/>
    <xf numFmtId="169" fontId="49" fillId="0" borderId="26" xfId="0" applyNumberFormat="1" applyFont="1" applyFill="1" applyBorder="1"/>
    <xf numFmtId="0" fontId="49" fillId="0" borderId="12" xfId="0" applyFont="1" applyFill="1" applyBorder="1"/>
    <xf numFmtId="165" fontId="49" fillId="0" borderId="0" xfId="0" applyNumberFormat="1" applyFont="1" applyFill="1" applyBorder="1"/>
    <xf numFmtId="169" fontId="49" fillId="0" borderId="27" xfId="0" applyNumberFormat="1" applyFont="1" applyFill="1" applyBorder="1"/>
    <xf numFmtId="0" fontId="49" fillId="0" borderId="0" xfId="0" applyFont="1" applyFill="1" applyBorder="1"/>
    <xf numFmtId="165" fontId="50" fillId="0" borderId="0" xfId="0" applyNumberFormat="1" applyFont="1" applyFill="1" applyBorder="1"/>
    <xf numFmtId="169" fontId="50" fillId="0" borderId="27" xfId="0" applyNumberFormat="1" applyFont="1" applyFill="1" applyBorder="1"/>
    <xf numFmtId="169" fontId="49" fillId="0" borderId="0" xfId="0" applyNumberFormat="1" applyFont="1" applyFill="1" applyBorder="1"/>
    <xf numFmtId="169" fontId="52" fillId="0" borderId="27" xfId="0" applyNumberFormat="1" applyFont="1" applyFill="1" applyBorder="1"/>
    <xf numFmtId="165" fontId="49" fillId="0" borderId="14" xfId="0" applyNumberFormat="1" applyFont="1" applyFill="1" applyBorder="1"/>
    <xf numFmtId="165" fontId="49" fillId="0" borderId="17" xfId="0" applyNumberFormat="1" applyFont="1" applyFill="1" applyBorder="1"/>
    <xf numFmtId="169" fontId="49" fillId="0" borderId="24" xfId="0" applyNumberFormat="1" applyFont="1" applyFill="1" applyBorder="1"/>
    <xf numFmtId="169" fontId="49" fillId="0" borderId="17" xfId="0" applyNumberFormat="1" applyFont="1" applyFill="1" applyBorder="1"/>
    <xf numFmtId="165" fontId="49" fillId="0" borderId="13" xfId="0" applyNumberFormat="1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49" fillId="0" borderId="26" xfId="0" applyFont="1" applyFill="1" applyBorder="1" applyAlignment="1">
      <alignment horizontal="center"/>
    </xf>
    <xf numFmtId="165" fontId="49" fillId="0" borderId="15" xfId="0" applyNumberFormat="1" applyFont="1" applyFill="1" applyBorder="1" applyAlignment="1">
      <alignment horizontal="center"/>
    </xf>
    <xf numFmtId="0" fontId="49" fillId="0" borderId="27" xfId="0" applyFont="1" applyFill="1" applyBorder="1" applyAlignment="1">
      <alignment horizontal="center"/>
    </xf>
    <xf numFmtId="165" fontId="49" fillId="0" borderId="18" xfId="0" applyNumberFormat="1" applyFont="1" applyFill="1" applyBorder="1" applyAlignment="1">
      <alignment horizontal="center"/>
    </xf>
    <xf numFmtId="0" fontId="49" fillId="0" borderId="17" xfId="0" applyFont="1" applyFill="1" applyBorder="1" applyAlignment="1">
      <alignment horizontal="center"/>
    </xf>
    <xf numFmtId="0" fontId="49" fillId="0" borderId="24" xfId="0" applyFont="1" applyFill="1" applyBorder="1" applyAlignment="1">
      <alignment horizontal="center"/>
    </xf>
    <xf numFmtId="169" fontId="52" fillId="0" borderId="15" xfId="0" applyNumberFormat="1" applyFont="1" applyFill="1" applyBorder="1"/>
    <xf numFmtId="169" fontId="52" fillId="0" borderId="0" xfId="0" applyNumberFormat="1" applyFont="1" applyFill="1" applyBorder="1"/>
    <xf numFmtId="165" fontId="49" fillId="0" borderId="27" xfId="0" applyNumberFormat="1" applyFont="1" applyFill="1" applyBorder="1"/>
    <xf numFmtId="170" fontId="52" fillId="0" borderId="27" xfId="0" applyNumberFormat="1" applyFont="1" applyFill="1" applyBorder="1"/>
    <xf numFmtId="170" fontId="49" fillId="0" borderId="27" xfId="0" applyNumberFormat="1" applyFont="1" applyFill="1" applyBorder="1"/>
    <xf numFmtId="44" fontId="49" fillId="0" borderId="24" xfId="0" applyNumberFormat="1" applyFont="1" applyFill="1" applyBorder="1"/>
    <xf numFmtId="165" fontId="49" fillId="0" borderId="26" xfId="0" applyNumberFormat="1" applyFont="1" applyFill="1" applyBorder="1" applyAlignment="1">
      <alignment horizontal="center"/>
    </xf>
    <xf numFmtId="165" fontId="49" fillId="0" borderId="27" xfId="0" applyNumberFormat="1" applyFont="1" applyFill="1" applyBorder="1" applyAlignment="1">
      <alignment horizontal="center"/>
    </xf>
    <xf numFmtId="165" fontId="49" fillId="0" borderId="24" xfId="0" applyNumberFormat="1" applyFont="1" applyFill="1" applyBorder="1" applyAlignment="1">
      <alignment horizontal="center"/>
    </xf>
    <xf numFmtId="169" fontId="50" fillId="0" borderId="0" xfId="0" applyNumberFormat="1" applyFont="1" applyFill="1" applyBorder="1"/>
    <xf numFmtId="169" fontId="12" fillId="0" borderId="27" xfId="0" applyNumberFormat="1" applyFont="1" applyFill="1" applyBorder="1"/>
    <xf numFmtId="0" fontId="49" fillId="0" borderId="24" xfId="0" applyFont="1" applyFill="1" applyBorder="1"/>
    <xf numFmtId="0" fontId="49" fillId="0" borderId="17" xfId="0" applyFont="1" applyFill="1" applyBorder="1"/>
    <xf numFmtId="169" fontId="51" fillId="0" borderId="27" xfId="0" applyNumberFormat="1" applyFont="1" applyFill="1" applyBorder="1"/>
    <xf numFmtId="169" fontId="51" fillId="0" borderId="0" xfId="0" applyNumberFormat="1" applyFont="1" applyFill="1" applyBorder="1"/>
    <xf numFmtId="165" fontId="52" fillId="0" borderId="27" xfId="0" applyNumberFormat="1" applyFont="1" applyFill="1" applyBorder="1"/>
    <xf numFmtId="165" fontId="49" fillId="0" borderId="24" xfId="0" applyNumberFormat="1" applyFont="1" applyFill="1" applyBorder="1"/>
    <xf numFmtId="169" fontId="52" fillId="0" borderId="14" xfId="0" applyNumberFormat="1" applyFont="1" applyFill="1" applyBorder="1"/>
    <xf numFmtId="165" fontId="49" fillId="0" borderId="15" xfId="0" applyNumberFormat="1" applyFont="1" applyBorder="1"/>
    <xf numFmtId="165" fontId="52" fillId="0" borderId="15" xfId="0" applyNumberFormat="1" applyFont="1" applyBorder="1"/>
    <xf numFmtId="165" fontId="12" fillId="0" borderId="15" xfId="0" applyNumberFormat="1" applyFont="1" applyBorder="1"/>
    <xf numFmtId="165" fontId="49" fillId="0" borderId="18" xfId="0" applyNumberFormat="1" applyFont="1" applyBorder="1"/>
    <xf numFmtId="0" fontId="52" fillId="0" borderId="27" xfId="0" applyFont="1" applyFill="1" applyBorder="1"/>
    <xf numFmtId="165" fontId="12" fillId="0" borderId="27" xfId="0" applyNumberFormat="1" applyFont="1" applyFill="1" applyBorder="1"/>
    <xf numFmtId="169" fontId="12" fillId="0" borderId="0" xfId="0" applyNumberFormat="1" applyFont="1" applyFill="1" applyBorder="1"/>
    <xf numFmtId="0" fontId="49" fillId="0" borderId="24" xfId="0" applyFont="1" applyFill="1" applyBorder="1" applyAlignment="1">
      <alignment horizontal="center" wrapText="1"/>
    </xf>
    <xf numFmtId="165" fontId="12" fillId="0" borderId="14" xfId="0" applyNumberFormat="1" applyFont="1" applyFill="1" applyBorder="1"/>
    <xf numFmtId="169" fontId="52" fillId="0" borderId="26" xfId="0" applyNumberFormat="1" applyFont="1" applyFill="1" applyBorder="1"/>
    <xf numFmtId="165" fontId="52" fillId="0" borderId="0" xfId="0" applyNumberFormat="1" applyFont="1" applyBorder="1"/>
    <xf numFmtId="165" fontId="52" fillId="0" borderId="26" xfId="0" applyNumberFormat="1" applyFont="1" applyBorder="1"/>
    <xf numFmtId="0" fontId="53" fillId="0" borderId="27" xfId="0" applyFont="1" applyBorder="1" applyAlignment="1">
      <alignment horizontal="left"/>
    </xf>
    <xf numFmtId="0" fontId="107" fillId="0" borderId="0" xfId="0" applyFont="1" applyBorder="1"/>
    <xf numFmtId="169" fontId="12" fillId="0" borderId="14" xfId="0" applyNumberFormat="1" applyFont="1" applyFill="1" applyBorder="1"/>
    <xf numFmtId="0" fontId="12" fillId="0" borderId="26" xfId="0" applyFont="1" applyBorder="1"/>
    <xf numFmtId="0" fontId="12" fillId="0" borderId="26" xfId="0" applyFont="1" applyBorder="1" applyAlignment="1">
      <alignment horizontal="left"/>
    </xf>
    <xf numFmtId="169" fontId="12" fillId="0" borderId="11" xfId="0" applyNumberFormat="1" applyFont="1" applyFill="1" applyBorder="1"/>
    <xf numFmtId="165" fontId="12" fillId="0" borderId="26" xfId="0" applyNumberFormat="1" applyFont="1" applyBorder="1"/>
    <xf numFmtId="165" fontId="52" fillId="0" borderId="14" xfId="0" applyNumberFormat="1" applyFont="1" applyFill="1" applyBorder="1"/>
    <xf numFmtId="165" fontId="49" fillId="0" borderId="16" xfId="0" applyNumberFormat="1" applyFont="1" applyFill="1" applyBorder="1"/>
    <xf numFmtId="169" fontId="12" fillId="0" borderId="26" xfId="0" applyNumberFormat="1" applyFont="1" applyFill="1" applyBorder="1"/>
    <xf numFmtId="169" fontId="49" fillId="0" borderId="0" xfId="0" applyNumberFormat="1" applyFont="1" applyBorder="1"/>
    <xf numFmtId="0" fontId="1" fillId="0" borderId="27" xfId="0" applyFont="1" applyBorder="1"/>
    <xf numFmtId="165" fontId="6" fillId="0" borderId="27" xfId="0" applyNumberFormat="1" applyFont="1" applyBorder="1"/>
    <xf numFmtId="165" fontId="1" fillId="0" borderId="0" xfId="0" applyNumberFormat="1" applyFont="1" applyBorder="1"/>
    <xf numFmtId="165" fontId="1" fillId="0" borderId="27" xfId="0" applyNumberFormat="1" applyFont="1" applyBorder="1"/>
    <xf numFmtId="0" fontId="108" fillId="0" borderId="0" xfId="0" applyFont="1" applyBorder="1"/>
    <xf numFmtId="165" fontId="15" fillId="0" borderId="27" xfId="0" applyNumberFormat="1" applyFont="1" applyBorder="1"/>
    <xf numFmtId="0" fontId="109" fillId="0" borderId="0" xfId="0" applyFont="1" applyBorder="1"/>
    <xf numFmtId="0" fontId="10" fillId="0" borderId="13" xfId="0" applyFont="1" applyBorder="1"/>
    <xf numFmtId="0" fontId="15" fillId="0" borderId="40" xfId="0" applyFont="1" applyBorder="1" applyAlignment="1">
      <alignment wrapText="1"/>
    </xf>
    <xf numFmtId="0" fontId="3" fillId="0" borderId="40" xfId="0" applyFont="1" applyBorder="1"/>
    <xf numFmtId="165" fontId="49" fillId="0" borderId="41" xfId="0" applyNumberFormat="1" applyFont="1" applyBorder="1"/>
    <xf numFmtId="165" fontId="52" fillId="0" borderId="41" xfId="0" applyNumberFormat="1" applyFont="1" applyBorder="1"/>
    <xf numFmtId="0" fontId="49" fillId="0" borderId="40" xfId="0" applyFont="1" applyBorder="1"/>
    <xf numFmtId="0" fontId="14" fillId="0" borderId="11" xfId="0" applyFont="1" applyBorder="1"/>
    <xf numFmtId="0" fontId="14" fillId="0" borderId="14" xfId="0" applyFont="1" applyBorder="1"/>
    <xf numFmtId="0" fontId="11" fillId="0" borderId="14" xfId="0" applyFont="1" applyBorder="1" applyAlignment="1"/>
    <xf numFmtId="165" fontId="6" fillId="0" borderId="24" xfId="0" applyNumberFormat="1" applyFont="1" applyBorder="1"/>
    <xf numFmtId="0" fontId="1" fillId="0" borderId="14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0" xfId="0" applyFont="1" applyFill="1" applyBorder="1"/>
    <xf numFmtId="165" fontId="23" fillId="0" borderId="0" xfId="0" applyNumberFormat="1" applyFont="1" applyBorder="1"/>
    <xf numFmtId="165" fontId="93" fillId="0" borderId="0" xfId="0" applyNumberFormat="1" applyFont="1" applyBorder="1"/>
    <xf numFmtId="0" fontId="1" fillId="0" borderId="14" xfId="0" applyFont="1" applyFill="1" applyBorder="1" applyAlignment="1"/>
    <xf numFmtId="0" fontId="1" fillId="0" borderId="23" xfId="0" applyFont="1" applyFill="1" applyBorder="1"/>
    <xf numFmtId="0" fontId="1" fillId="0" borderId="35" xfId="0" applyFont="1" applyFill="1" applyBorder="1"/>
    <xf numFmtId="0" fontId="1" fillId="0" borderId="0" xfId="0" applyFont="1" applyFill="1"/>
    <xf numFmtId="0" fontId="1" fillId="0" borderId="0" xfId="0" applyFont="1" applyBorder="1"/>
    <xf numFmtId="0" fontId="6" fillId="0" borderId="34" xfId="0" applyFont="1" applyFill="1" applyBorder="1" applyAlignment="1">
      <alignment horizontal="center"/>
    </xf>
    <xf numFmtId="0" fontId="63" fillId="0" borderId="22" xfId="0" applyFont="1" applyFill="1" applyBorder="1" applyAlignment="1">
      <alignment horizontal="left" wrapText="1"/>
    </xf>
    <xf numFmtId="0" fontId="63" fillId="0" borderId="22" xfId="0" applyFont="1" applyFill="1" applyBorder="1" applyAlignment="1">
      <alignment horizontal="center" wrapText="1"/>
    </xf>
    <xf numFmtId="0" fontId="63" fillId="0" borderId="22" xfId="0" applyFont="1" applyFill="1" applyBorder="1"/>
    <xf numFmtId="0" fontId="117" fillId="0" borderId="0" xfId="0" applyFont="1" applyFill="1" applyBorder="1" applyAlignment="1">
      <alignment horizontal="center"/>
    </xf>
    <xf numFmtId="0" fontId="117" fillId="0" borderId="13" xfId="0" applyFont="1" applyFill="1" applyBorder="1"/>
    <xf numFmtId="0" fontId="98" fillId="0" borderId="0" xfId="0" applyFont="1" applyFill="1"/>
    <xf numFmtId="0" fontId="63" fillId="0" borderId="22" xfId="0" applyFont="1" applyFill="1" applyBorder="1" applyAlignment="1">
      <alignment wrapText="1"/>
    </xf>
    <xf numFmtId="0" fontId="1" fillId="0" borderId="22" xfId="0" applyFont="1" applyFill="1" applyBorder="1"/>
    <xf numFmtId="0" fontId="49" fillId="0" borderId="22" xfId="0" applyFont="1" applyFill="1" applyBorder="1" applyAlignment="1">
      <alignment horizontal="center"/>
    </xf>
    <xf numFmtId="167" fontId="91" fillId="0" borderId="26" xfId="0" applyNumberFormat="1" applyFont="1" applyFill="1" applyBorder="1"/>
    <xf numFmtId="49" fontId="24" fillId="0" borderId="24" xfId="0" applyNumberFormat="1" applyFont="1" applyFill="1" applyBorder="1" applyAlignment="1">
      <alignment horizontal="left"/>
    </xf>
    <xf numFmtId="167" fontId="62" fillId="0" borderId="24" xfId="0" applyNumberFormat="1" applyFont="1" applyFill="1" applyBorder="1"/>
    <xf numFmtId="0" fontId="63" fillId="0" borderId="22" xfId="0" applyFont="1" applyFill="1" applyBorder="1" applyAlignment="1">
      <alignment vertical="center" wrapText="1"/>
    </xf>
    <xf numFmtId="0" fontId="63" fillId="0" borderId="24" xfId="0" applyFont="1" applyFill="1" applyBorder="1" applyAlignment="1">
      <alignment vertical="center" wrapText="1"/>
    </xf>
    <xf numFmtId="167" fontId="91" fillId="0" borderId="18" xfId="0" applyNumberFormat="1" applyFont="1" applyFill="1" applyBorder="1"/>
    <xf numFmtId="0" fontId="1" fillId="0" borderId="0" xfId="0" applyFont="1" applyFill="1" applyBorder="1" applyAlignment="1"/>
    <xf numFmtId="44" fontId="6" fillId="0" borderId="22" xfId="0" applyNumberFormat="1" applyFont="1" applyFill="1" applyBorder="1"/>
    <xf numFmtId="44" fontId="6" fillId="0" borderId="26" xfId="32" applyFont="1" applyFill="1" applyBorder="1"/>
    <xf numFmtId="44" fontId="6" fillId="0" borderId="26" xfId="0" applyNumberFormat="1" applyFont="1" applyFill="1" applyBorder="1"/>
    <xf numFmtId="44" fontId="1" fillId="0" borderId="22" xfId="32" applyFont="1" applyFill="1" applyBorder="1"/>
    <xf numFmtId="0" fontId="6" fillId="0" borderId="26" xfId="0" applyFont="1" applyFill="1" applyBorder="1"/>
    <xf numFmtId="0" fontId="6" fillId="0" borderId="71" xfId="0" applyFont="1" applyFill="1" applyBorder="1"/>
    <xf numFmtId="49" fontId="94" fillId="0" borderId="22" xfId="0" applyNumberFormat="1" applyFont="1" applyFill="1" applyBorder="1" applyAlignment="1">
      <alignment horizontal="center"/>
    </xf>
    <xf numFmtId="49" fontId="94" fillId="0" borderId="24" xfId="0" applyNumberFormat="1" applyFont="1" applyFill="1" applyBorder="1" applyAlignment="1">
      <alignment horizontal="center"/>
    </xf>
    <xf numFmtId="167" fontId="104" fillId="0" borderId="22" xfId="0" applyNumberFormat="1" applyFont="1" applyFill="1" applyBorder="1"/>
    <xf numFmtId="167" fontId="100" fillId="0" borderId="22" xfId="0" applyNumberFormat="1" applyFont="1" applyFill="1" applyBorder="1"/>
    <xf numFmtId="170" fontId="3" fillId="0" borderId="27" xfId="0" applyNumberFormat="1" applyFont="1" applyFill="1" applyBorder="1"/>
    <xf numFmtId="179" fontId="65" fillId="0" borderId="14" xfId="0" applyNumberFormat="1" applyFont="1" applyFill="1" applyBorder="1"/>
    <xf numFmtId="179" fontId="69" fillId="0" borderId="27" xfId="0" applyNumberFormat="1" applyFont="1" applyFill="1" applyBorder="1"/>
    <xf numFmtId="179" fontId="69" fillId="0" borderId="14" xfId="0" applyNumberFormat="1" applyFont="1" applyFill="1" applyBorder="1"/>
    <xf numFmtId="179" fontId="65" fillId="0" borderId="0" xfId="0" applyNumberFormat="1" applyFont="1" applyFill="1" applyBorder="1"/>
    <xf numFmtId="179" fontId="65" fillId="0" borderId="27" xfId="0" applyNumberFormat="1" applyFont="1" applyFill="1" applyBorder="1"/>
    <xf numFmtId="179" fontId="65" fillId="0" borderId="24" xfId="0" applyNumberFormat="1" applyFont="1" applyFill="1" applyBorder="1"/>
    <xf numFmtId="179" fontId="69" fillId="0" borderId="16" xfId="0" applyNumberFormat="1" applyFont="1" applyFill="1" applyBorder="1"/>
    <xf numFmtId="179" fontId="69" fillId="0" borderId="0" xfId="0" applyNumberFormat="1" applyFont="1" applyFill="1" applyBorder="1"/>
    <xf numFmtId="179" fontId="65" fillId="0" borderId="0" xfId="0" applyNumberFormat="1" applyFont="1" applyFill="1" applyBorder="1" applyAlignment="1">
      <alignment horizontal="left"/>
    </xf>
    <xf numFmtId="179" fontId="65" fillId="0" borderId="16" xfId="0" applyNumberFormat="1" applyFont="1" applyFill="1" applyBorder="1"/>
    <xf numFmtId="179" fontId="65" fillId="0" borderId="21" xfId="0" applyNumberFormat="1" applyFont="1" applyFill="1" applyBorder="1" applyAlignment="1">
      <alignment horizontal="center"/>
    </xf>
    <xf numFmtId="165" fontId="69" fillId="0" borderId="26" xfId="0" applyNumberFormat="1" applyFont="1" applyFill="1" applyBorder="1"/>
    <xf numFmtId="0" fontId="67" fillId="0" borderId="0" xfId="0" applyFont="1" applyFill="1" applyBorder="1" applyAlignment="1">
      <alignment horizontal="center"/>
    </xf>
    <xf numFmtId="0" fontId="4" fillId="0" borderId="22" xfId="0" applyFont="1" applyFill="1" applyBorder="1" applyAlignment="1">
      <alignment wrapText="1"/>
    </xf>
    <xf numFmtId="0" fontId="67" fillId="0" borderId="0" xfId="0" applyFont="1" applyFill="1" applyBorder="1" applyAlignment="1">
      <alignment horizontal="left"/>
    </xf>
    <xf numFmtId="0" fontId="63" fillId="0" borderId="22" xfId="0" applyFont="1" applyFill="1" applyBorder="1" applyAlignment="1"/>
    <xf numFmtId="0" fontId="103" fillId="0" borderId="22" xfId="0" applyFont="1" applyFill="1" applyBorder="1" applyAlignment="1">
      <alignment wrapText="1"/>
    </xf>
    <xf numFmtId="0" fontId="63" fillId="0" borderId="21" xfId="0" applyFont="1" applyFill="1" applyBorder="1" applyAlignment="1"/>
    <xf numFmtId="0" fontId="4" fillId="0" borderId="22" xfId="0" applyFont="1" applyFill="1" applyBorder="1" applyAlignment="1">
      <alignment horizontal="center"/>
    </xf>
    <xf numFmtId="0" fontId="63" fillId="0" borderId="26" xfId="0" applyFont="1" applyFill="1" applyBorder="1"/>
    <xf numFmtId="0" fontId="4" fillId="0" borderId="0" xfId="0" applyFont="1" applyFill="1" applyAlignment="1">
      <alignment horizontal="left"/>
    </xf>
    <xf numFmtId="0" fontId="9" fillId="0" borderId="27" xfId="0" applyFont="1" applyBorder="1"/>
    <xf numFmtId="0" fontId="9" fillId="0" borderId="27" xfId="0" applyFont="1" applyBorder="1" applyAlignment="1">
      <alignment horizontal="left"/>
    </xf>
    <xf numFmtId="165" fontId="9" fillId="0" borderId="14" xfId="0" applyNumberFormat="1" applyFont="1" applyFill="1" applyBorder="1"/>
    <xf numFmtId="165" fontId="9" fillId="0" borderId="27" xfId="0" applyNumberFormat="1" applyFont="1" applyFill="1" applyBorder="1"/>
    <xf numFmtId="165" fontId="9" fillId="0" borderId="27" xfId="0" applyNumberFormat="1" applyFont="1" applyBorder="1"/>
    <xf numFmtId="0" fontId="27" fillId="0" borderId="58" xfId="0" applyFont="1" applyFill="1" applyBorder="1"/>
    <xf numFmtId="0" fontId="27" fillId="0" borderId="0" xfId="0" applyFont="1" applyFill="1" applyBorder="1"/>
    <xf numFmtId="0" fontId="27" fillId="0" borderId="27" xfId="0" applyFont="1" applyFill="1" applyBorder="1" applyAlignment="1">
      <alignment wrapText="1"/>
    </xf>
    <xf numFmtId="0" fontId="27" fillId="0" borderId="42" xfId="0" applyFont="1" applyFill="1" applyBorder="1"/>
    <xf numFmtId="0" fontId="27" fillId="0" borderId="24" xfId="0" applyFont="1" applyFill="1" applyBorder="1"/>
    <xf numFmtId="178" fontId="61" fillId="0" borderId="26" xfId="0" applyNumberFormat="1" applyFont="1" applyFill="1" applyBorder="1" applyAlignment="1">
      <alignment horizontal="right"/>
    </xf>
    <xf numFmtId="44" fontId="61" fillId="0" borderId="26" xfId="32" applyFont="1" applyFill="1" applyBorder="1" applyAlignment="1">
      <alignment horizontal="right"/>
    </xf>
    <xf numFmtId="0" fontId="27" fillId="0" borderId="37" xfId="0" applyFont="1" applyFill="1" applyBorder="1"/>
    <xf numFmtId="0" fontId="27" fillId="0" borderId="19" xfId="0" applyFont="1" applyFill="1" applyBorder="1"/>
    <xf numFmtId="168" fontId="3" fillId="0" borderId="0" xfId="0" applyNumberFormat="1" applyFont="1" applyFill="1"/>
    <xf numFmtId="49" fontId="61" fillId="0" borderId="26" xfId="0" applyNumberFormat="1" applyFont="1" applyFill="1" applyBorder="1" applyAlignment="1">
      <alignment horizontal="right"/>
    </xf>
    <xf numFmtId="49" fontId="61" fillId="0" borderId="12" xfId="0" applyNumberFormat="1" applyFont="1" applyFill="1" applyBorder="1" applyAlignment="1">
      <alignment horizontal="right"/>
    </xf>
    <xf numFmtId="168" fontId="61" fillId="0" borderId="26" xfId="0" applyNumberFormat="1" applyFont="1" applyFill="1" applyBorder="1" applyAlignment="1">
      <alignment horizontal="right"/>
    </xf>
    <xf numFmtId="0" fontId="61" fillId="0" borderId="26" xfId="0" applyNumberFormat="1" applyFont="1" applyFill="1" applyBorder="1" applyAlignment="1">
      <alignment horizontal="right"/>
    </xf>
    <xf numFmtId="0" fontId="61" fillId="0" borderId="12" xfId="0" applyNumberFormat="1" applyFont="1" applyFill="1" applyBorder="1" applyAlignment="1">
      <alignment horizontal="right"/>
    </xf>
    <xf numFmtId="0" fontId="61" fillId="0" borderId="40" xfId="0" applyFont="1" applyFill="1" applyBorder="1" applyAlignment="1">
      <alignment horizontal="justify" vertical="top"/>
    </xf>
    <xf numFmtId="0" fontId="61" fillId="0" borderId="27" xfId="0" applyFont="1" applyFill="1" applyBorder="1" applyAlignment="1">
      <alignment horizontal="justify" vertical="top" wrapText="1"/>
    </xf>
    <xf numFmtId="165" fontId="3" fillId="0" borderId="27" xfId="0" applyNumberFormat="1" applyFont="1" applyFill="1" applyBorder="1"/>
    <xf numFmtId="168" fontId="3" fillId="0" borderId="36" xfId="0" applyNumberFormat="1" applyFont="1" applyFill="1" applyBorder="1"/>
    <xf numFmtId="0" fontId="27" fillId="0" borderId="40" xfId="0" applyFont="1" applyFill="1" applyBorder="1" applyAlignment="1">
      <alignment vertical="top"/>
    </xf>
    <xf numFmtId="0" fontId="27" fillId="0" borderId="27" xfId="0" applyFont="1" applyFill="1" applyBorder="1" applyAlignment="1">
      <alignment vertical="top" wrapText="1"/>
    </xf>
    <xf numFmtId="0" fontId="3" fillId="0" borderId="27" xfId="0" applyNumberFormat="1" applyFont="1" applyFill="1" applyBorder="1" applyAlignment="1">
      <alignment horizontal="center"/>
    </xf>
    <xf numFmtId="0" fontId="61" fillId="0" borderId="35" xfId="0" applyFont="1" applyFill="1" applyBorder="1" applyAlignment="1"/>
    <xf numFmtId="0" fontId="61" fillId="0" borderId="40" xfId="0" applyFont="1" applyFill="1" applyBorder="1" applyAlignment="1">
      <alignment vertical="top"/>
    </xf>
    <xf numFmtId="0" fontId="61" fillId="0" borderId="27" xfId="0" applyFont="1" applyFill="1" applyBorder="1" applyAlignment="1">
      <alignment vertical="top" wrapText="1"/>
    </xf>
    <xf numFmtId="0" fontId="61" fillId="0" borderId="40" xfId="0" applyFont="1" applyFill="1" applyBorder="1" applyAlignment="1">
      <alignment horizontal="left" vertical="top"/>
    </xf>
    <xf numFmtId="0" fontId="27" fillId="0" borderId="40" xfId="0" applyFont="1" applyFill="1" applyBorder="1" applyAlignment="1">
      <alignment vertical="top" wrapText="1"/>
    </xf>
    <xf numFmtId="0" fontId="61" fillId="0" borderId="40" xfId="0" applyFont="1" applyFill="1" applyBorder="1" applyAlignment="1">
      <alignment vertical="top" wrapText="1"/>
    </xf>
    <xf numFmtId="168" fontId="3" fillId="0" borderId="41" xfId="0" applyNumberFormat="1" applyFont="1" applyFill="1" applyBorder="1"/>
    <xf numFmtId="0" fontId="61" fillId="0" borderId="55" xfId="0" applyFont="1" applyFill="1" applyBorder="1" applyAlignment="1">
      <alignment vertical="top" wrapText="1"/>
    </xf>
    <xf numFmtId="49" fontId="15" fillId="0" borderId="54" xfId="0" applyNumberFormat="1" applyFont="1" applyFill="1" applyBorder="1" applyAlignment="1">
      <alignment horizontal="center"/>
    </xf>
    <xf numFmtId="1" fontId="15" fillId="0" borderId="54" xfId="0" applyNumberFormat="1" applyFont="1" applyFill="1" applyBorder="1" applyAlignment="1">
      <alignment horizontal="center"/>
    </xf>
    <xf numFmtId="165" fontId="15" fillId="0" borderId="54" xfId="0" applyNumberFormat="1" applyFont="1" applyFill="1" applyBorder="1"/>
    <xf numFmtId="0" fontId="61" fillId="0" borderId="0" xfId="0" applyFont="1" applyFill="1" applyBorder="1" applyAlignment="1">
      <alignment vertical="top" wrapText="1"/>
    </xf>
    <xf numFmtId="49" fontId="15" fillId="0" borderId="0" xfId="0" applyNumberFormat="1" applyFont="1" applyFill="1" applyBorder="1" applyAlignment="1">
      <alignment horizontal="center"/>
    </xf>
    <xf numFmtId="1" fontId="15" fillId="0" borderId="0" xfId="0" applyNumberFormat="1" applyFont="1" applyFill="1" applyBorder="1" applyAlignment="1">
      <alignment horizontal="center"/>
    </xf>
    <xf numFmtId="49" fontId="15" fillId="0" borderId="30" xfId="0" applyNumberFormat="1" applyFont="1" applyFill="1" applyBorder="1" applyAlignment="1">
      <alignment horizontal="center" wrapText="1"/>
    </xf>
    <xf numFmtId="165" fontId="15" fillId="0" borderId="30" xfId="0" applyNumberFormat="1" applyFont="1" applyFill="1" applyBorder="1" applyAlignment="1">
      <alignment horizontal="center" wrapText="1"/>
    </xf>
    <xf numFmtId="165" fontId="15" fillId="0" borderId="57" xfId="0" applyNumberFormat="1" applyFont="1" applyFill="1" applyBorder="1" applyAlignment="1">
      <alignment horizontal="center" wrapText="1"/>
    </xf>
    <xf numFmtId="0" fontId="61" fillId="0" borderId="40" xfId="0" applyFont="1" applyFill="1" applyBorder="1" applyAlignment="1">
      <alignment horizontal="center" vertical="top" wrapText="1"/>
    </xf>
    <xf numFmtId="49" fontId="15" fillId="0" borderId="27" xfId="0" applyNumberFormat="1" applyFont="1" applyFill="1" applyBorder="1" applyAlignment="1">
      <alignment horizontal="center" wrapText="1"/>
    </xf>
    <xf numFmtId="165" fontId="15" fillId="0" borderId="27" xfId="0" applyNumberFormat="1" applyFont="1" applyFill="1" applyBorder="1" applyAlignment="1">
      <alignment horizontal="center" wrapText="1"/>
    </xf>
    <xf numFmtId="165" fontId="15" fillId="0" borderId="41" xfId="0" applyNumberFormat="1" applyFont="1" applyFill="1" applyBorder="1" applyAlignment="1">
      <alignment horizontal="center" wrapText="1"/>
    </xf>
    <xf numFmtId="0" fontId="27" fillId="0" borderId="40" xfId="0" applyFont="1" applyFill="1" applyBorder="1"/>
    <xf numFmtId="0" fontId="27" fillId="0" borderId="27" xfId="0" applyNumberFormat="1" applyFont="1" applyFill="1" applyBorder="1" applyAlignment="1">
      <alignment horizontal="center"/>
    </xf>
    <xf numFmtId="0" fontId="61" fillId="0" borderId="40" xfId="0" applyFont="1" applyFill="1" applyBorder="1"/>
    <xf numFmtId="0" fontId="61" fillId="0" borderId="14" xfId="0" applyFont="1" applyFill="1" applyBorder="1" applyAlignment="1">
      <alignment vertical="top" wrapText="1"/>
    </xf>
    <xf numFmtId="0" fontId="27" fillId="0" borderId="14" xfId="0" applyFont="1" applyFill="1" applyBorder="1" applyAlignment="1">
      <alignment vertical="top" wrapText="1"/>
    </xf>
    <xf numFmtId="165" fontId="3" fillId="0" borderId="14" xfId="0" applyNumberFormat="1" applyFont="1" applyFill="1" applyBorder="1"/>
    <xf numFmtId="0" fontId="27" fillId="0" borderId="0" xfId="0" applyFont="1" applyFill="1" applyBorder="1" applyAlignment="1">
      <alignment horizontal="right" vertical="top" wrapText="1"/>
    </xf>
    <xf numFmtId="0" fontId="27" fillId="0" borderId="14" xfId="0" applyFont="1" applyFill="1" applyBorder="1" applyAlignment="1">
      <alignment horizontal="right" vertical="top" wrapText="1"/>
    </xf>
    <xf numFmtId="0" fontId="61" fillId="0" borderId="14" xfId="0" applyFont="1" applyFill="1" applyBorder="1" applyAlignment="1">
      <alignment horizontal="right" vertical="top" wrapText="1"/>
    </xf>
    <xf numFmtId="0" fontId="61" fillId="0" borderId="14" xfId="0" applyFont="1" applyFill="1" applyBorder="1" applyAlignment="1">
      <alignment horizontal="justify" vertical="top" wrapText="1"/>
    </xf>
    <xf numFmtId="0" fontId="27" fillId="0" borderId="35" xfId="0" applyFont="1" applyFill="1" applyBorder="1" applyAlignment="1">
      <alignment vertical="top" wrapText="1"/>
    </xf>
    <xf numFmtId="0" fontId="3" fillId="0" borderId="14" xfId="0" applyNumberFormat="1" applyFont="1" applyFill="1" applyBorder="1" applyAlignment="1">
      <alignment horizontal="center"/>
    </xf>
    <xf numFmtId="0" fontId="61" fillId="0" borderId="40" xfId="0" applyFont="1" applyFill="1" applyBorder="1" applyAlignment="1">
      <alignment horizontal="left" vertical="top" wrapText="1"/>
    </xf>
    <xf numFmtId="0" fontId="61" fillId="0" borderId="40" xfId="0" applyFont="1" applyFill="1" applyBorder="1" applyAlignment="1">
      <alignment horizontal="justify" vertical="top" wrapText="1"/>
    </xf>
    <xf numFmtId="0" fontId="15" fillId="0" borderId="56" xfId="0" applyFont="1" applyFill="1" applyBorder="1"/>
    <xf numFmtId="178" fontId="61" fillId="0" borderId="30" xfId="43" applyNumberFormat="1" applyFont="1" applyFill="1" applyBorder="1" applyAlignment="1">
      <alignment vertical="top" wrapText="1"/>
    </xf>
    <xf numFmtId="165" fontId="61" fillId="0" borderId="30" xfId="0" applyNumberFormat="1" applyFont="1" applyFill="1" applyBorder="1" applyAlignment="1">
      <alignment vertical="top" wrapText="1"/>
    </xf>
    <xf numFmtId="165" fontId="61" fillId="0" borderId="57" xfId="0" applyNumberFormat="1" applyFont="1" applyFill="1" applyBorder="1" applyAlignment="1">
      <alignment vertical="top" wrapText="1"/>
    </xf>
    <xf numFmtId="0" fontId="3" fillId="0" borderId="58" xfId="0" applyFont="1" applyFill="1" applyBorder="1"/>
    <xf numFmtId="0" fontId="27" fillId="0" borderId="38" xfId="0" applyFont="1" applyFill="1" applyBorder="1" applyAlignment="1">
      <alignment vertical="top" wrapText="1"/>
    </xf>
    <xf numFmtId="0" fontId="3" fillId="0" borderId="38" xfId="0" applyNumberFormat="1" applyFont="1" applyFill="1" applyBorder="1" applyAlignment="1">
      <alignment horizontal="center"/>
    </xf>
    <xf numFmtId="165" fontId="3" fillId="0" borderId="19" xfId="0" applyNumberFormat="1" applyFont="1" applyFill="1" applyBorder="1"/>
    <xf numFmtId="170" fontId="3" fillId="0" borderId="38" xfId="0" applyNumberFormat="1" applyFont="1" applyFill="1" applyBorder="1"/>
    <xf numFmtId="168" fontId="3" fillId="0" borderId="59" xfId="0" applyNumberFormat="1" applyFont="1" applyFill="1" applyBorder="1"/>
    <xf numFmtId="0" fontId="27" fillId="0" borderId="0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center"/>
    </xf>
    <xf numFmtId="170" fontId="3" fillId="0" borderId="0" xfId="0" applyNumberFormat="1" applyFont="1" applyFill="1" applyBorder="1"/>
    <xf numFmtId="168" fontId="3" fillId="0" borderId="0" xfId="0" applyNumberFormat="1" applyFont="1" applyFill="1" applyBorder="1"/>
    <xf numFmtId="178" fontId="15" fillId="0" borderId="27" xfId="0" applyNumberFormat="1" applyFont="1" applyFill="1" applyBorder="1" applyAlignment="1">
      <alignment horizontal="center" wrapText="1"/>
    </xf>
    <xf numFmtId="44" fontId="15" fillId="0" borderId="0" xfId="32" applyFont="1" applyFill="1" applyBorder="1" applyAlignment="1">
      <alignment horizontal="center" wrapText="1"/>
    </xf>
    <xf numFmtId="44" fontId="15" fillId="0" borderId="27" xfId="32" applyFont="1" applyFill="1" applyBorder="1" applyAlignment="1">
      <alignment horizontal="center" wrapText="1"/>
    </xf>
    <xf numFmtId="170" fontId="27" fillId="0" borderId="27" xfId="0" applyNumberFormat="1" applyFont="1" applyFill="1" applyBorder="1"/>
    <xf numFmtId="168" fontId="27" fillId="0" borderId="41" xfId="0" applyNumberFormat="1" applyFont="1" applyFill="1" applyBorder="1"/>
    <xf numFmtId="0" fontId="61" fillId="0" borderId="46" xfId="0" applyFont="1" applyFill="1" applyBorder="1" applyAlignment="1">
      <alignment horizontal="justify" vertical="top" wrapText="1"/>
    </xf>
    <xf numFmtId="1" fontId="61" fillId="0" borderId="26" xfId="0" applyNumberFormat="1" applyFont="1" applyFill="1" applyBorder="1" applyAlignment="1">
      <alignment horizontal="center"/>
    </xf>
    <xf numFmtId="165" fontId="61" fillId="0" borderId="26" xfId="0" applyNumberFormat="1" applyFont="1" applyFill="1" applyBorder="1" applyAlignment="1">
      <alignment horizontal="center"/>
    </xf>
    <xf numFmtId="165" fontId="27" fillId="0" borderId="0" xfId="0" applyNumberFormat="1" applyFont="1" applyFill="1" applyBorder="1"/>
    <xf numFmtId="168" fontId="27" fillId="0" borderId="0" xfId="0" applyNumberFormat="1" applyFont="1" applyFill="1"/>
    <xf numFmtId="165" fontId="61" fillId="0" borderId="27" xfId="0" applyNumberFormat="1" applyFont="1" applyFill="1" applyBorder="1" applyAlignment="1">
      <alignment horizontal="center" wrapText="1"/>
    </xf>
    <xf numFmtId="165" fontId="61" fillId="0" borderId="26" xfId="0" applyNumberFormat="1" applyFont="1" applyFill="1" applyBorder="1" applyAlignment="1">
      <alignment horizontal="center" wrapText="1"/>
    </xf>
    <xf numFmtId="168" fontId="27" fillId="0" borderId="36" xfId="0" applyNumberFormat="1" applyFont="1" applyFill="1" applyBorder="1"/>
    <xf numFmtId="0" fontId="27" fillId="0" borderId="14" xfId="0" applyNumberFormat="1" applyFont="1" applyFill="1" applyBorder="1" applyAlignment="1">
      <alignment horizontal="center"/>
    </xf>
    <xf numFmtId="0" fontId="61" fillId="0" borderId="26" xfId="0" applyFont="1" applyFill="1" applyBorder="1" applyAlignment="1">
      <alignment horizontal="center"/>
    </xf>
    <xf numFmtId="165" fontId="27" fillId="0" borderId="24" xfId="0" applyNumberFormat="1" applyFont="1" applyFill="1" applyBorder="1"/>
    <xf numFmtId="168" fontId="27" fillId="0" borderId="61" xfId="0" applyNumberFormat="1" applyFont="1" applyFill="1" applyBorder="1"/>
    <xf numFmtId="0" fontId="61" fillId="0" borderId="60" xfId="0" applyFont="1" applyFill="1" applyBorder="1" applyAlignment="1">
      <alignment horizontal="justify" vertical="top" wrapText="1"/>
    </xf>
    <xf numFmtId="0" fontId="61" fillId="0" borderId="35" xfId="0" applyFont="1" applyFill="1" applyBorder="1" applyAlignment="1">
      <alignment vertical="top" wrapText="1"/>
    </xf>
    <xf numFmtId="0" fontId="61" fillId="0" borderId="35" xfId="0" applyFont="1" applyFill="1" applyBorder="1" applyAlignment="1">
      <alignment horizontal="justify" vertical="top" wrapText="1"/>
    </xf>
    <xf numFmtId="0" fontId="61" fillId="0" borderId="14" xfId="0" applyNumberFormat="1" applyFont="1" applyFill="1" applyBorder="1" applyAlignment="1">
      <alignment horizontal="center"/>
    </xf>
    <xf numFmtId="165" fontId="61" fillId="0" borderId="27" xfId="0" applyNumberFormat="1" applyFont="1" applyFill="1" applyBorder="1"/>
    <xf numFmtId="170" fontId="61" fillId="0" borderId="27" xfId="0" applyNumberFormat="1" applyFont="1" applyFill="1" applyBorder="1"/>
    <xf numFmtId="168" fontId="61" fillId="0" borderId="36" xfId="0" applyNumberFormat="1" applyFont="1" applyFill="1" applyBorder="1"/>
    <xf numFmtId="168" fontId="61" fillId="0" borderId="26" xfId="0" applyNumberFormat="1" applyFont="1" applyFill="1" applyBorder="1"/>
    <xf numFmtId="168" fontId="61" fillId="0" borderId="45" xfId="0" applyNumberFormat="1" applyFont="1" applyFill="1" applyBorder="1"/>
    <xf numFmtId="0" fontId="44" fillId="0" borderId="0" xfId="0" applyFont="1" applyFill="1" applyBorder="1" applyAlignment="1">
      <alignment horizontal="center"/>
    </xf>
    <xf numFmtId="0" fontId="61" fillId="0" borderId="0" xfId="0" applyFont="1" applyFill="1" applyBorder="1" applyAlignment="1">
      <alignment wrapText="1"/>
    </xf>
    <xf numFmtId="165" fontId="3" fillId="0" borderId="0" xfId="0" applyNumberFormat="1" applyFont="1"/>
    <xf numFmtId="0" fontId="1" fillId="0" borderId="27" xfId="0" applyFont="1" applyBorder="1" applyAlignment="1"/>
    <xf numFmtId="179" fontId="65" fillId="0" borderId="26" xfId="0" applyNumberFormat="1" applyFont="1" applyFill="1" applyBorder="1" applyAlignment="1">
      <alignment horizontal="center"/>
    </xf>
    <xf numFmtId="0" fontId="65" fillId="0" borderId="11" xfId="0" applyFont="1" applyFill="1" applyBorder="1" applyAlignment="1">
      <alignment horizontal="left"/>
    </xf>
    <xf numFmtId="0" fontId="65" fillId="0" borderId="14" xfId="0" applyFont="1" applyFill="1" applyBorder="1" applyAlignment="1">
      <alignment horizontal="left"/>
    </xf>
    <xf numFmtId="0" fontId="65" fillId="0" borderId="16" xfId="0" applyFont="1" applyFill="1" applyBorder="1" applyAlignment="1">
      <alignment horizontal="left"/>
    </xf>
    <xf numFmtId="0" fontId="49" fillId="0" borderId="0" xfId="0" applyFont="1" applyBorder="1" applyAlignment="1">
      <alignment horizontal="center"/>
    </xf>
    <xf numFmtId="0" fontId="49" fillId="0" borderId="23" xfId="0" applyFont="1" applyBorder="1" applyAlignment="1">
      <alignment horizontal="left"/>
    </xf>
    <xf numFmtId="0" fontId="49" fillId="0" borderId="20" xfId="0" applyFont="1" applyBorder="1" applyAlignment="1">
      <alignment horizontal="left"/>
    </xf>
    <xf numFmtId="0" fontId="65" fillId="0" borderId="14" xfId="0" applyFont="1" applyFill="1" applyBorder="1" applyAlignment="1">
      <alignment horizontal="left"/>
    </xf>
    <xf numFmtId="0" fontId="65" fillId="0" borderId="16" xfId="0" applyFont="1" applyFill="1" applyBorder="1" applyAlignment="1">
      <alignment horizontal="left"/>
    </xf>
    <xf numFmtId="0" fontId="15" fillId="0" borderId="0" xfId="0" applyFont="1" applyBorder="1" applyAlignment="1">
      <alignment horizontal="center"/>
    </xf>
    <xf numFmtId="165" fontId="65" fillId="0" borderId="0" xfId="0" applyNumberFormat="1" applyFont="1" applyFill="1" applyBorder="1" applyAlignment="1">
      <alignment horizontal="left"/>
    </xf>
    <xf numFmtId="165" fontId="65" fillId="0" borderId="26" xfId="0" applyNumberFormat="1" applyFont="1" applyFill="1" applyBorder="1" applyAlignment="1">
      <alignment horizontal="center"/>
    </xf>
    <xf numFmtId="165" fontId="65" fillId="0" borderId="27" xfId="0" applyNumberFormat="1" applyFont="1" applyFill="1" applyBorder="1" applyAlignment="1">
      <alignment horizontal="center"/>
    </xf>
    <xf numFmtId="165" fontId="65" fillId="0" borderId="24" xfId="0" applyNumberFormat="1" applyFont="1" applyFill="1" applyBorder="1" applyAlignment="1">
      <alignment horizontal="center"/>
    </xf>
    <xf numFmtId="165" fontId="69" fillId="0" borderId="11" xfId="0" applyNumberFormat="1" applyFont="1" applyFill="1" applyBorder="1"/>
    <xf numFmtId="165" fontId="65" fillId="0" borderId="14" xfId="0" applyNumberFormat="1" applyFont="1" applyFill="1" applyBorder="1" applyAlignment="1">
      <alignment horizontal="center"/>
    </xf>
    <xf numFmtId="165" fontId="69" fillId="0" borderId="14" xfId="0" applyNumberFormat="1" applyFont="1" applyFill="1" applyBorder="1" applyAlignment="1">
      <alignment horizontal="center"/>
    </xf>
    <xf numFmtId="165" fontId="65" fillId="0" borderId="26" xfId="0" applyNumberFormat="1" applyFont="1" applyFill="1" applyBorder="1" applyAlignment="1"/>
    <xf numFmtId="0" fontId="68" fillId="0" borderId="0" xfId="0" applyFont="1" applyFill="1" applyBorder="1" applyAlignment="1"/>
    <xf numFmtId="0" fontId="65" fillId="0" borderId="22" xfId="0" applyFont="1" applyFill="1" applyBorder="1" applyAlignment="1">
      <alignment horizontal="center"/>
    </xf>
    <xf numFmtId="179" fontId="65" fillId="0" borderId="23" xfId="0" applyNumberFormat="1" applyFont="1" applyFill="1" applyBorder="1" applyAlignment="1">
      <alignment horizontal="center"/>
    </xf>
    <xf numFmtId="0" fontId="69" fillId="0" borderId="26" xfId="0" applyFont="1" applyFill="1" applyBorder="1" applyAlignment="1">
      <alignment horizontal="left"/>
    </xf>
    <xf numFmtId="165" fontId="68" fillId="0" borderId="0" xfId="0" applyNumberFormat="1" applyFont="1" applyFill="1" applyBorder="1"/>
    <xf numFmtId="165" fontId="65" fillId="0" borderId="0" xfId="32" applyNumberFormat="1" applyFont="1" applyFill="1" applyBorder="1"/>
    <xf numFmtId="0" fontId="68" fillId="0" borderId="0" xfId="0" applyFont="1" applyFill="1" applyBorder="1" applyAlignment="1">
      <alignment horizontal="center"/>
    </xf>
    <xf numFmtId="0" fontId="71" fillId="0" borderId="0" xfId="0" applyFont="1" applyFill="1" applyBorder="1" applyAlignment="1">
      <alignment horizontal="center"/>
    </xf>
    <xf numFmtId="165" fontId="70" fillId="0" borderId="0" xfId="0" applyNumberFormat="1" applyFont="1" applyFill="1" applyBorder="1"/>
    <xf numFmtId="165" fontId="22" fillId="0" borderId="0" xfId="0" applyNumberFormat="1" applyFont="1" applyFill="1" applyBorder="1"/>
    <xf numFmtId="2" fontId="68" fillId="0" borderId="0" xfId="0" applyNumberFormat="1" applyFont="1" applyFill="1" applyBorder="1"/>
    <xf numFmtId="0" fontId="65" fillId="0" borderId="14" xfId="0" applyFont="1" applyFill="1" applyBorder="1" applyAlignment="1">
      <alignment horizontal="left"/>
    </xf>
    <xf numFmtId="0" fontId="65" fillId="0" borderId="16" xfId="0" applyFont="1" applyFill="1" applyBorder="1" applyAlignment="1">
      <alignment horizontal="left"/>
    </xf>
    <xf numFmtId="44" fontId="69" fillId="0" borderId="27" xfId="32" applyFont="1" applyFill="1" applyBorder="1"/>
    <xf numFmtId="44" fontId="65" fillId="0" borderId="27" xfId="32" applyFont="1" applyFill="1" applyBorder="1"/>
    <xf numFmtId="165" fontId="52" fillId="0" borderId="14" xfId="0" applyNumberFormat="1" applyFont="1" applyBorder="1"/>
    <xf numFmtId="165" fontId="3" fillId="0" borderId="41" xfId="0" applyNumberFormat="1" applyFont="1" applyBorder="1"/>
    <xf numFmtId="165" fontId="3" fillId="0" borderId="24" xfId="0" applyNumberFormat="1" applyFont="1" applyBorder="1"/>
    <xf numFmtId="0" fontId="15" fillId="0" borderId="64" xfId="0" applyFont="1" applyBorder="1" applyAlignment="1">
      <alignment horizontal="center"/>
    </xf>
    <xf numFmtId="0" fontId="15" fillId="0" borderId="52" xfId="0" applyFont="1" applyBorder="1"/>
    <xf numFmtId="165" fontId="15" fillId="0" borderId="52" xfId="0" applyNumberFormat="1" applyFont="1" applyBorder="1"/>
    <xf numFmtId="165" fontId="15" fillId="0" borderId="80" xfId="0" applyNumberFormat="1" applyFont="1" applyBorder="1"/>
    <xf numFmtId="0" fontId="49" fillId="0" borderId="40" xfId="0" applyFont="1" applyBorder="1" applyAlignment="1">
      <alignment wrapText="1"/>
    </xf>
    <xf numFmtId="165" fontId="6" fillId="0" borderId="14" xfId="0" applyNumberFormat="1" applyFont="1" applyBorder="1"/>
    <xf numFmtId="165" fontId="1" fillId="0" borderId="14" xfId="0" applyNumberFormat="1" applyFont="1" applyBorder="1"/>
    <xf numFmtId="0" fontId="9" fillId="0" borderId="0" xfId="0" applyFont="1" applyFill="1" applyBorder="1"/>
    <xf numFmtId="0" fontId="50" fillId="0" borderId="0" xfId="0" applyFont="1" applyFill="1" applyBorder="1" applyAlignment="1">
      <alignment horizontal="center"/>
    </xf>
    <xf numFmtId="165" fontId="50" fillId="0" borderId="0" xfId="0" applyNumberFormat="1" applyFont="1" applyFill="1" applyBorder="1" applyAlignment="1">
      <alignment horizontal="left" wrapText="1"/>
    </xf>
    <xf numFmtId="0" fontId="118" fillId="0" borderId="0" xfId="0" applyFont="1" applyFill="1" applyBorder="1"/>
    <xf numFmtId="0" fontId="49" fillId="0" borderId="23" xfId="0" applyFont="1" applyFill="1" applyBorder="1"/>
    <xf numFmtId="0" fontId="9" fillId="0" borderId="20" xfId="0" applyFont="1" applyFill="1" applyBorder="1"/>
    <xf numFmtId="0" fontId="9" fillId="0" borderId="20" xfId="0" applyFont="1" applyFill="1" applyBorder="1" applyAlignment="1">
      <alignment horizontal="center"/>
    </xf>
    <xf numFmtId="165" fontId="9" fillId="0" borderId="21" xfId="0" applyNumberFormat="1" applyFont="1" applyFill="1" applyBorder="1" applyAlignment="1">
      <alignment horizontal="left" wrapText="1"/>
    </xf>
    <xf numFmtId="0" fontId="54" fillId="0" borderId="26" xfId="0" applyFont="1" applyFill="1" applyBorder="1" applyAlignment="1">
      <alignment horizontal="center" vertical="justify"/>
    </xf>
    <xf numFmtId="0" fontId="49" fillId="0" borderId="26" xfId="0" applyFont="1" applyFill="1" applyBorder="1" applyAlignment="1">
      <alignment horizontal="center" vertical="justify"/>
    </xf>
    <xf numFmtId="0" fontId="49" fillId="0" borderId="11" xfId="0" applyFont="1" applyFill="1" applyBorder="1" applyAlignment="1">
      <alignment horizontal="center" vertical="justify"/>
    </xf>
    <xf numFmtId="165" fontId="53" fillId="0" borderId="26" xfId="0" applyNumberFormat="1" applyFont="1" applyFill="1" applyBorder="1" applyAlignment="1">
      <alignment horizontal="left" vertical="justify" wrapText="1"/>
    </xf>
    <xf numFmtId="0" fontId="54" fillId="0" borderId="27" xfId="0" applyFont="1" applyFill="1" applyBorder="1" applyAlignment="1">
      <alignment horizontal="center" vertical="justify"/>
    </xf>
    <xf numFmtId="0" fontId="49" fillId="0" borderId="27" xfId="0" applyFont="1" applyFill="1" applyBorder="1" applyAlignment="1">
      <alignment horizontal="center" vertical="justify"/>
    </xf>
    <xf numFmtId="0" fontId="49" fillId="0" borderId="14" xfId="0" applyFont="1" applyFill="1" applyBorder="1" applyAlignment="1">
      <alignment horizontal="center" vertical="justify"/>
    </xf>
    <xf numFmtId="165" fontId="53" fillId="0" borderId="27" xfId="0" applyNumberFormat="1" applyFont="1" applyFill="1" applyBorder="1" applyAlignment="1">
      <alignment horizontal="left" vertical="justify" wrapText="1"/>
    </xf>
    <xf numFmtId="0" fontId="54" fillId="0" borderId="24" xfId="0" applyFont="1" applyFill="1" applyBorder="1" applyAlignment="1">
      <alignment horizontal="center" vertical="justify"/>
    </xf>
    <xf numFmtId="0" fontId="49" fillId="0" borderId="24" xfId="0" applyFont="1" applyFill="1" applyBorder="1" applyAlignment="1">
      <alignment horizontal="center" vertical="justify"/>
    </xf>
    <xf numFmtId="0" fontId="49" fillId="0" borderId="16" xfId="0" applyFont="1" applyFill="1" applyBorder="1" applyAlignment="1">
      <alignment horizontal="center" vertical="justify"/>
    </xf>
    <xf numFmtId="165" fontId="53" fillId="0" borderId="24" xfId="0" applyNumberFormat="1" applyFont="1" applyFill="1" applyBorder="1" applyAlignment="1">
      <alignment horizontal="left" vertical="justify" wrapText="1"/>
    </xf>
    <xf numFmtId="0" fontId="49" fillId="0" borderId="22" xfId="0" applyFont="1" applyFill="1" applyBorder="1"/>
    <xf numFmtId="0" fontId="49" fillId="0" borderId="22" xfId="0" applyFont="1" applyFill="1" applyBorder="1" applyAlignment="1"/>
    <xf numFmtId="15" fontId="49" fillId="0" borderId="22" xfId="0" applyNumberFormat="1" applyFont="1" applyFill="1" applyBorder="1" applyAlignment="1">
      <alignment horizontal="center"/>
    </xf>
    <xf numFmtId="165" fontId="49" fillId="0" borderId="22" xfId="0" applyNumberFormat="1" applyFont="1" applyFill="1" applyBorder="1" applyAlignment="1">
      <alignment horizontal="left" wrapText="1"/>
    </xf>
    <xf numFmtId="165" fontId="119" fillId="0" borderId="0" xfId="0" applyNumberFormat="1" applyFont="1" applyFill="1" applyBorder="1"/>
    <xf numFmtId="0" fontId="119" fillId="0" borderId="0" xfId="0" applyFont="1" applyFill="1" applyBorder="1"/>
    <xf numFmtId="0" fontId="49" fillId="0" borderId="22" xfId="0" applyFont="1" applyFill="1" applyBorder="1" applyAlignment="1">
      <alignment wrapText="1"/>
    </xf>
    <xf numFmtId="9" fontId="49" fillId="0" borderId="22" xfId="0" applyNumberFormat="1" applyFont="1" applyFill="1" applyBorder="1" applyAlignment="1">
      <alignment horizontal="center"/>
    </xf>
    <xf numFmtId="0" fontId="119" fillId="0" borderId="22" xfId="0" applyFont="1" applyFill="1" applyBorder="1"/>
    <xf numFmtId="165" fontId="3" fillId="0" borderId="22" xfId="32" applyNumberFormat="1" applyFont="1" applyFill="1" applyBorder="1"/>
    <xf numFmtId="0" fontId="49" fillId="0" borderId="22" xfId="0" applyFont="1" applyFill="1" applyBorder="1" applyAlignment="1">
      <alignment horizontal="center" wrapText="1"/>
    </xf>
    <xf numFmtId="165" fontId="49" fillId="0" borderId="22" xfId="0" applyNumberFormat="1" applyFont="1" applyFill="1" applyBorder="1" applyAlignment="1">
      <alignment horizontal="center" wrapText="1"/>
    </xf>
    <xf numFmtId="0" fontId="9" fillId="0" borderId="22" xfId="0" applyFont="1" applyFill="1" applyBorder="1" applyAlignment="1">
      <alignment horizontal="center"/>
    </xf>
    <xf numFmtId="165" fontId="9" fillId="0" borderId="22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left" wrapText="1"/>
    </xf>
    <xf numFmtId="0" fontId="114" fillId="0" borderId="27" xfId="0" applyFont="1" applyFill="1" applyBorder="1"/>
    <xf numFmtId="178" fontId="15" fillId="0" borderId="33" xfId="0" applyNumberFormat="1" applyFont="1" applyFill="1" applyBorder="1" applyAlignment="1">
      <alignment horizontal="center" wrapText="1"/>
    </xf>
    <xf numFmtId="178" fontId="15" fillId="0" borderId="15" xfId="0" applyNumberFormat="1" applyFont="1" applyFill="1" applyBorder="1" applyAlignment="1">
      <alignment horizontal="center" wrapText="1"/>
    </xf>
    <xf numFmtId="178" fontId="15" fillId="0" borderId="32" xfId="0" applyNumberFormat="1" applyFont="1" applyFill="1" applyBorder="1" applyAlignment="1">
      <alignment horizontal="center" wrapText="1"/>
    </xf>
    <xf numFmtId="178" fontId="15" fillId="0" borderId="0" xfId="0" applyNumberFormat="1" applyFont="1" applyFill="1" applyBorder="1" applyAlignment="1">
      <alignment horizontal="center" wrapText="1"/>
    </xf>
    <xf numFmtId="0" fontId="3" fillId="0" borderId="15" xfId="0" applyNumberFormat="1" applyFont="1" applyFill="1" applyBorder="1" applyAlignment="1">
      <alignment horizontal="center"/>
    </xf>
    <xf numFmtId="0" fontId="27" fillId="0" borderId="15" xfId="0" applyNumberFormat="1" applyFont="1" applyFill="1" applyBorder="1" applyAlignment="1">
      <alignment horizontal="center"/>
    </xf>
    <xf numFmtId="178" fontId="15" fillId="0" borderId="26" xfId="0" applyNumberFormat="1" applyFont="1" applyFill="1" applyBorder="1" applyAlignment="1">
      <alignment horizontal="center" wrapText="1"/>
    </xf>
    <xf numFmtId="44" fontId="15" fillId="0" borderId="31" xfId="32" applyFont="1" applyFill="1" applyBorder="1" applyAlignment="1">
      <alignment horizontal="center" wrapText="1"/>
    </xf>
    <xf numFmtId="165" fontId="27" fillId="0" borderId="14" xfId="0" applyNumberFormat="1" applyFont="1" applyFill="1" applyBorder="1"/>
    <xf numFmtId="44" fontId="15" fillId="0" borderId="26" xfId="32" applyFont="1" applyFill="1" applyBorder="1" applyAlignment="1">
      <alignment horizontal="center" wrapText="1"/>
    </xf>
    <xf numFmtId="44" fontId="15" fillId="0" borderId="32" xfId="32" applyFont="1" applyFill="1" applyBorder="1" applyAlignment="1">
      <alignment horizontal="center" wrapText="1"/>
    </xf>
    <xf numFmtId="170" fontId="27" fillId="0" borderId="0" xfId="0" applyNumberFormat="1" applyFont="1" applyFill="1" applyBorder="1"/>
    <xf numFmtId="170" fontId="3" fillId="0" borderId="41" xfId="0" applyNumberFormat="1" applyFont="1" applyFill="1" applyBorder="1"/>
    <xf numFmtId="44" fontId="15" fillId="0" borderId="45" xfId="32" applyFont="1" applyFill="1" applyBorder="1" applyAlignment="1">
      <alignment horizontal="center" wrapText="1"/>
    </xf>
    <xf numFmtId="44" fontId="15" fillId="0" borderId="41" xfId="32" applyFont="1" applyFill="1" applyBorder="1" applyAlignment="1">
      <alignment horizontal="center" wrapText="1"/>
    </xf>
    <xf numFmtId="0" fontId="3" fillId="0" borderId="40" xfId="0" applyFont="1" applyFill="1" applyBorder="1"/>
    <xf numFmtId="0" fontId="3" fillId="0" borderId="41" xfId="0" applyFont="1" applyFill="1" applyBorder="1"/>
    <xf numFmtId="165" fontId="61" fillId="0" borderId="45" xfId="0" applyNumberFormat="1" applyFont="1" applyFill="1" applyBorder="1" applyAlignment="1">
      <alignment horizontal="center"/>
    </xf>
    <xf numFmtId="0" fontId="3" fillId="0" borderId="35" xfId="0" applyFont="1" applyFill="1" applyBorder="1" applyAlignment="1"/>
    <xf numFmtId="165" fontId="15" fillId="0" borderId="81" xfId="0" applyNumberFormat="1" applyFont="1" applyFill="1" applyBorder="1"/>
    <xf numFmtId="0" fontId="22" fillId="0" borderId="27" xfId="0" applyFont="1" applyFill="1" applyBorder="1"/>
    <xf numFmtId="165" fontId="100" fillId="0" borderId="14" xfId="0" applyNumberFormat="1" applyFont="1" applyFill="1" applyBorder="1"/>
    <xf numFmtId="165" fontId="100" fillId="0" borderId="14" xfId="0" applyNumberFormat="1" applyFont="1" applyFill="1" applyBorder="1" applyAlignment="1"/>
    <xf numFmtId="165" fontId="100" fillId="0" borderId="11" xfId="0" applyNumberFormat="1" applyFont="1" applyFill="1" applyBorder="1"/>
    <xf numFmtId="165" fontId="100" fillId="0" borderId="16" xfId="0" applyNumberFormat="1" applyFont="1" applyFill="1" applyBorder="1"/>
    <xf numFmtId="175" fontId="3" fillId="0" borderId="0" xfId="0" applyNumberFormat="1" applyFont="1" applyFill="1" applyBorder="1" applyAlignment="1"/>
    <xf numFmtId="175" fontId="3" fillId="0" borderId="0" xfId="0" applyNumberFormat="1" applyFont="1" applyFill="1" applyAlignment="1"/>
    <xf numFmtId="180" fontId="16" fillId="0" borderId="0" xfId="32" applyNumberFormat="1" applyFont="1" applyFill="1"/>
    <xf numFmtId="181" fontId="16" fillId="0" borderId="0" xfId="0" applyNumberFormat="1" applyFont="1" applyFill="1"/>
    <xf numFmtId="0" fontId="1" fillId="0" borderId="0" xfId="44" applyBorder="1"/>
    <xf numFmtId="0" fontId="112" fillId="0" borderId="22" xfId="44" applyFont="1" applyBorder="1"/>
    <xf numFmtId="0" fontId="111" fillId="0" borderId="22" xfId="44" applyFont="1" applyBorder="1"/>
    <xf numFmtId="165" fontId="6" fillId="0" borderId="22" xfId="44" applyNumberFormat="1" applyFont="1" applyBorder="1"/>
    <xf numFmtId="165" fontId="6" fillId="0" borderId="0" xfId="44" applyNumberFormat="1" applyFont="1" applyBorder="1"/>
    <xf numFmtId="0" fontId="6" fillId="0" borderId="0" xfId="44" applyFont="1" applyBorder="1"/>
    <xf numFmtId="0" fontId="113" fillId="0" borderId="22" xfId="44" applyFont="1" applyBorder="1"/>
    <xf numFmtId="0" fontId="114" fillId="0" borderId="22" xfId="44" applyFont="1" applyBorder="1"/>
    <xf numFmtId="165" fontId="1" fillId="0" borderId="22" xfId="44" applyNumberFormat="1" applyBorder="1"/>
    <xf numFmtId="165" fontId="1" fillId="0" borderId="22" xfId="44" applyNumberFormat="1" applyFont="1" applyBorder="1"/>
    <xf numFmtId="179" fontId="1" fillId="0" borderId="22" xfId="44" applyNumberFormat="1" applyBorder="1"/>
    <xf numFmtId="165" fontId="1" fillId="0" borderId="0" xfId="44" applyNumberFormat="1" applyBorder="1"/>
    <xf numFmtId="165" fontId="1" fillId="0" borderId="22" xfId="44" applyNumberFormat="1" applyFill="1" applyBorder="1"/>
    <xf numFmtId="165" fontId="1" fillId="0" borderId="0" xfId="44" applyNumberFormat="1" applyFont="1" applyBorder="1"/>
    <xf numFmtId="0" fontId="1" fillId="0" borderId="0" xfId="44" applyFont="1" applyBorder="1"/>
    <xf numFmtId="0" fontId="115" fillId="0" borderId="22" xfId="44" applyFont="1" applyBorder="1"/>
    <xf numFmtId="0" fontId="1" fillId="0" borderId="22" xfId="44" applyBorder="1"/>
    <xf numFmtId="0" fontId="3" fillId="0" borderId="22" xfId="44" applyFont="1" applyBorder="1"/>
    <xf numFmtId="0" fontId="3" fillId="0" borderId="0" xfId="44" applyFont="1" applyBorder="1" applyAlignment="1">
      <alignment horizontal="center" wrapText="1"/>
    </xf>
    <xf numFmtId="0" fontId="3" fillId="0" borderId="0" xfId="44" applyFont="1" applyBorder="1"/>
    <xf numFmtId="0" fontId="1" fillId="0" borderId="0" xfId="44"/>
    <xf numFmtId="0" fontId="3" fillId="0" borderId="0" xfId="44" applyFont="1"/>
    <xf numFmtId="165" fontId="1" fillId="0" borderId="0" xfId="44" applyNumberFormat="1"/>
    <xf numFmtId="170" fontId="3" fillId="0" borderId="0" xfId="0" applyNumberFormat="1" applyFont="1" applyFill="1"/>
    <xf numFmtId="0" fontId="121" fillId="0" borderId="0" xfId="0" applyFont="1" applyFill="1" applyBorder="1" applyAlignment="1">
      <alignment vertical="top" wrapText="1"/>
    </xf>
    <xf numFmtId="0" fontId="121" fillId="0" borderId="27" xfId="0" applyFont="1" applyFill="1" applyBorder="1" applyAlignment="1">
      <alignment vertical="top" wrapText="1"/>
    </xf>
    <xf numFmtId="0" fontId="122" fillId="0" borderId="15" xfId="0" applyNumberFormat="1" applyFont="1" applyFill="1" applyBorder="1" applyAlignment="1">
      <alignment horizontal="center"/>
    </xf>
    <xf numFmtId="165" fontId="122" fillId="0" borderId="0" xfId="0" applyNumberFormat="1" applyFont="1" applyFill="1" applyBorder="1"/>
    <xf numFmtId="165" fontId="122" fillId="0" borderId="27" xfId="0" applyNumberFormat="1" applyFont="1" applyFill="1" applyBorder="1"/>
    <xf numFmtId="170" fontId="122" fillId="0" borderId="0" xfId="0" applyNumberFormat="1" applyFont="1" applyFill="1" applyBorder="1"/>
    <xf numFmtId="168" fontId="122" fillId="0" borderId="41" xfId="0" applyNumberFormat="1" applyFont="1" applyFill="1" applyBorder="1"/>
    <xf numFmtId="0" fontId="122" fillId="0" borderId="0" xfId="0" applyFont="1" applyFill="1"/>
    <xf numFmtId="0" fontId="121" fillId="0" borderId="40" xfId="0" applyFont="1" applyFill="1" applyBorder="1"/>
    <xf numFmtId="165" fontId="61" fillId="0" borderId="65" xfId="0" applyNumberFormat="1" applyFont="1" applyFill="1" applyBorder="1" applyAlignment="1">
      <alignment horizontal="center" wrapText="1"/>
    </xf>
    <xf numFmtId="165" fontId="61" fillId="0" borderId="22" xfId="0" applyNumberFormat="1" applyFont="1" applyFill="1" applyBorder="1" applyAlignment="1">
      <alignment horizontal="center" wrapText="1"/>
    </xf>
    <xf numFmtId="0" fontId="61" fillId="0" borderId="46" xfId="0" applyFont="1" applyFill="1" applyBorder="1" applyAlignment="1">
      <alignment horizontal="center" vertical="top" wrapText="1"/>
    </xf>
    <xf numFmtId="0" fontId="63" fillId="0" borderId="24" xfId="0" applyFont="1" applyFill="1" applyBorder="1" applyAlignment="1">
      <alignment wrapText="1"/>
    </xf>
    <xf numFmtId="0" fontId="63" fillId="0" borderId="21" xfId="0" applyFont="1" applyFill="1" applyBorder="1" applyAlignment="1">
      <alignment wrapText="1"/>
    </xf>
    <xf numFmtId="0" fontId="63" fillId="0" borderId="26" xfId="0" applyFont="1" applyFill="1" applyBorder="1" applyAlignment="1">
      <alignment vertical="center" wrapText="1"/>
    </xf>
    <xf numFmtId="0" fontId="63" fillId="0" borderId="26" xfId="0" applyFont="1" applyFill="1" applyBorder="1" applyAlignment="1">
      <alignment horizontal="left"/>
    </xf>
    <xf numFmtId="0" fontId="1" fillId="0" borderId="70" xfId="0" applyFont="1" applyFill="1" applyBorder="1"/>
    <xf numFmtId="0" fontId="4" fillId="0" borderId="71" xfId="0" applyFont="1" applyFill="1" applyBorder="1" applyAlignment="1">
      <alignment horizontal="left"/>
    </xf>
    <xf numFmtId="0" fontId="0" fillId="0" borderId="72" xfId="0" applyFill="1" applyBorder="1" applyAlignment="1">
      <alignment horizontal="left"/>
    </xf>
    <xf numFmtId="165" fontId="63" fillId="0" borderId="26" xfId="0" applyNumberFormat="1" applyFont="1" applyFill="1" applyBorder="1"/>
    <xf numFmtId="167" fontId="27" fillId="0" borderId="26" xfId="0" applyNumberFormat="1" applyFont="1" applyFill="1" applyBorder="1"/>
    <xf numFmtId="165" fontId="98" fillId="0" borderId="70" xfId="0" applyNumberFormat="1" applyFont="1" applyFill="1" applyBorder="1"/>
    <xf numFmtId="165" fontId="98" fillId="0" borderId="71" xfId="0" applyNumberFormat="1" applyFont="1" applyFill="1" applyBorder="1"/>
    <xf numFmtId="165" fontId="98" fillId="0" borderId="72" xfId="0" applyNumberFormat="1" applyFont="1" applyFill="1" applyBorder="1"/>
    <xf numFmtId="0" fontId="103" fillId="0" borderId="24" xfId="0" applyFont="1" applyFill="1" applyBorder="1" applyAlignment="1">
      <alignment horizontal="center"/>
    </xf>
    <xf numFmtId="0" fontId="27" fillId="0" borderId="35" xfId="0" applyFont="1" applyFill="1" applyBorder="1" applyAlignment="1">
      <alignment vertical="top"/>
    </xf>
    <xf numFmtId="0" fontId="27" fillId="0" borderId="35" xfId="0" applyFont="1" applyFill="1" applyBorder="1" applyAlignment="1"/>
    <xf numFmtId="0" fontId="3" fillId="0" borderId="27" xfId="0" applyNumberFormat="1" applyFont="1" applyFill="1" applyBorder="1" applyAlignment="1">
      <alignment horizontal="right"/>
    </xf>
    <xf numFmtId="0" fontId="27" fillId="0" borderId="40" xfId="0" applyFont="1" applyFill="1" applyBorder="1" applyAlignment="1">
      <alignment horizontal="justify" vertical="top" wrapText="1"/>
    </xf>
    <xf numFmtId="0" fontId="27" fillId="0" borderId="35" xfId="0" applyFont="1" applyFill="1" applyBorder="1" applyAlignment="1">
      <alignment horizontal="justify" vertical="top" wrapText="1"/>
    </xf>
    <xf numFmtId="0" fontId="27" fillId="0" borderId="14" xfId="0" applyFont="1" applyFill="1" applyBorder="1" applyAlignment="1">
      <alignment horizontal="justify" vertical="top" wrapText="1"/>
    </xf>
    <xf numFmtId="165" fontId="91" fillId="0" borderId="24" xfId="0" applyNumberFormat="1" applyFont="1" applyFill="1" applyBorder="1"/>
    <xf numFmtId="165" fontId="68" fillId="0" borderId="0" xfId="0" applyNumberFormat="1" applyFont="1" applyFill="1" applyBorder="1" applyAlignment="1">
      <alignment horizontal="center"/>
    </xf>
    <xf numFmtId="165" fontId="117" fillId="0" borderId="22" xfId="0" applyNumberFormat="1" applyFont="1" applyFill="1" applyBorder="1"/>
    <xf numFmtId="165" fontId="123" fillId="0" borderId="13" xfId="0" applyNumberFormat="1" applyFont="1" applyFill="1" applyBorder="1"/>
    <xf numFmtId="0" fontId="67" fillId="0" borderId="0" xfId="0" applyFont="1" applyFill="1"/>
    <xf numFmtId="0" fontId="58" fillId="0" borderId="22" xfId="0" applyFont="1" applyFill="1" applyBorder="1"/>
    <xf numFmtId="0" fontId="94" fillId="0" borderId="22" xfId="0" applyFont="1" applyFill="1" applyBorder="1" applyAlignment="1">
      <alignment wrapText="1"/>
    </xf>
    <xf numFmtId="167" fontId="64" fillId="0" borderId="0" xfId="0" applyNumberFormat="1" applyFont="1" applyFill="1" applyBorder="1"/>
    <xf numFmtId="167" fontId="5" fillId="0" borderId="24" xfId="0" applyNumberFormat="1" applyFont="1" applyFill="1" applyBorder="1"/>
    <xf numFmtId="167" fontId="19" fillId="0" borderId="24" xfId="0" applyNumberFormat="1" applyFont="1" applyFill="1" applyBorder="1"/>
    <xf numFmtId="167" fontId="34" fillId="0" borderId="24" xfId="0" applyNumberFormat="1" applyFont="1" applyFill="1" applyBorder="1"/>
    <xf numFmtId="0" fontId="63" fillId="0" borderId="0" xfId="0" applyFont="1" applyFill="1" applyBorder="1" applyAlignment="1">
      <alignment wrapText="1"/>
    </xf>
    <xf numFmtId="49" fontId="94" fillId="0" borderId="0" xfId="0" applyNumberFormat="1" applyFont="1" applyFill="1" applyBorder="1" applyAlignment="1">
      <alignment horizontal="center"/>
    </xf>
    <xf numFmtId="167" fontId="3" fillId="0" borderId="0" xfId="0" applyNumberFormat="1" applyFont="1" applyFill="1" applyBorder="1"/>
    <xf numFmtId="167" fontId="0" fillId="0" borderId="0" xfId="0" applyNumberFormat="1" applyFill="1" applyBorder="1"/>
    <xf numFmtId="0" fontId="6" fillId="0" borderId="22" xfId="0" applyFont="1" applyFill="1" applyBorder="1" applyAlignment="1">
      <alignment horizontal="center"/>
    </xf>
    <xf numFmtId="0" fontId="117" fillId="0" borderId="22" xfId="0" applyFont="1" applyFill="1" applyBorder="1"/>
    <xf numFmtId="0" fontId="18" fillId="0" borderId="22" xfId="0" applyFont="1" applyFill="1" applyBorder="1" applyAlignment="1">
      <alignment horizontal="center"/>
    </xf>
    <xf numFmtId="165" fontId="98" fillId="0" borderId="0" xfId="0" applyNumberFormat="1" applyFont="1" applyFill="1" applyBorder="1" applyAlignment="1">
      <alignment wrapText="1"/>
    </xf>
    <xf numFmtId="170" fontId="3" fillId="24" borderId="41" xfId="0" applyNumberFormat="1" applyFont="1" applyFill="1" applyBorder="1"/>
    <xf numFmtId="168" fontId="27" fillId="24" borderId="36" xfId="0" applyNumberFormat="1" applyFont="1" applyFill="1" applyBorder="1"/>
    <xf numFmtId="167" fontId="124" fillId="0" borderId="22" xfId="0" applyNumberFormat="1" applyFont="1" applyFill="1" applyBorder="1"/>
    <xf numFmtId="167" fontId="4" fillId="0" borderId="22" xfId="0" applyNumberFormat="1" applyFont="1" applyFill="1" applyBorder="1"/>
    <xf numFmtId="0" fontId="1" fillId="0" borderId="22" xfId="0" applyFont="1" applyFill="1" applyBorder="1" applyAlignment="1">
      <alignment horizontal="left"/>
    </xf>
    <xf numFmtId="44" fontId="4" fillId="0" borderId="22" xfId="32" applyFont="1" applyFill="1" applyBorder="1" applyAlignment="1">
      <alignment horizontal="left"/>
    </xf>
    <xf numFmtId="165" fontId="4" fillId="0" borderId="22" xfId="0" applyNumberFormat="1" applyFont="1" applyFill="1" applyBorder="1" applyAlignment="1">
      <alignment horizontal="left"/>
    </xf>
    <xf numFmtId="0" fontId="67" fillId="0" borderId="21" xfId="0" applyFont="1" applyFill="1" applyBorder="1" applyAlignment="1"/>
    <xf numFmtId="44" fontId="15" fillId="0" borderId="22" xfId="0" applyNumberFormat="1" applyFont="1" applyFill="1" applyBorder="1" applyAlignment="1">
      <alignment horizontal="left"/>
    </xf>
    <xf numFmtId="0" fontId="6" fillId="0" borderId="23" xfId="0" applyFont="1" applyFill="1" applyBorder="1" applyAlignment="1">
      <alignment horizontal="left"/>
    </xf>
    <xf numFmtId="0" fontId="67" fillId="0" borderId="20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left"/>
    </xf>
    <xf numFmtId="0" fontId="0" fillId="0" borderId="20" xfId="0" applyFill="1" applyBorder="1"/>
    <xf numFmtId="0" fontId="6" fillId="0" borderId="21" xfId="0" applyFont="1" applyFill="1" applyBorder="1" applyAlignment="1">
      <alignment horizontal="left"/>
    </xf>
    <xf numFmtId="0" fontId="1" fillId="0" borderId="26" xfId="0" applyFont="1" applyFill="1" applyBorder="1"/>
    <xf numFmtId="44" fontId="1" fillId="0" borderId="26" xfId="32" applyFont="1" applyFill="1" applyBorder="1"/>
    <xf numFmtId="165" fontId="117" fillId="0" borderId="0" xfId="0" applyNumberFormat="1" applyFont="1" applyFill="1" applyBorder="1"/>
    <xf numFmtId="167" fontId="117" fillId="0" borderId="0" xfId="0" applyNumberFormat="1" applyFont="1" applyFill="1" applyBorder="1"/>
    <xf numFmtId="0" fontId="51" fillId="0" borderId="22" xfId="0" applyFont="1" applyFill="1" applyBorder="1" applyAlignment="1">
      <alignment horizontal="center"/>
    </xf>
    <xf numFmtId="0" fontId="51" fillId="0" borderId="22" xfId="0" applyFont="1" applyFill="1" applyBorder="1"/>
    <xf numFmtId="165" fontId="51" fillId="0" borderId="22" xfId="0" applyNumberFormat="1" applyFont="1" applyFill="1" applyBorder="1" applyAlignment="1">
      <alignment horizontal="left" wrapText="1"/>
    </xf>
    <xf numFmtId="169" fontId="21" fillId="0" borderId="0" xfId="0" applyNumberFormat="1" applyFont="1" applyBorder="1"/>
    <xf numFmtId="170" fontId="3" fillId="24" borderId="14" xfId="0" applyNumberFormat="1" applyFont="1" applyFill="1" applyBorder="1"/>
    <xf numFmtId="0" fontId="6" fillId="0" borderId="22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7" fillId="0" borderId="22" xfId="0" applyFont="1" applyFill="1" applyBorder="1" applyAlignment="1">
      <alignment horizontal="left"/>
    </xf>
    <xf numFmtId="165" fontId="117" fillId="0" borderId="22" xfId="0" applyNumberFormat="1" applyFont="1" applyFill="1" applyBorder="1" applyAlignment="1">
      <alignment wrapText="1"/>
    </xf>
    <xf numFmtId="167" fontId="16" fillId="0" borderId="24" xfId="0" applyNumberFormat="1" applyFont="1" applyFill="1" applyBorder="1"/>
    <xf numFmtId="0" fontId="63" fillId="0" borderId="22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/>
    </xf>
    <xf numFmtId="0" fontId="49" fillId="0" borderId="14" xfId="0" applyFont="1" applyBorder="1" applyAlignment="1">
      <alignment horizontal="left"/>
    </xf>
    <xf numFmtId="0" fontId="49" fillId="0" borderId="16" xfId="0" applyFont="1" applyBorder="1" applyAlignment="1">
      <alignment horizontal="left"/>
    </xf>
    <xf numFmtId="0" fontId="65" fillId="0" borderId="14" xfId="0" applyFont="1" applyFill="1" applyBorder="1" applyAlignment="1">
      <alignment horizontal="left"/>
    </xf>
    <xf numFmtId="0" fontId="6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/>
    </xf>
    <xf numFmtId="175" fontId="3" fillId="0" borderId="0" xfId="0" applyNumberFormat="1" applyFont="1" applyFill="1" applyAlignment="1">
      <alignment horizontal="center"/>
    </xf>
    <xf numFmtId="175" fontId="3" fillId="0" borderId="0" xfId="0" applyNumberFormat="1" applyFont="1" applyFill="1" applyBorder="1" applyAlignment="1">
      <alignment horizontal="center"/>
    </xf>
    <xf numFmtId="175" fontId="3" fillId="0" borderId="0" xfId="0" applyNumberFormat="1" applyFont="1" applyFill="1" applyBorder="1" applyAlignment="1">
      <alignment horizontal="center" vertical="justify" wrapText="1"/>
    </xf>
    <xf numFmtId="44" fontId="16" fillId="0" borderId="0" xfId="0" applyNumberFormat="1" applyFont="1" applyFill="1" applyBorder="1" applyAlignment="1">
      <alignment horizontal="center" vertical="justify" wrapText="1"/>
    </xf>
    <xf numFmtId="44" fontId="3" fillId="0" borderId="0" xfId="0" applyNumberFormat="1" applyFont="1" applyFill="1" applyBorder="1" applyAlignment="1">
      <alignment horizontal="center" vertical="justify" wrapText="1"/>
    </xf>
    <xf numFmtId="175" fontId="15" fillId="0" borderId="22" xfId="0" applyNumberFormat="1" applyFont="1" applyFill="1" applyBorder="1" applyAlignment="1">
      <alignment horizontal="center" vertical="justify"/>
    </xf>
    <xf numFmtId="0" fontId="44" fillId="0" borderId="22" xfId="0" applyFont="1" applyFill="1" applyBorder="1" applyAlignment="1">
      <alignment horizontal="center"/>
    </xf>
    <xf numFmtId="0" fontId="12" fillId="0" borderId="14" xfId="0" applyFont="1" applyBorder="1"/>
    <xf numFmtId="0" fontId="52" fillId="0" borderId="14" xfId="0" applyFont="1" applyBorder="1"/>
    <xf numFmtId="0" fontId="50" fillId="0" borderId="14" xfId="0" applyFont="1" applyBorder="1"/>
    <xf numFmtId="0" fontId="12" fillId="0" borderId="14" xfId="0" applyFont="1" applyBorder="1" applyAlignment="1">
      <alignment horizontal="left"/>
    </xf>
    <xf numFmtId="165" fontId="91" fillId="0" borderId="22" xfId="32" applyNumberFormat="1" applyFont="1" applyFill="1" applyBorder="1"/>
    <xf numFmtId="165" fontId="98" fillId="0" borderId="22" xfId="0" applyNumberFormat="1" applyFont="1" applyFill="1" applyBorder="1" applyAlignment="1">
      <alignment wrapText="1"/>
    </xf>
    <xf numFmtId="165" fontId="98" fillId="0" borderId="22" xfId="0" applyNumberFormat="1" applyFont="1" applyFill="1" applyBorder="1" applyAlignment="1">
      <alignment horizontal="center"/>
    </xf>
    <xf numFmtId="165" fontId="98" fillId="0" borderId="24" xfId="0" applyNumberFormat="1" applyFont="1" applyFill="1" applyBorder="1"/>
    <xf numFmtId="165" fontId="98" fillId="0" borderId="22" xfId="0" applyNumberFormat="1" applyFont="1" applyFill="1" applyBorder="1" applyAlignment="1"/>
    <xf numFmtId="165" fontId="91" fillId="0" borderId="22" xfId="0" applyNumberFormat="1" applyFont="1" applyFill="1" applyBorder="1" applyAlignment="1"/>
    <xf numFmtId="165" fontId="91" fillId="0" borderId="22" xfId="0" applyNumberFormat="1" applyFont="1" applyFill="1" applyBorder="1"/>
    <xf numFmtId="0" fontId="99" fillId="0" borderId="0" xfId="0" applyFont="1" applyFill="1"/>
    <xf numFmtId="44" fontId="5" fillId="0" borderId="0" xfId="32" applyFont="1" applyFill="1"/>
    <xf numFmtId="0" fontId="6" fillId="0" borderId="19" xfId="0" applyFont="1" applyFill="1" applyBorder="1"/>
    <xf numFmtId="165" fontId="1" fillId="0" borderId="0" xfId="0" applyNumberFormat="1" applyFont="1" applyFill="1"/>
    <xf numFmtId="9" fontId="16" fillId="0" borderId="22" xfId="0" applyNumberFormat="1" applyFont="1" applyFill="1" applyBorder="1" applyAlignment="1">
      <alignment horizontal="center" vertical="justify"/>
    </xf>
    <xf numFmtId="165" fontId="15" fillId="0" borderId="22" xfId="0" applyNumberFormat="1" applyFont="1" applyFill="1" applyBorder="1" applyAlignment="1">
      <alignment horizontal="center" vertical="center" wrapText="1"/>
    </xf>
    <xf numFmtId="175" fontId="4" fillId="0" borderId="22" xfId="0" applyNumberFormat="1" applyFont="1" applyFill="1" applyBorder="1"/>
    <xf numFmtId="0" fontId="120" fillId="0" borderId="22" xfId="0" applyFont="1" applyFill="1" applyBorder="1" applyAlignment="1">
      <alignment wrapText="1"/>
    </xf>
    <xf numFmtId="0" fontId="61" fillId="0" borderId="46" xfId="0" applyFont="1" applyFill="1" applyBorder="1" applyAlignment="1">
      <alignment horizontal="center" vertical="top" wrapText="1"/>
    </xf>
    <xf numFmtId="0" fontId="61" fillId="0" borderId="56" xfId="0" applyFont="1" applyFill="1" applyBorder="1" applyAlignment="1">
      <alignment horizontal="center" vertical="top" wrapText="1"/>
    </xf>
    <xf numFmtId="44" fontId="3" fillId="0" borderId="0" xfId="32" applyFont="1" applyFill="1"/>
    <xf numFmtId="165" fontId="1" fillId="25" borderId="22" xfId="44" applyNumberFormat="1" applyFill="1" applyBorder="1"/>
    <xf numFmtId="0" fontId="6" fillId="0" borderId="0" xfId="0" applyFont="1" applyFill="1" applyBorder="1" applyAlignment="1">
      <alignment horizontal="center"/>
    </xf>
    <xf numFmtId="44" fontId="1" fillId="0" borderId="0" xfId="44" applyNumberFormat="1" applyBorder="1"/>
    <xf numFmtId="0" fontId="0" fillId="0" borderId="22" xfId="0" applyFill="1" applyBorder="1"/>
    <xf numFmtId="0" fontId="6" fillId="0" borderId="22" xfId="0" applyFont="1" applyFill="1" applyBorder="1"/>
    <xf numFmtId="165" fontId="3" fillId="0" borderId="22" xfId="0" applyNumberFormat="1" applyFont="1" applyFill="1" applyBorder="1"/>
    <xf numFmtId="165" fontId="3" fillId="0" borderId="23" xfId="0" applyNumberFormat="1" applyFont="1" applyFill="1" applyBorder="1"/>
    <xf numFmtId="165" fontId="15" fillId="27" borderId="22" xfId="0" applyNumberFormat="1" applyFont="1" applyFill="1" applyBorder="1"/>
    <xf numFmtId="165" fontId="15" fillId="28" borderId="22" xfId="0" applyNumberFormat="1" applyFont="1" applyFill="1" applyBorder="1"/>
    <xf numFmtId="165" fontId="15" fillId="29" borderId="22" xfId="0" applyNumberFormat="1" applyFont="1" applyFill="1" applyBorder="1"/>
    <xf numFmtId="165" fontId="3" fillId="27" borderId="22" xfId="0" applyNumberFormat="1" applyFont="1" applyFill="1" applyBorder="1"/>
    <xf numFmtId="165" fontId="3" fillId="28" borderId="22" xfId="0" applyNumberFormat="1" applyFont="1" applyFill="1" applyBorder="1"/>
    <xf numFmtId="165" fontId="3" fillId="29" borderId="22" xfId="0" applyNumberFormat="1" applyFont="1" applyFill="1" applyBorder="1"/>
    <xf numFmtId="165" fontId="1" fillId="0" borderId="22" xfId="0" applyNumberFormat="1" applyFont="1" applyFill="1" applyBorder="1"/>
    <xf numFmtId="0" fontId="3" fillId="0" borderId="17" xfId="0" applyFont="1" applyFill="1" applyBorder="1"/>
    <xf numFmtId="165" fontId="3" fillId="0" borderId="17" xfId="0" applyNumberFormat="1" applyFont="1" applyFill="1" applyBorder="1"/>
    <xf numFmtId="165" fontId="15" fillId="0" borderId="17" xfId="0" applyNumberFormat="1" applyFont="1" applyFill="1" applyBorder="1"/>
    <xf numFmtId="0" fontId="0" fillId="26" borderId="22" xfId="0" applyFill="1" applyBorder="1"/>
    <xf numFmtId="0" fontId="15" fillId="0" borderId="17" xfId="0" applyFont="1" applyBorder="1" applyAlignment="1">
      <alignment horizontal="left"/>
    </xf>
    <xf numFmtId="165" fontId="15" fillId="0" borderId="17" xfId="0" applyNumberFormat="1" applyFont="1" applyBorder="1"/>
    <xf numFmtId="0" fontId="15" fillId="0" borderId="22" xfId="0" applyFont="1" applyBorder="1"/>
    <xf numFmtId="0" fontId="1" fillId="0" borderId="0" xfId="0" applyFont="1"/>
    <xf numFmtId="0" fontId="3" fillId="25" borderId="22" xfId="0" applyFont="1" applyFill="1" applyBorder="1"/>
    <xf numFmtId="165" fontId="3" fillId="25" borderId="22" xfId="0" applyNumberFormat="1" applyFont="1" applyFill="1" applyBorder="1"/>
    <xf numFmtId="0" fontId="1" fillId="25" borderId="0" xfId="0" applyFont="1" applyFill="1"/>
    <xf numFmtId="0" fontId="3" fillId="0" borderId="17" xfId="0" applyFont="1" applyBorder="1"/>
    <xf numFmtId="165" fontId="3" fillId="0" borderId="17" xfId="0" applyNumberFormat="1" applyFont="1" applyBorder="1"/>
    <xf numFmtId="44" fontId="119" fillId="0" borderId="0" xfId="0" applyNumberFormat="1" applyFont="1" applyFill="1" applyBorder="1"/>
    <xf numFmtId="0" fontId="44" fillId="0" borderId="22" xfId="0" applyFont="1" applyFill="1" applyBorder="1" applyAlignment="1">
      <alignment horizontal="center"/>
    </xf>
    <xf numFmtId="175" fontId="15" fillId="0" borderId="22" xfId="0" applyNumberFormat="1" applyFont="1" applyFill="1" applyBorder="1" applyAlignment="1">
      <alignment horizontal="center" vertical="justify"/>
    </xf>
    <xf numFmtId="182" fontId="49" fillId="0" borderId="0" xfId="0" applyNumberFormat="1" applyFont="1" applyBorder="1"/>
    <xf numFmtId="0" fontId="49" fillId="0" borderId="22" xfId="0" applyFont="1" applyFill="1" applyBorder="1" applyAlignment="1">
      <alignment horizontal="left" wrapText="1"/>
    </xf>
    <xf numFmtId="0" fontId="16" fillId="0" borderId="0" xfId="0" applyFont="1" applyFill="1" applyBorder="1"/>
    <xf numFmtId="44" fontId="16" fillId="0" borderId="0" xfId="0" applyNumberFormat="1" applyFont="1" applyFill="1" applyBorder="1" applyAlignment="1">
      <alignment wrapText="1"/>
    </xf>
    <xf numFmtId="165" fontId="16" fillId="0" borderId="22" xfId="0" applyNumberFormat="1" applyFont="1" applyFill="1" applyBorder="1"/>
    <xf numFmtId="183" fontId="3" fillId="0" borderId="0" xfId="0" applyNumberFormat="1" applyFont="1" applyFill="1"/>
    <xf numFmtId="0" fontId="6" fillId="0" borderId="0" xfId="0" applyFont="1" applyFill="1" applyBorder="1" applyAlignment="1">
      <alignment horizontal="center"/>
    </xf>
    <xf numFmtId="0" fontId="63" fillId="0" borderId="0" xfId="0" applyFont="1" applyFill="1"/>
    <xf numFmtId="0" fontId="63" fillId="0" borderId="22" xfId="0" applyFont="1" applyFill="1" applyBorder="1" applyAlignment="1">
      <alignment horizontal="center"/>
    </xf>
    <xf numFmtId="0" fontId="63" fillId="0" borderId="22" xfId="0" applyFont="1" applyFill="1" applyBorder="1" applyAlignment="1">
      <alignment horizontal="left"/>
    </xf>
    <xf numFmtId="44" fontId="63" fillId="0" borderId="22" xfId="32" applyFont="1" applyFill="1" applyBorder="1"/>
    <xf numFmtId="0" fontId="27" fillId="0" borderId="22" xfId="0" applyFont="1" applyFill="1" applyBorder="1" applyAlignment="1">
      <alignment horizontal="center"/>
    </xf>
    <xf numFmtId="0" fontId="63" fillId="0" borderId="26" xfId="0" applyFont="1" applyFill="1" applyBorder="1" applyAlignment="1">
      <alignment horizontal="center"/>
    </xf>
    <xf numFmtId="49" fontId="27" fillId="0" borderId="26" xfId="0" applyNumberFormat="1" applyFont="1" applyFill="1" applyBorder="1" applyAlignment="1">
      <alignment horizontal="center"/>
    </xf>
    <xf numFmtId="165" fontId="91" fillId="0" borderId="26" xfId="0" applyNumberFormat="1" applyFont="1" applyFill="1" applyBorder="1"/>
    <xf numFmtId="0" fontId="27" fillId="0" borderId="24" xfId="0" applyFont="1" applyFill="1" applyBorder="1" applyAlignment="1">
      <alignment horizontal="center"/>
    </xf>
    <xf numFmtId="49" fontId="27" fillId="0" borderId="24" xfId="0" applyNumberFormat="1" applyFont="1" applyFill="1" applyBorder="1" applyAlignment="1">
      <alignment horizontal="center"/>
    </xf>
    <xf numFmtId="44" fontId="0" fillId="0" borderId="0" xfId="0" applyNumberFormat="1" applyFill="1"/>
    <xf numFmtId="0" fontId="41" fillId="0" borderId="0" xfId="0" applyFont="1" applyAlignment="1">
      <alignment horizontal="center"/>
    </xf>
    <xf numFmtId="0" fontId="40" fillId="0" borderId="0" xfId="0" applyFont="1" applyAlignment="1">
      <alignment horizontal="center" wrapText="1"/>
    </xf>
    <xf numFmtId="0" fontId="38" fillId="0" borderId="0" xfId="0" applyFont="1" applyAlignment="1">
      <alignment horizontal="center" wrapText="1"/>
    </xf>
    <xf numFmtId="0" fontId="99" fillId="0" borderId="0" xfId="0" applyFont="1" applyAlignment="1">
      <alignment horizontal="justify" vertical="justify" wrapText="1"/>
    </xf>
    <xf numFmtId="0" fontId="99" fillId="0" borderId="23" xfId="0" applyFont="1" applyBorder="1" applyAlignment="1">
      <alignment horizontal="center"/>
    </xf>
    <xf numFmtId="0" fontId="99" fillId="0" borderId="20" xfId="0" applyFont="1" applyBorder="1" applyAlignment="1">
      <alignment horizontal="center"/>
    </xf>
    <xf numFmtId="0" fontId="99" fillId="0" borderId="21" xfId="0" applyFont="1" applyBorder="1" applyAlignment="1">
      <alignment horizontal="center"/>
    </xf>
    <xf numFmtId="0" fontId="99" fillId="0" borderId="16" xfId="0" applyFont="1" applyBorder="1" applyAlignment="1">
      <alignment horizontal="center"/>
    </xf>
    <xf numFmtId="0" fontId="99" fillId="0" borderId="17" xfId="0" applyFont="1" applyBorder="1" applyAlignment="1">
      <alignment horizontal="center"/>
    </xf>
    <xf numFmtId="0" fontId="99" fillId="0" borderId="18" xfId="0" applyFont="1" applyBorder="1" applyAlignment="1">
      <alignment horizontal="center"/>
    </xf>
    <xf numFmtId="0" fontId="99" fillId="0" borderId="2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1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2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36" xfId="0" applyBorder="1" applyAlignment="1">
      <alignment horizontal="left"/>
    </xf>
    <xf numFmtId="49" fontId="6" fillId="0" borderId="0" xfId="0" applyNumberFormat="1" applyFont="1" applyAlignment="1">
      <alignment horizontal="center"/>
    </xf>
    <xf numFmtId="0" fontId="6" fillId="0" borderId="25" xfId="0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0" fontId="24" fillId="0" borderId="26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49" fontId="101" fillId="0" borderId="22" xfId="0" applyNumberFormat="1" applyFont="1" applyBorder="1" applyAlignment="1">
      <alignment horizontal="center"/>
    </xf>
    <xf numFmtId="0" fontId="24" fillId="0" borderId="22" xfId="0" applyFont="1" applyBorder="1" applyAlignment="1">
      <alignment horizontal="center" vertical="center" wrapText="1"/>
    </xf>
    <xf numFmtId="49" fontId="24" fillId="0" borderId="23" xfId="0" applyNumberFormat="1" applyFont="1" applyBorder="1" applyAlignment="1">
      <alignment horizontal="center"/>
    </xf>
    <xf numFmtId="49" fontId="24" fillId="0" borderId="20" xfId="0" applyNumberFormat="1" applyFont="1" applyBorder="1" applyAlignment="1">
      <alignment horizontal="center"/>
    </xf>
    <xf numFmtId="49" fontId="24" fillId="0" borderId="21" xfId="0" applyNumberFormat="1" applyFont="1" applyBorder="1" applyAlignment="1">
      <alignment horizontal="center"/>
    </xf>
    <xf numFmtId="49" fontId="26" fillId="0" borderId="22" xfId="0" applyNumberFormat="1" applyFont="1" applyBorder="1" applyAlignment="1">
      <alignment horizontal="center" vertical="center" wrapText="1"/>
    </xf>
    <xf numFmtId="49" fontId="25" fillId="0" borderId="14" xfId="0" applyNumberFormat="1" applyFont="1" applyBorder="1" applyAlignment="1">
      <alignment horizontal="center"/>
    </xf>
    <xf numFmtId="49" fontId="25" fillId="0" borderId="0" xfId="0" applyNumberFormat="1" applyFont="1" applyBorder="1" applyAlignment="1">
      <alignment horizontal="center"/>
    </xf>
    <xf numFmtId="49" fontId="25" fillId="0" borderId="15" xfId="0" applyNumberFormat="1" applyFont="1" applyBorder="1" applyAlignment="1">
      <alignment horizontal="center"/>
    </xf>
    <xf numFmtId="0" fontId="24" fillId="0" borderId="27" xfId="0" applyFont="1" applyBorder="1" applyAlignment="1">
      <alignment horizontal="center" vertical="center" wrapText="1"/>
    </xf>
    <xf numFmtId="49" fontId="28" fillId="0" borderId="0" xfId="0" applyNumberFormat="1" applyFont="1" applyBorder="1" applyAlignment="1">
      <alignment horizontal="center" vertical="center" wrapText="1"/>
    </xf>
    <xf numFmtId="49" fontId="26" fillId="0" borderId="22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49" fontId="24" fillId="0" borderId="66" xfId="0" applyNumberFormat="1" applyFont="1" applyBorder="1" applyAlignment="1">
      <alignment horizontal="center"/>
    </xf>
    <xf numFmtId="49" fontId="24" fillId="0" borderId="67" xfId="0" applyNumberFormat="1" applyFont="1" applyBorder="1" applyAlignment="1">
      <alignment horizontal="center"/>
    </xf>
    <xf numFmtId="49" fontId="24" fillId="0" borderId="68" xfId="0" applyNumberFormat="1" applyFont="1" applyBorder="1" applyAlignment="1">
      <alignment horizontal="center"/>
    </xf>
    <xf numFmtId="49" fontId="26" fillId="0" borderId="26" xfId="0" applyNumberFormat="1" applyFont="1" applyBorder="1" applyAlignment="1">
      <alignment horizontal="center" vertical="center" wrapText="1"/>
    </xf>
    <xf numFmtId="49" fontId="26" fillId="0" borderId="27" xfId="0" applyNumberFormat="1" applyFont="1" applyBorder="1" applyAlignment="1">
      <alignment horizontal="center" vertical="center" wrapText="1"/>
    </xf>
    <xf numFmtId="49" fontId="26" fillId="0" borderId="24" xfId="0" applyNumberFormat="1" applyFont="1" applyBorder="1" applyAlignment="1">
      <alignment horizontal="center" vertical="center" wrapText="1"/>
    </xf>
    <xf numFmtId="16" fontId="24" fillId="0" borderId="26" xfId="0" applyNumberFormat="1" applyFont="1" applyBorder="1" applyAlignment="1">
      <alignment horizontal="center" vertical="center" wrapText="1"/>
    </xf>
    <xf numFmtId="16" fontId="24" fillId="0" borderId="27" xfId="0" applyNumberFormat="1" applyFont="1" applyBorder="1" applyAlignment="1">
      <alignment horizontal="center" vertical="center" wrapText="1"/>
    </xf>
    <xf numFmtId="16" fontId="24" fillId="0" borderId="24" xfId="0" applyNumberFormat="1" applyFont="1" applyBorder="1" applyAlignment="1">
      <alignment horizontal="center" vertical="center" wrapText="1"/>
    </xf>
    <xf numFmtId="49" fontId="27" fillId="0" borderId="11" xfId="0" applyNumberFormat="1" applyFont="1" applyBorder="1" applyAlignment="1">
      <alignment horizontal="left" vertical="center" wrapText="1" readingOrder="1"/>
    </xf>
    <xf numFmtId="49" fontId="27" fillId="0" borderId="12" xfId="0" applyNumberFormat="1" applyFont="1" applyBorder="1" applyAlignment="1">
      <alignment horizontal="left" vertical="center" wrapText="1" readingOrder="1"/>
    </xf>
    <xf numFmtId="49" fontId="27" fillId="0" borderId="13" xfId="0" applyNumberFormat="1" applyFont="1" applyBorder="1" applyAlignment="1">
      <alignment horizontal="left" vertical="center" wrapText="1" readingOrder="1"/>
    </xf>
    <xf numFmtId="49" fontId="27" fillId="0" borderId="16" xfId="0" applyNumberFormat="1" applyFont="1" applyBorder="1" applyAlignment="1">
      <alignment horizontal="left" vertical="center" wrapText="1" readingOrder="1"/>
    </xf>
    <xf numFmtId="49" fontId="27" fillId="0" borderId="17" xfId="0" applyNumberFormat="1" applyFont="1" applyBorder="1" applyAlignment="1">
      <alignment horizontal="left" vertical="center" wrapText="1" readingOrder="1"/>
    </xf>
    <xf numFmtId="49" fontId="27" fillId="0" borderId="18" xfId="0" applyNumberFormat="1" applyFont="1" applyBorder="1" applyAlignment="1">
      <alignment horizontal="left" vertical="center" wrapText="1" readingOrder="1"/>
    </xf>
    <xf numFmtId="49" fontId="26" fillId="0" borderId="11" xfId="0" applyNumberFormat="1" applyFont="1" applyBorder="1" applyAlignment="1">
      <alignment horizontal="left"/>
    </xf>
    <xf numFmtId="49" fontId="26" fillId="0" borderId="12" xfId="0" applyNumberFormat="1" applyFont="1" applyBorder="1" applyAlignment="1">
      <alignment horizontal="left"/>
    </xf>
    <xf numFmtId="49" fontId="26" fillId="0" borderId="13" xfId="0" applyNumberFormat="1" applyFont="1" applyBorder="1" applyAlignment="1">
      <alignment horizontal="left"/>
    </xf>
    <xf numFmtId="49" fontId="26" fillId="0" borderId="16" xfId="0" applyNumberFormat="1" applyFont="1" applyBorder="1" applyAlignment="1">
      <alignment horizontal="left"/>
    </xf>
    <xf numFmtId="49" fontId="26" fillId="0" borderId="17" xfId="0" applyNumberFormat="1" applyFont="1" applyBorder="1" applyAlignment="1">
      <alignment horizontal="left"/>
    </xf>
    <xf numFmtId="49" fontId="26" fillId="0" borderId="18" xfId="0" applyNumberFormat="1" applyFont="1" applyBorder="1" applyAlignment="1">
      <alignment horizontal="left"/>
    </xf>
    <xf numFmtId="49" fontId="26" fillId="0" borderId="11" xfId="0" applyNumberFormat="1" applyFont="1" applyBorder="1" applyAlignment="1">
      <alignment horizontal="left" vertical="center"/>
    </xf>
    <xf numFmtId="49" fontId="26" fillId="0" borderId="12" xfId="0" applyNumberFormat="1" applyFont="1" applyBorder="1" applyAlignment="1">
      <alignment horizontal="left" vertical="center"/>
    </xf>
    <xf numFmtId="49" fontId="26" fillId="0" borderId="14" xfId="0" applyNumberFormat="1" applyFont="1" applyBorder="1" applyAlignment="1">
      <alignment horizontal="left" vertical="center"/>
    </xf>
    <xf numFmtId="49" fontId="26" fillId="0" borderId="0" xfId="0" applyNumberFormat="1" applyFont="1" applyBorder="1" applyAlignment="1">
      <alignment horizontal="left" vertical="center"/>
    </xf>
    <xf numFmtId="49" fontId="26" fillId="0" borderId="16" xfId="0" applyNumberFormat="1" applyFont="1" applyBorder="1" applyAlignment="1">
      <alignment horizontal="left" vertical="center"/>
    </xf>
    <xf numFmtId="49" fontId="26" fillId="0" borderId="17" xfId="0" applyNumberFormat="1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49" fontId="26" fillId="0" borderId="26" xfId="0" applyNumberFormat="1" applyFont="1" applyBorder="1" applyAlignment="1">
      <alignment horizontal="center" vertical="center"/>
    </xf>
    <xf numFmtId="49" fontId="26" fillId="0" borderId="27" xfId="0" applyNumberFormat="1" applyFont="1" applyBorder="1" applyAlignment="1">
      <alignment horizontal="center" vertical="center"/>
    </xf>
    <xf numFmtId="49" fontId="26" fillId="0" borderId="24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49" fontId="26" fillId="0" borderId="22" xfId="0" applyNumberFormat="1" applyFont="1" applyBorder="1" applyAlignment="1">
      <alignment horizontal="left" vertical="center"/>
    </xf>
    <xf numFmtId="49" fontId="27" fillId="0" borderId="22" xfId="0" applyNumberFormat="1" applyFont="1" applyBorder="1" applyAlignment="1">
      <alignment horizontal="left" vertical="center" wrapText="1" readingOrder="1"/>
    </xf>
    <xf numFmtId="0" fontId="3" fillId="0" borderId="22" xfId="0" applyFont="1" applyBorder="1" applyAlignment="1">
      <alignment horizontal="center" vertical="center" wrapText="1" shrinkToFit="1"/>
    </xf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center" wrapText="1"/>
    </xf>
    <xf numFmtId="0" fontId="28" fillId="0" borderId="23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61" fillId="0" borderId="35" xfId="0" applyFont="1" applyFill="1" applyBorder="1" applyAlignment="1">
      <alignment horizontal="left" wrapText="1"/>
    </xf>
    <xf numFmtId="0" fontId="61" fillId="0" borderId="0" xfId="0" applyFont="1" applyFill="1" applyBorder="1" applyAlignment="1">
      <alignment horizontal="left" wrapText="1"/>
    </xf>
    <xf numFmtId="165" fontId="15" fillId="0" borderId="65" xfId="0" applyNumberFormat="1" applyFont="1" applyFill="1" applyBorder="1" applyAlignment="1">
      <alignment horizontal="center" wrapText="1"/>
    </xf>
    <xf numFmtId="165" fontId="15" fillId="0" borderId="26" xfId="0" applyNumberFormat="1" applyFont="1" applyFill="1" applyBorder="1" applyAlignment="1">
      <alignment horizontal="center" wrapText="1"/>
    </xf>
    <xf numFmtId="165" fontId="15" fillId="0" borderId="52" xfId="0" applyNumberFormat="1" applyFont="1" applyFill="1" applyBorder="1" applyAlignment="1">
      <alignment horizontal="center" wrapText="1"/>
    </xf>
    <xf numFmtId="0" fontId="44" fillId="0" borderId="29" xfId="0" applyFont="1" applyFill="1" applyBorder="1" applyAlignment="1">
      <alignment horizontal="center"/>
    </xf>
    <xf numFmtId="0" fontId="44" fillId="0" borderId="32" xfId="0" applyFont="1" applyFill="1" applyBorder="1" applyAlignment="1">
      <alignment horizontal="center"/>
    </xf>
    <xf numFmtId="0" fontId="44" fillId="0" borderId="34" xfId="0" applyFont="1" applyFill="1" applyBorder="1" applyAlignment="1">
      <alignment horizontal="center"/>
    </xf>
    <xf numFmtId="0" fontId="61" fillId="0" borderId="63" xfId="0" applyFont="1" applyFill="1" applyBorder="1" applyAlignment="1">
      <alignment horizontal="center" vertical="top" wrapText="1"/>
    </xf>
    <xf numFmtId="0" fontId="61" fillId="0" borderId="46" xfId="0" applyFont="1" applyFill="1" applyBorder="1" applyAlignment="1">
      <alignment horizontal="center" vertical="top" wrapText="1"/>
    </xf>
    <xf numFmtId="0" fontId="15" fillId="0" borderId="65" xfId="0" applyFont="1" applyFill="1" applyBorder="1" applyAlignment="1">
      <alignment horizontal="center"/>
    </xf>
    <xf numFmtId="0" fontId="15" fillId="0" borderId="65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wrapText="1"/>
    </xf>
    <xf numFmtId="0" fontId="15" fillId="0" borderId="26" xfId="0" applyFont="1" applyFill="1" applyBorder="1" applyAlignment="1">
      <alignment horizontal="center"/>
    </xf>
    <xf numFmtId="168" fontId="15" fillId="0" borderId="57" xfId="0" applyNumberFormat="1" applyFont="1" applyFill="1" applyBorder="1" applyAlignment="1">
      <alignment horizontal="center" wrapText="1"/>
    </xf>
    <xf numFmtId="168" fontId="15" fillId="0" borderId="41" xfId="0" applyNumberFormat="1" applyFont="1" applyFill="1" applyBorder="1" applyAlignment="1">
      <alignment horizontal="center" wrapText="1"/>
    </xf>
    <xf numFmtId="0" fontId="28" fillId="0" borderId="19" xfId="0" applyFont="1" applyFill="1" applyBorder="1" applyAlignment="1">
      <alignment horizontal="center" wrapText="1"/>
    </xf>
    <xf numFmtId="0" fontId="61" fillId="0" borderId="44" xfId="0" applyFont="1" applyFill="1" applyBorder="1" applyAlignment="1">
      <alignment horizontal="center" vertical="top" wrapText="1"/>
    </xf>
    <xf numFmtId="0" fontId="61" fillId="0" borderId="65" xfId="0" applyFont="1" applyFill="1" applyBorder="1" applyAlignment="1">
      <alignment horizontal="center"/>
    </xf>
    <xf numFmtId="0" fontId="61" fillId="0" borderId="65" xfId="0" applyFont="1" applyFill="1" applyBorder="1" applyAlignment="1">
      <alignment horizontal="center" wrapText="1"/>
    </xf>
    <xf numFmtId="0" fontId="27" fillId="0" borderId="22" xfId="0" applyFont="1" applyFill="1" applyBorder="1" applyAlignment="1">
      <alignment wrapText="1"/>
    </xf>
    <xf numFmtId="165" fontId="61" fillId="0" borderId="65" xfId="0" applyNumberFormat="1" applyFont="1" applyFill="1" applyBorder="1" applyAlignment="1">
      <alignment horizontal="center" wrapText="1"/>
    </xf>
    <xf numFmtId="165" fontId="61" fillId="0" borderId="22" xfId="0" applyNumberFormat="1" applyFont="1" applyFill="1" applyBorder="1" applyAlignment="1">
      <alignment horizontal="center" wrapText="1"/>
    </xf>
    <xf numFmtId="0" fontId="61" fillId="0" borderId="22" xfId="0" applyFont="1" applyFill="1" applyBorder="1" applyAlignment="1">
      <alignment horizontal="center"/>
    </xf>
    <xf numFmtId="168" fontId="61" fillId="0" borderId="57" xfId="0" applyNumberFormat="1" applyFont="1" applyFill="1" applyBorder="1" applyAlignment="1">
      <alignment horizontal="center" wrapText="1"/>
    </xf>
    <xf numFmtId="168" fontId="61" fillId="0" borderId="43" xfId="0" applyNumberFormat="1" applyFont="1" applyFill="1" applyBorder="1" applyAlignment="1">
      <alignment horizontal="center" wrapText="1"/>
    </xf>
    <xf numFmtId="0" fontId="61" fillId="0" borderId="23" xfId="0" applyFont="1" applyFill="1" applyBorder="1" applyAlignment="1">
      <alignment horizontal="center" vertical="top" wrapText="1"/>
    </xf>
    <xf numFmtId="0" fontId="61" fillId="0" borderId="21" xfId="0" applyFont="1" applyFill="1" applyBorder="1" applyAlignment="1">
      <alignment horizontal="center" vertical="top" wrapText="1"/>
    </xf>
    <xf numFmtId="0" fontId="61" fillId="0" borderId="74" xfId="0" applyFont="1" applyFill="1" applyBorder="1" applyAlignment="1">
      <alignment horizontal="center" wrapText="1"/>
    </xf>
    <xf numFmtId="0" fontId="61" fillId="0" borderId="73" xfId="0" applyFont="1" applyFill="1" applyBorder="1" applyAlignment="1">
      <alignment horizontal="center" wrapText="1"/>
    </xf>
    <xf numFmtId="0" fontId="61" fillId="0" borderId="19" xfId="0" applyFont="1" applyFill="1" applyBorder="1" applyAlignment="1">
      <alignment horizontal="center"/>
    </xf>
    <xf numFmtId="0" fontId="61" fillId="0" borderId="56" xfId="0" applyFont="1" applyFill="1" applyBorder="1" applyAlignment="1">
      <alignment horizontal="center" vertical="top" wrapText="1"/>
    </xf>
    <xf numFmtId="0" fontId="61" fillId="0" borderId="42" xfId="0" applyFont="1" applyFill="1" applyBorder="1" applyAlignment="1">
      <alignment horizontal="center" vertical="top" wrapText="1"/>
    </xf>
    <xf numFmtId="0" fontId="61" fillId="0" borderId="74" xfId="0" applyFont="1" applyFill="1" applyBorder="1" applyAlignment="1">
      <alignment horizontal="center"/>
    </xf>
    <xf numFmtId="0" fontId="61" fillId="0" borderId="73" xfId="0" applyFont="1" applyFill="1" applyBorder="1" applyAlignment="1">
      <alignment horizontal="center"/>
    </xf>
    <xf numFmtId="0" fontId="61" fillId="0" borderId="30" xfId="0" applyFont="1" applyFill="1" applyBorder="1" applyAlignment="1">
      <alignment horizontal="center" wrapText="1"/>
    </xf>
    <xf numFmtId="0" fontId="61" fillId="0" borderId="24" xfId="0" applyFont="1" applyFill="1" applyBorder="1" applyAlignment="1">
      <alignment horizontal="center" wrapText="1"/>
    </xf>
    <xf numFmtId="165" fontId="61" fillId="0" borderId="30" xfId="0" applyNumberFormat="1" applyFont="1" applyFill="1" applyBorder="1" applyAlignment="1">
      <alignment horizontal="center" wrapText="1"/>
    </xf>
    <xf numFmtId="165" fontId="61" fillId="0" borderId="24" xfId="0" applyNumberFormat="1" applyFont="1" applyFill="1" applyBorder="1" applyAlignment="1">
      <alignment horizontal="center" wrapText="1"/>
    </xf>
    <xf numFmtId="0" fontId="61" fillId="0" borderId="30" xfId="0" applyFont="1" applyFill="1" applyBorder="1" applyAlignment="1">
      <alignment horizontal="center"/>
    </xf>
    <xf numFmtId="0" fontId="61" fillId="0" borderId="24" xfId="0" applyFont="1" applyFill="1" applyBorder="1" applyAlignment="1">
      <alignment horizontal="center"/>
    </xf>
    <xf numFmtId="0" fontId="44" fillId="0" borderId="70" xfId="0" applyFont="1" applyFill="1" applyBorder="1" applyAlignment="1">
      <alignment horizontal="center"/>
    </xf>
    <xf numFmtId="0" fontId="44" fillId="0" borderId="71" xfId="0" applyFont="1" applyFill="1" applyBorder="1" applyAlignment="1">
      <alignment horizontal="center"/>
    </xf>
    <xf numFmtId="0" fontId="44" fillId="0" borderId="72" xfId="0" applyFont="1" applyFill="1" applyBorder="1" applyAlignment="1">
      <alignment horizontal="center"/>
    </xf>
    <xf numFmtId="0" fontId="61" fillId="0" borderId="64" xfId="0" applyFont="1" applyFill="1" applyBorder="1" applyAlignment="1">
      <alignment horizontal="center" vertical="top" wrapText="1"/>
    </xf>
    <xf numFmtId="0" fontId="3" fillId="0" borderId="52" xfId="0" applyFont="1" applyFill="1" applyBorder="1" applyAlignment="1">
      <alignment wrapText="1"/>
    </xf>
    <xf numFmtId="0" fontId="15" fillId="0" borderId="30" xfId="0" applyFont="1" applyFill="1" applyBorder="1" applyAlignment="1">
      <alignment horizontal="center" wrapText="1"/>
    </xf>
    <xf numFmtId="0" fontId="15" fillId="0" borderId="38" xfId="0" applyFont="1" applyFill="1" applyBorder="1" applyAlignment="1">
      <alignment horizontal="center" wrapText="1"/>
    </xf>
    <xf numFmtId="0" fontId="3" fillId="0" borderId="59" xfId="0" applyFont="1" applyFill="1" applyBorder="1"/>
    <xf numFmtId="0" fontId="62" fillId="0" borderId="2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15" fillId="0" borderId="22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67" fillId="0" borderId="22" xfId="0" applyFont="1" applyFill="1" applyBorder="1" applyAlignment="1">
      <alignment horizontal="center" wrapText="1"/>
    </xf>
    <xf numFmtId="0" fontId="15" fillId="0" borderId="22" xfId="0" applyFont="1" applyFill="1" applyBorder="1" applyAlignment="1">
      <alignment horizontal="center" vertical="justify" wrapText="1"/>
    </xf>
    <xf numFmtId="0" fontId="64" fillId="0" borderId="23" xfId="0" applyFont="1" applyFill="1" applyBorder="1" applyAlignment="1">
      <alignment horizontal="center"/>
    </xf>
    <xf numFmtId="0" fontId="64" fillId="0" borderId="22" xfId="0" applyFont="1" applyFill="1" applyBorder="1" applyAlignment="1">
      <alignment horizontal="center" vertical="justify" wrapText="1"/>
    </xf>
    <xf numFmtId="0" fontId="69" fillId="0" borderId="22" xfId="0" applyFont="1" applyFill="1" applyBorder="1" applyAlignment="1">
      <alignment horizontal="center"/>
    </xf>
    <xf numFmtId="0" fontId="94" fillId="0" borderId="22" xfId="0" applyFont="1" applyFill="1" applyBorder="1" applyAlignment="1">
      <alignment horizontal="center"/>
    </xf>
    <xf numFmtId="0" fontId="15" fillId="0" borderId="69" xfId="0" applyFont="1" applyFill="1" applyBorder="1" applyAlignment="1">
      <alignment horizontal="center"/>
    </xf>
    <xf numFmtId="0" fontId="15" fillId="0" borderId="47" xfId="0" applyFont="1" applyFill="1" applyBorder="1" applyAlignment="1">
      <alignment horizontal="center"/>
    </xf>
    <xf numFmtId="0" fontId="15" fillId="0" borderId="60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 vertical="justify" wrapText="1"/>
    </xf>
    <xf numFmtId="0" fontId="15" fillId="0" borderId="17" xfId="0" applyFont="1" applyFill="1" applyBorder="1" applyAlignment="1">
      <alignment horizontal="center" vertical="justify" wrapText="1"/>
    </xf>
    <xf numFmtId="0" fontId="67" fillId="0" borderId="70" xfId="0" applyFont="1" applyFill="1" applyBorder="1" applyAlignment="1">
      <alignment horizontal="center"/>
    </xf>
    <xf numFmtId="0" fontId="67" fillId="0" borderId="71" xfId="0" applyFont="1" applyFill="1" applyBorder="1" applyAlignment="1">
      <alignment horizontal="center"/>
    </xf>
    <xf numFmtId="0" fontId="67" fillId="0" borderId="72" xfId="0" applyFont="1" applyFill="1" applyBorder="1" applyAlignment="1">
      <alignment horizontal="center"/>
    </xf>
    <xf numFmtId="0" fontId="67" fillId="0" borderId="27" xfId="0" applyFont="1" applyFill="1" applyBorder="1" applyAlignment="1">
      <alignment horizontal="center" wrapText="1"/>
    </xf>
    <xf numFmtId="0" fontId="64" fillId="0" borderId="23" xfId="0" applyFont="1" applyFill="1" applyBorder="1" applyAlignment="1">
      <alignment horizontal="center" vertical="justify" wrapText="1"/>
    </xf>
    <xf numFmtId="0" fontId="64" fillId="0" borderId="20" xfId="0" applyFont="1" applyFill="1" applyBorder="1" applyAlignment="1">
      <alignment horizontal="center" vertical="justify" wrapText="1"/>
    </xf>
    <xf numFmtId="0" fontId="15" fillId="0" borderId="76" xfId="0" applyFont="1" applyFill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15" fillId="0" borderId="27" xfId="0" applyFont="1" applyFill="1" applyBorder="1" applyAlignment="1">
      <alignment horizontal="center"/>
    </xf>
    <xf numFmtId="0" fontId="15" fillId="0" borderId="38" xfId="0" applyFont="1" applyFill="1" applyBorder="1" applyAlignment="1">
      <alignment horizontal="center"/>
    </xf>
    <xf numFmtId="0" fontId="59" fillId="0" borderId="22" xfId="0" applyFont="1" applyFill="1" applyBorder="1" applyAlignment="1">
      <alignment horizontal="left"/>
    </xf>
    <xf numFmtId="0" fontId="15" fillId="0" borderId="31" xfId="0" applyFont="1" applyFill="1" applyBorder="1" applyAlignment="1">
      <alignment horizontal="left"/>
    </xf>
    <xf numFmtId="0" fontId="15" fillId="0" borderId="14" xfId="0" applyFont="1" applyFill="1" applyBorder="1" applyAlignment="1">
      <alignment horizontal="left"/>
    </xf>
    <xf numFmtId="0" fontId="15" fillId="0" borderId="28" xfId="0" applyFont="1" applyFill="1" applyBorder="1" applyAlignment="1">
      <alignment horizontal="left"/>
    </xf>
    <xf numFmtId="0" fontId="15" fillId="0" borderId="70" xfId="0" applyFont="1" applyFill="1" applyBorder="1" applyAlignment="1">
      <alignment horizontal="center"/>
    </xf>
    <xf numFmtId="0" fontId="15" fillId="0" borderId="71" xfId="0" applyFont="1" applyFill="1" applyBorder="1" applyAlignment="1">
      <alignment horizontal="center"/>
    </xf>
    <xf numFmtId="0" fontId="15" fillId="0" borderId="72" xfId="0" applyFont="1" applyFill="1" applyBorder="1" applyAlignment="1">
      <alignment horizontal="center"/>
    </xf>
    <xf numFmtId="0" fontId="64" fillId="0" borderId="27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left"/>
    </xf>
    <xf numFmtId="0" fontId="64" fillId="0" borderId="30" xfId="0" applyFont="1" applyFill="1" applyBorder="1" applyAlignment="1">
      <alignment horizontal="center" wrapText="1"/>
    </xf>
    <xf numFmtId="0" fontId="64" fillId="0" borderId="27" xfId="0" applyFont="1" applyFill="1" applyBorder="1" applyAlignment="1">
      <alignment horizontal="center" wrapText="1"/>
    </xf>
    <xf numFmtId="0" fontId="0" fillId="0" borderId="27" xfId="0" applyFill="1" applyBorder="1" applyAlignment="1">
      <alignment horizontal="center" wrapText="1"/>
    </xf>
    <xf numFmtId="0" fontId="15" fillId="0" borderId="73" xfId="0" applyFont="1" applyFill="1" applyBorder="1" applyAlignment="1">
      <alignment horizontal="center"/>
    </xf>
    <xf numFmtId="0" fontId="15" fillId="0" borderId="74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2" xfId="0" applyFont="1" applyFill="1" applyBorder="1" applyAlignment="1">
      <alignment horizontal="left"/>
    </xf>
    <xf numFmtId="0" fontId="0" fillId="0" borderId="27" xfId="0" applyBorder="1" applyAlignment="1">
      <alignment horizontal="center" wrapText="1"/>
    </xf>
    <xf numFmtId="0" fontId="64" fillId="0" borderId="23" xfId="0" applyFont="1" applyFill="1" applyBorder="1" applyAlignment="1">
      <alignment horizontal="left"/>
    </xf>
    <xf numFmtId="0" fontId="64" fillId="0" borderId="20" xfId="0" applyFont="1" applyFill="1" applyBorder="1" applyAlignment="1">
      <alignment horizontal="left"/>
    </xf>
    <xf numFmtId="0" fontId="64" fillId="0" borderId="21" xfId="0" applyFont="1" applyFill="1" applyBorder="1" applyAlignment="1">
      <alignment horizontal="left"/>
    </xf>
    <xf numFmtId="0" fontId="0" fillId="0" borderId="38" xfId="0" applyFill="1" applyBorder="1" applyAlignment="1">
      <alignment horizontal="center" wrapText="1"/>
    </xf>
    <xf numFmtId="0" fontId="67" fillId="0" borderId="38" xfId="0" applyFont="1" applyFill="1" applyBorder="1" applyAlignment="1">
      <alignment horizontal="center" wrapText="1"/>
    </xf>
    <xf numFmtId="0" fontId="64" fillId="0" borderId="22" xfId="0" applyFont="1" applyFill="1" applyBorder="1" applyAlignment="1">
      <alignment horizontal="left"/>
    </xf>
    <xf numFmtId="0" fontId="64" fillId="0" borderId="38" xfId="0" applyFont="1" applyFill="1" applyBorder="1" applyAlignment="1">
      <alignment horizontal="center"/>
    </xf>
    <xf numFmtId="44" fontId="15" fillId="0" borderId="22" xfId="0" applyNumberFormat="1" applyFont="1" applyFill="1" applyBorder="1" applyAlignment="1">
      <alignment horizontal="center"/>
    </xf>
    <xf numFmtId="0" fontId="67" fillId="0" borderId="23" xfId="0" applyFont="1" applyFill="1" applyBorder="1" applyAlignment="1">
      <alignment horizontal="center"/>
    </xf>
    <xf numFmtId="0" fontId="67" fillId="0" borderId="20" xfId="0" applyFont="1" applyFill="1" applyBorder="1" applyAlignment="1">
      <alignment horizontal="center"/>
    </xf>
    <xf numFmtId="165" fontId="6" fillId="0" borderId="23" xfId="0" applyNumberFormat="1" applyFont="1" applyFill="1" applyBorder="1" applyAlignment="1">
      <alignment horizontal="center"/>
    </xf>
    <xf numFmtId="165" fontId="6" fillId="0" borderId="21" xfId="0" applyNumberFormat="1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167" fontId="6" fillId="0" borderId="23" xfId="0" applyNumberFormat="1" applyFont="1" applyFill="1" applyBorder="1" applyAlignment="1">
      <alignment horizontal="right"/>
    </xf>
    <xf numFmtId="167" fontId="6" fillId="0" borderId="21" xfId="0" applyNumberFormat="1" applyFont="1" applyFill="1" applyBorder="1" applyAlignment="1">
      <alignment horizontal="right"/>
    </xf>
    <xf numFmtId="0" fontId="67" fillId="0" borderId="31" xfId="0" applyFont="1" applyFill="1" applyBorder="1" applyAlignment="1">
      <alignment horizontal="left"/>
    </xf>
    <xf numFmtId="0" fontId="67" fillId="0" borderId="14" xfId="0" applyFont="1" applyFill="1" applyBorder="1" applyAlignment="1">
      <alignment horizontal="left"/>
    </xf>
    <xf numFmtId="0" fontId="64" fillId="0" borderId="24" xfId="0" applyFont="1" applyFill="1" applyBorder="1" applyAlignment="1">
      <alignment horizontal="center" vertical="justify" wrapText="1"/>
    </xf>
    <xf numFmtId="0" fontId="64" fillId="0" borderId="26" xfId="0" applyFont="1" applyFill="1" applyBorder="1" applyAlignment="1">
      <alignment horizontal="center" vertical="justify" wrapText="1"/>
    </xf>
    <xf numFmtId="0" fontId="62" fillId="0" borderId="24" xfId="0" applyFont="1" applyFill="1" applyBorder="1" applyAlignment="1">
      <alignment horizontal="left"/>
    </xf>
    <xf numFmtId="0" fontId="24" fillId="0" borderId="22" xfId="0" applyFont="1" applyFill="1" applyBorder="1" applyAlignment="1">
      <alignment horizontal="left"/>
    </xf>
    <xf numFmtId="0" fontId="58" fillId="0" borderId="22" xfId="0" applyFont="1" applyFill="1" applyBorder="1" applyAlignment="1">
      <alignment horizontal="left"/>
    </xf>
    <xf numFmtId="0" fontId="64" fillId="0" borderId="22" xfId="0" applyFont="1" applyFill="1" applyBorder="1" applyAlignment="1">
      <alignment horizontal="center"/>
    </xf>
    <xf numFmtId="0" fontId="15" fillId="0" borderId="74" xfId="0" applyFont="1" applyFill="1" applyBorder="1" applyAlignment="1">
      <alignment horizontal="center" vertical="justify"/>
    </xf>
    <xf numFmtId="0" fontId="15" fillId="0" borderId="78" xfId="0" applyFont="1" applyFill="1" applyBorder="1" applyAlignment="1">
      <alignment horizontal="center" vertical="justify"/>
    </xf>
    <xf numFmtId="0" fontId="15" fillId="0" borderId="73" xfId="0" applyFont="1" applyFill="1" applyBorder="1" applyAlignment="1">
      <alignment horizontal="center" vertical="justify"/>
    </xf>
    <xf numFmtId="0" fontId="67" fillId="0" borderId="22" xfId="0" applyFont="1" applyFill="1" applyBorder="1" applyAlignment="1">
      <alignment horizontal="left"/>
    </xf>
    <xf numFmtId="0" fontId="64" fillId="0" borderId="22" xfId="0" applyFont="1" applyFill="1" applyBorder="1" applyAlignment="1">
      <alignment horizontal="center" wrapText="1"/>
    </xf>
    <xf numFmtId="0" fontId="0" fillId="0" borderId="22" xfId="0" applyFill="1" applyBorder="1" applyAlignment="1">
      <alignment horizontal="center" wrapText="1"/>
    </xf>
    <xf numFmtId="0" fontId="67" fillId="0" borderId="22" xfId="0" applyFont="1" applyFill="1" applyBorder="1" applyAlignment="1">
      <alignment horizontal="center"/>
    </xf>
    <xf numFmtId="0" fontId="15" fillId="0" borderId="22" xfId="0" applyFont="1" applyFill="1" applyBorder="1" applyAlignment="1">
      <alignment horizontal="center" vertical="justify"/>
    </xf>
    <xf numFmtId="165" fontId="0" fillId="0" borderId="0" xfId="0" applyNumberFormat="1" applyFill="1" applyAlignment="1">
      <alignment horizontal="center"/>
    </xf>
    <xf numFmtId="0" fontId="0" fillId="0" borderId="22" xfId="0" applyFill="1" applyBorder="1"/>
    <xf numFmtId="44" fontId="4" fillId="0" borderId="23" xfId="32" applyFont="1" applyFill="1" applyBorder="1" applyAlignment="1">
      <alignment horizontal="center"/>
    </xf>
    <xf numFmtId="44" fontId="4" fillId="0" borderId="21" xfId="32" applyFont="1" applyFill="1" applyBorder="1" applyAlignment="1">
      <alignment horizontal="center"/>
    </xf>
    <xf numFmtId="0" fontId="66" fillId="0" borderId="0" xfId="0" applyFont="1" applyFill="1" applyAlignment="1">
      <alignment horizontal="center"/>
    </xf>
    <xf numFmtId="0" fontId="66" fillId="0" borderId="17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44" fontId="6" fillId="0" borderId="32" xfId="0" applyNumberFormat="1" applyFont="1" applyFill="1" applyBorder="1" applyAlignment="1">
      <alignment horizontal="center"/>
    </xf>
    <xf numFmtId="44" fontId="6" fillId="0" borderId="34" xfId="0" applyNumberFormat="1" applyFont="1" applyFill="1" applyBorder="1" applyAlignment="1">
      <alignment horizontal="center"/>
    </xf>
    <xf numFmtId="44" fontId="6" fillId="0" borderId="0" xfId="0" applyNumberFormat="1" applyFont="1" applyFill="1" applyBorder="1" applyAlignment="1">
      <alignment horizontal="center"/>
    </xf>
    <xf numFmtId="44" fontId="6" fillId="0" borderId="36" xfId="0" applyNumberFormat="1" applyFont="1" applyFill="1" applyBorder="1" applyAlignment="1">
      <alignment horizontal="center"/>
    </xf>
    <xf numFmtId="44" fontId="6" fillId="0" borderId="19" xfId="0" applyNumberFormat="1" applyFont="1" applyFill="1" applyBorder="1" applyAlignment="1">
      <alignment horizontal="center"/>
    </xf>
    <xf numFmtId="44" fontId="6" fillId="0" borderId="39" xfId="0" applyNumberFormat="1" applyFont="1" applyFill="1" applyBorder="1" applyAlignment="1">
      <alignment horizontal="center"/>
    </xf>
    <xf numFmtId="44" fontId="6" fillId="0" borderId="71" xfId="0" applyNumberFormat="1" applyFont="1" applyFill="1" applyBorder="1" applyAlignment="1">
      <alignment horizontal="left" vertical="center"/>
    </xf>
    <xf numFmtId="44" fontId="6" fillId="0" borderId="72" xfId="0" applyNumberFormat="1" applyFont="1" applyFill="1" applyBorder="1" applyAlignment="1">
      <alignment horizontal="left" vertical="center"/>
    </xf>
    <xf numFmtId="44" fontId="6" fillId="0" borderId="32" xfId="0" applyNumberFormat="1" applyFont="1" applyFill="1" applyBorder="1" applyAlignment="1"/>
    <xf numFmtId="44" fontId="6" fillId="0" borderId="34" xfId="0" applyNumberFormat="1" applyFont="1" applyFill="1" applyBorder="1" applyAlignment="1"/>
    <xf numFmtId="44" fontId="6" fillId="0" borderId="19" xfId="0" applyNumberFormat="1" applyFont="1" applyFill="1" applyBorder="1" applyAlignment="1"/>
    <xf numFmtId="44" fontId="6" fillId="0" borderId="39" xfId="0" applyNumberFormat="1" applyFont="1" applyFill="1" applyBorder="1" applyAlignment="1"/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165" fontId="10" fillId="0" borderId="11" xfId="0" applyNumberFormat="1" applyFont="1" applyFill="1" applyBorder="1" applyAlignment="1">
      <alignment horizontal="center"/>
    </xf>
    <xf numFmtId="165" fontId="10" fillId="0" borderId="13" xfId="0" applyNumberFormat="1" applyFont="1" applyFill="1" applyBorder="1" applyAlignment="1">
      <alignment horizontal="center"/>
    </xf>
    <xf numFmtId="165" fontId="10" fillId="0" borderId="19" xfId="0" applyNumberFormat="1" applyFont="1" applyFill="1" applyBorder="1" applyAlignment="1">
      <alignment horizontal="center"/>
    </xf>
    <xf numFmtId="165" fontId="10" fillId="0" borderId="39" xfId="0" applyNumberFormat="1" applyFont="1" applyFill="1" applyBorder="1" applyAlignment="1">
      <alignment horizontal="center"/>
    </xf>
    <xf numFmtId="165" fontId="10" fillId="0" borderId="14" xfId="0" applyNumberFormat="1" applyFont="1" applyFill="1" applyBorder="1" applyAlignment="1">
      <alignment horizontal="center"/>
    </xf>
    <xf numFmtId="165" fontId="10" fillId="0" borderId="15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36" xfId="0" applyFont="1" applyFill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10" fillId="0" borderId="13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10" fillId="0" borderId="15" xfId="0" applyFont="1" applyFill="1" applyBorder="1" applyAlignment="1">
      <alignment wrapText="1"/>
    </xf>
    <xf numFmtId="165" fontId="10" fillId="0" borderId="37" xfId="0" applyNumberFormat="1" applyFont="1" applyFill="1" applyBorder="1" applyAlignment="1">
      <alignment horizontal="center"/>
    </xf>
    <xf numFmtId="165" fontId="10" fillId="0" borderId="60" xfId="0" applyNumberFormat="1" applyFont="1" applyFill="1" applyBorder="1" applyAlignment="1">
      <alignment horizontal="center"/>
    </xf>
    <xf numFmtId="165" fontId="10" fillId="0" borderId="62" xfId="0" applyNumberFormat="1" applyFont="1" applyFill="1" applyBorder="1" applyAlignment="1">
      <alignment horizontal="center"/>
    </xf>
    <xf numFmtId="165" fontId="10" fillId="0" borderId="35" xfId="0" applyNumberFormat="1" applyFont="1" applyFill="1" applyBorder="1" applyAlignment="1">
      <alignment horizontal="center"/>
    </xf>
    <xf numFmtId="165" fontId="10" fillId="0" borderId="36" xfId="0" applyNumberFormat="1" applyFont="1" applyFill="1" applyBorder="1" applyAlignment="1">
      <alignment horizontal="center"/>
    </xf>
    <xf numFmtId="0" fontId="10" fillId="0" borderId="69" xfId="0" applyFont="1" applyFill="1" applyBorder="1" applyAlignment="1">
      <alignment horizontal="center"/>
    </xf>
    <xf numFmtId="0" fontId="10" fillId="0" borderId="75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 wrapText="1"/>
    </xf>
    <xf numFmtId="0" fontId="10" fillId="0" borderId="35" xfId="0" applyFont="1" applyFill="1" applyBorder="1" applyAlignment="1">
      <alignment horizontal="center" wrapText="1"/>
    </xf>
    <xf numFmtId="0" fontId="10" fillId="0" borderId="32" xfId="0" applyFont="1" applyFill="1" applyBorder="1" applyAlignment="1">
      <alignment wrapText="1"/>
    </xf>
    <xf numFmtId="0" fontId="10" fillId="0" borderId="34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36" xfId="0" applyFont="1" applyFill="1" applyBorder="1" applyAlignment="1">
      <alignment horizontal="left" wrapText="1"/>
    </xf>
    <xf numFmtId="0" fontId="10" fillId="0" borderId="29" xfId="0" applyFont="1" applyFill="1" applyBorder="1" applyAlignment="1">
      <alignment wrapText="1"/>
    </xf>
    <xf numFmtId="0" fontId="10" fillId="0" borderId="35" xfId="0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0" fontId="10" fillId="0" borderId="12" xfId="0" applyFont="1" applyFill="1" applyBorder="1" applyAlignment="1">
      <alignment horizontal="left" wrapText="1"/>
    </xf>
    <xf numFmtId="0" fontId="10" fillId="0" borderId="13" xfId="0" applyFont="1" applyFill="1" applyBorder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0" fillId="0" borderId="15" xfId="0" applyFont="1" applyFill="1" applyBorder="1" applyAlignment="1">
      <alignment horizontal="left" wrapText="1"/>
    </xf>
    <xf numFmtId="0" fontId="10" fillId="0" borderId="19" xfId="0" applyFont="1" applyFill="1" applyBorder="1" applyAlignment="1">
      <alignment horizontal="left" wrapText="1"/>
    </xf>
    <xf numFmtId="0" fontId="10" fillId="0" borderId="25" xfId="0" applyFont="1" applyFill="1" applyBorder="1" applyAlignment="1">
      <alignment horizontal="left" wrapText="1"/>
    </xf>
    <xf numFmtId="0" fontId="1" fillId="0" borderId="32" xfId="0" applyFont="1" applyFill="1" applyBorder="1" applyAlignment="1">
      <alignment horizontal="left" wrapText="1"/>
    </xf>
    <xf numFmtId="0" fontId="10" fillId="0" borderId="32" xfId="0" applyFont="1" applyFill="1" applyBorder="1" applyAlignment="1">
      <alignment horizontal="left" wrapText="1"/>
    </xf>
    <xf numFmtId="0" fontId="10" fillId="0" borderId="34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0" fillId="0" borderId="39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left" wrapText="1"/>
    </xf>
    <xf numFmtId="0" fontId="10" fillId="0" borderId="14" xfId="0" applyFont="1" applyFill="1" applyBorder="1" applyAlignment="1">
      <alignment horizontal="left" wrapText="1"/>
    </xf>
    <xf numFmtId="0" fontId="10" fillId="0" borderId="28" xfId="0" applyFont="1" applyFill="1" applyBorder="1" applyAlignment="1">
      <alignment horizontal="left" wrapText="1"/>
    </xf>
    <xf numFmtId="165" fontId="6" fillId="0" borderId="19" xfId="0" applyNumberFormat="1" applyFont="1" applyFill="1" applyBorder="1" applyAlignment="1">
      <alignment horizontal="center"/>
    </xf>
    <xf numFmtId="165" fontId="6" fillId="0" borderId="39" xfId="0" applyNumberFormat="1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170" fontId="10" fillId="0" borderId="14" xfId="0" applyNumberFormat="1" applyFont="1" applyFill="1" applyBorder="1" applyAlignment="1">
      <alignment horizontal="center"/>
    </xf>
    <xf numFmtId="170" fontId="10" fillId="0" borderId="15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wrapText="1"/>
    </xf>
    <xf numFmtId="165" fontId="3" fillId="0" borderId="16" xfId="0" applyNumberFormat="1" applyFont="1" applyFill="1" applyBorder="1" applyAlignment="1">
      <alignment horizontal="center"/>
    </xf>
    <xf numFmtId="165" fontId="3" fillId="0" borderId="18" xfId="0" applyNumberFormat="1" applyFont="1" applyFill="1" applyBorder="1" applyAlignment="1">
      <alignment horizontal="center"/>
    </xf>
    <xf numFmtId="0" fontId="3" fillId="0" borderId="23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1" fillId="0" borderId="26" xfId="0" applyFont="1" applyFill="1" applyBorder="1" applyAlignment="1">
      <alignment horizontal="center" vertical="justify"/>
    </xf>
    <xf numFmtId="0" fontId="10" fillId="0" borderId="24" xfId="0" applyFont="1" applyFill="1" applyBorder="1" applyAlignment="1">
      <alignment horizontal="center" vertical="justify"/>
    </xf>
    <xf numFmtId="0" fontId="10" fillId="0" borderId="11" xfId="0" applyFont="1" applyFill="1" applyBorder="1" applyAlignment="1">
      <alignment horizontal="center" vertical="justify"/>
    </xf>
    <xf numFmtId="0" fontId="10" fillId="0" borderId="12" xfId="0" applyFont="1" applyFill="1" applyBorder="1" applyAlignment="1">
      <alignment horizontal="center" vertical="justify"/>
    </xf>
    <xf numFmtId="0" fontId="10" fillId="0" borderId="13" xfId="0" applyFont="1" applyFill="1" applyBorder="1" applyAlignment="1">
      <alignment horizontal="center" vertical="justify"/>
    </xf>
    <xf numFmtId="0" fontId="10" fillId="0" borderId="16" xfId="0" applyFont="1" applyFill="1" applyBorder="1" applyAlignment="1">
      <alignment horizontal="center" vertical="justify"/>
    </xf>
    <xf numFmtId="0" fontId="10" fillId="0" borderId="17" xfId="0" applyFont="1" applyFill="1" applyBorder="1" applyAlignment="1">
      <alignment horizontal="center" vertical="justify"/>
    </xf>
    <xf numFmtId="0" fontId="10" fillId="0" borderId="18" xfId="0" applyFont="1" applyFill="1" applyBorder="1" applyAlignment="1">
      <alignment horizontal="center" vertical="justify"/>
    </xf>
    <xf numFmtId="165" fontId="6" fillId="0" borderId="16" xfId="0" applyNumberFormat="1" applyFont="1" applyFill="1" applyBorder="1" applyAlignment="1">
      <alignment horizontal="center"/>
    </xf>
    <xf numFmtId="165" fontId="6" fillId="0" borderId="18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14" xfId="0" applyNumberFormat="1" applyFont="1" applyFill="1" applyBorder="1" applyAlignment="1">
      <alignment horizontal="right"/>
    </xf>
    <xf numFmtId="165" fontId="10" fillId="0" borderId="15" xfId="0" applyNumberFormat="1" applyFont="1" applyFill="1" applyBorder="1" applyAlignment="1">
      <alignment horizontal="right"/>
    </xf>
    <xf numFmtId="0" fontId="10" fillId="0" borderId="12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left" vertical="justify"/>
    </xf>
    <xf numFmtId="0" fontId="10" fillId="0" borderId="0" xfId="0" applyFont="1" applyFill="1" applyBorder="1" applyAlignment="1">
      <alignment horizontal="left" vertical="justify"/>
    </xf>
    <xf numFmtId="0" fontId="10" fillId="0" borderId="15" xfId="0" applyFont="1" applyFill="1" applyBorder="1" applyAlignment="1">
      <alignment horizontal="left" vertical="justify"/>
    </xf>
    <xf numFmtId="0" fontId="10" fillId="0" borderId="14" xfId="0" applyFont="1" applyFill="1" applyBorder="1" applyAlignment="1">
      <alignment horizontal="left" vertical="justify"/>
    </xf>
    <xf numFmtId="0" fontId="1" fillId="0" borderId="14" xfId="0" applyFont="1" applyFill="1" applyBorder="1" applyAlignment="1">
      <alignment horizontal="justify" vertical="justify" wrapText="1"/>
    </xf>
    <xf numFmtId="0" fontId="1" fillId="0" borderId="0" xfId="0" applyFont="1" applyFill="1" applyBorder="1" applyAlignment="1">
      <alignment horizontal="justify" vertical="justify" wrapText="1"/>
    </xf>
    <xf numFmtId="0" fontId="1" fillId="0" borderId="15" xfId="0" applyFont="1" applyFill="1" applyBorder="1" applyAlignment="1">
      <alignment horizontal="justify" vertical="justify" wrapText="1"/>
    </xf>
    <xf numFmtId="165" fontId="3" fillId="0" borderId="14" xfId="0" applyNumberFormat="1" applyFont="1" applyFill="1" applyBorder="1" applyAlignment="1">
      <alignment horizontal="right"/>
    </xf>
    <xf numFmtId="165" fontId="3" fillId="0" borderId="15" xfId="0" applyNumberFormat="1" applyFont="1" applyFill="1" applyBorder="1" applyAlignment="1">
      <alignment horizontal="right"/>
    </xf>
    <xf numFmtId="165" fontId="6" fillId="0" borderId="23" xfId="0" applyNumberFormat="1" applyFont="1" applyFill="1" applyBorder="1" applyAlignment="1">
      <alignment horizontal="right"/>
    </xf>
    <xf numFmtId="165" fontId="6" fillId="0" borderId="21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wrapText="1"/>
    </xf>
    <xf numFmtId="0" fontId="10" fillId="0" borderId="14" xfId="0" applyFont="1" applyFill="1" applyBorder="1" applyAlignment="1">
      <alignment wrapText="1"/>
    </xf>
    <xf numFmtId="171" fontId="6" fillId="0" borderId="11" xfId="0" applyNumberFormat="1" applyFont="1" applyFill="1" applyBorder="1" applyAlignment="1">
      <alignment horizontal="center"/>
    </xf>
    <xf numFmtId="171" fontId="6" fillId="0" borderId="13" xfId="0" applyNumberFormat="1" applyFont="1" applyFill="1" applyBorder="1" applyAlignment="1">
      <alignment horizontal="center"/>
    </xf>
    <xf numFmtId="171" fontId="6" fillId="0" borderId="14" xfId="0" applyNumberFormat="1" applyFont="1" applyFill="1" applyBorder="1" applyAlignment="1">
      <alignment horizontal="center"/>
    </xf>
    <xf numFmtId="171" fontId="6" fillId="0" borderId="15" xfId="0" applyNumberFormat="1" applyFont="1" applyFill="1" applyBorder="1" applyAlignment="1">
      <alignment horizontal="center"/>
    </xf>
    <xf numFmtId="165" fontId="6" fillId="0" borderId="14" xfId="0" applyNumberFormat="1" applyFont="1" applyFill="1" applyBorder="1" applyAlignment="1">
      <alignment horizontal="center"/>
    </xf>
    <xf numFmtId="165" fontId="6" fillId="0" borderId="15" xfId="0" applyNumberFormat="1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 vertical="justify"/>
    </xf>
    <xf numFmtId="0" fontId="10" fillId="0" borderId="0" xfId="0" applyFont="1" applyFill="1" applyBorder="1" applyAlignment="1">
      <alignment horizontal="center" vertical="justify"/>
    </xf>
    <xf numFmtId="0" fontId="10" fillId="0" borderId="15" xfId="0" applyFont="1" applyFill="1" applyBorder="1" applyAlignment="1">
      <alignment horizontal="center" vertical="justify"/>
    </xf>
    <xf numFmtId="0" fontId="1" fillId="0" borderId="14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left" wrapText="1"/>
    </xf>
    <xf numFmtId="0" fontId="2" fillId="0" borderId="27" xfId="0" applyFont="1" applyFill="1" applyBorder="1" applyAlignment="1">
      <alignment horizontal="center" wrapText="1"/>
    </xf>
    <xf numFmtId="170" fontId="6" fillId="0" borderId="14" xfId="0" applyNumberFormat="1" applyFont="1" applyFill="1" applyBorder="1" applyAlignment="1">
      <alignment horizontal="center"/>
    </xf>
    <xf numFmtId="170" fontId="6" fillId="0" borderId="15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 vertical="distributed"/>
    </xf>
    <xf numFmtId="0" fontId="3" fillId="0" borderId="0" xfId="0" applyFont="1" applyFill="1" applyBorder="1" applyAlignment="1">
      <alignment horizontal="left" vertical="distributed"/>
    </xf>
    <xf numFmtId="0" fontId="3" fillId="0" borderId="15" xfId="0" applyFont="1" applyFill="1" applyBorder="1" applyAlignment="1">
      <alignment horizontal="left" vertical="distributed"/>
    </xf>
    <xf numFmtId="0" fontId="1" fillId="0" borderId="14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165" fontId="3" fillId="0" borderId="14" xfId="0" applyNumberFormat="1" applyFon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center"/>
    </xf>
    <xf numFmtId="0" fontId="19" fillId="0" borderId="26" xfId="0" applyFont="1" applyBorder="1" applyAlignment="1">
      <alignment horizontal="center" vertical="justify"/>
    </xf>
    <xf numFmtId="0" fontId="5" fillId="0" borderId="27" xfId="0" applyFont="1" applyBorder="1" applyAlignment="1">
      <alignment horizontal="center" vertical="justify"/>
    </xf>
    <xf numFmtId="0" fontId="5" fillId="0" borderId="2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7" fillId="0" borderId="26" xfId="0" applyFont="1" applyBorder="1" applyAlignment="1">
      <alignment horizontal="center" vertical="justify"/>
    </xf>
    <xf numFmtId="0" fontId="17" fillId="0" borderId="27" xfId="0" applyFont="1" applyBorder="1" applyAlignment="1">
      <alignment horizontal="center" vertical="justify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6" xfId="0" applyFont="1" applyBorder="1" applyAlignment="1">
      <alignment horizontal="center" vertical="justify"/>
    </xf>
    <xf numFmtId="0" fontId="3" fillId="0" borderId="23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45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165" fontId="10" fillId="0" borderId="0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 vertical="justify"/>
    </xf>
    <xf numFmtId="0" fontId="3" fillId="0" borderId="24" xfId="0" applyFont="1" applyBorder="1" applyAlignment="1">
      <alignment horizontal="center" vertical="justify"/>
    </xf>
    <xf numFmtId="0" fontId="3" fillId="0" borderId="27" xfId="0" applyFont="1" applyBorder="1" applyAlignment="1">
      <alignment horizontal="center" vertical="justify"/>
    </xf>
    <xf numFmtId="0" fontId="10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justify"/>
    </xf>
    <xf numFmtId="0" fontId="3" fillId="0" borderId="14" xfId="0" applyFont="1" applyBorder="1" applyAlignment="1">
      <alignment horizontal="center" vertical="justify"/>
    </xf>
    <xf numFmtId="0" fontId="48" fillId="0" borderId="11" xfId="0" applyFont="1" applyBorder="1" applyAlignment="1">
      <alignment horizontal="center" vertical="justify"/>
    </xf>
    <xf numFmtId="0" fontId="48" fillId="0" borderId="14" xfId="0" applyFont="1" applyBorder="1" applyAlignment="1">
      <alignment horizontal="center" vertical="justify"/>
    </xf>
    <xf numFmtId="0" fontId="48" fillId="0" borderId="16" xfId="0" applyFont="1" applyBorder="1" applyAlignment="1">
      <alignment horizontal="center" vertical="justify"/>
    </xf>
    <xf numFmtId="0" fontId="48" fillId="0" borderId="27" xfId="0" applyFont="1" applyBorder="1" applyAlignment="1">
      <alignment horizontal="center" vertical="justify"/>
    </xf>
    <xf numFmtId="0" fontId="48" fillId="0" borderId="24" xfId="0" applyFont="1" applyBorder="1" applyAlignment="1">
      <alignment horizontal="center" vertical="justify"/>
    </xf>
    <xf numFmtId="0" fontId="3" fillId="0" borderId="2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>
      <alignment horizontal="center" vertical="justify"/>
    </xf>
    <xf numFmtId="0" fontId="2" fillId="0" borderId="27" xfId="0" applyFont="1" applyBorder="1" applyAlignment="1">
      <alignment horizontal="center" vertical="justify"/>
    </xf>
    <xf numFmtId="0" fontId="3" fillId="0" borderId="11" xfId="0" applyFont="1" applyBorder="1" applyAlignment="1">
      <alignment horizontal="center" vertical="justify"/>
    </xf>
    <xf numFmtId="0" fontId="3" fillId="0" borderId="16" xfId="0" applyFont="1" applyBorder="1" applyAlignment="1">
      <alignment horizontal="center" vertical="justify"/>
    </xf>
    <xf numFmtId="0" fontId="16" fillId="0" borderId="29" xfId="0" applyFont="1" applyBorder="1" applyAlignment="1">
      <alignment horizontal="center" vertical="justify"/>
    </xf>
    <xf numFmtId="0" fontId="3" fillId="0" borderId="35" xfId="0" applyFont="1" applyBorder="1" applyAlignment="1">
      <alignment horizontal="center" vertical="justify"/>
    </xf>
    <xf numFmtId="0" fontId="3" fillId="0" borderId="37" xfId="0" applyFont="1" applyBorder="1" applyAlignment="1">
      <alignment horizontal="center" vertical="justify"/>
    </xf>
    <xf numFmtId="0" fontId="2" fillId="0" borderId="34" xfId="0" applyFont="1" applyBorder="1" applyAlignment="1">
      <alignment horizontal="center" vertical="justify"/>
    </xf>
    <xf numFmtId="0" fontId="2" fillId="0" borderId="36" xfId="0" applyFont="1" applyBorder="1" applyAlignment="1">
      <alignment horizontal="center" vertical="justify"/>
    </xf>
    <xf numFmtId="0" fontId="2" fillId="0" borderId="39" xfId="0" applyFont="1" applyBorder="1" applyAlignment="1">
      <alignment horizontal="center" vertical="justify"/>
    </xf>
    <xf numFmtId="0" fontId="15" fillId="0" borderId="27" xfId="0" applyFont="1" applyBorder="1" applyAlignment="1">
      <alignment horizontal="center" vertical="justify"/>
    </xf>
    <xf numFmtId="0" fontId="15" fillId="0" borderId="38" xfId="0" applyFont="1" applyBorder="1" applyAlignment="1">
      <alignment horizontal="center" vertical="justify"/>
    </xf>
    <xf numFmtId="0" fontId="15" fillId="0" borderId="26" xfId="0" applyFont="1" applyBorder="1" applyAlignment="1">
      <alignment horizontal="center" vertical="justify"/>
    </xf>
    <xf numFmtId="0" fontId="15" fillId="0" borderId="45" xfId="0" applyFont="1" applyBorder="1" applyAlignment="1">
      <alignment horizontal="center" vertical="justify"/>
    </xf>
    <xf numFmtId="0" fontId="15" fillId="0" borderId="59" xfId="0" applyFont="1" applyBorder="1" applyAlignment="1">
      <alignment horizontal="center" vertical="justify"/>
    </xf>
    <xf numFmtId="0" fontId="48" fillId="0" borderId="31" xfId="0" applyFont="1" applyBorder="1" applyAlignment="1">
      <alignment horizontal="center" vertical="justify"/>
    </xf>
    <xf numFmtId="0" fontId="48" fillId="0" borderId="28" xfId="0" applyFont="1" applyBorder="1" applyAlignment="1">
      <alignment horizontal="center" vertical="justify"/>
    </xf>
    <xf numFmtId="0" fontId="3" fillId="0" borderId="69" xfId="0" applyFont="1" applyBorder="1" applyAlignment="1">
      <alignment horizontal="center"/>
    </xf>
    <xf numFmtId="0" fontId="3" fillId="0" borderId="78" xfId="0" applyFont="1" applyBorder="1" applyAlignment="1">
      <alignment horizontal="center"/>
    </xf>
    <xf numFmtId="0" fontId="3" fillId="0" borderId="75" xfId="0" applyFont="1" applyBorder="1" applyAlignment="1">
      <alignment horizontal="center"/>
    </xf>
    <xf numFmtId="0" fontId="15" fillId="0" borderId="60" xfId="0" applyFont="1" applyBorder="1" applyAlignment="1">
      <alignment horizontal="center" vertical="justify"/>
    </xf>
    <xf numFmtId="0" fontId="15" fillId="0" borderId="37" xfId="0" applyFont="1" applyBorder="1" applyAlignment="1">
      <alignment horizontal="center" vertical="justify"/>
    </xf>
    <xf numFmtId="0" fontId="49" fillId="0" borderId="0" xfId="0" applyFont="1" applyBorder="1" applyAlignment="1">
      <alignment horizontal="center"/>
    </xf>
    <xf numFmtId="0" fontId="49" fillId="0" borderId="22" xfId="0" applyFont="1" applyBorder="1" applyAlignment="1">
      <alignment horizontal="left" wrapText="1"/>
    </xf>
    <xf numFmtId="0" fontId="49" fillId="0" borderId="23" xfId="0" applyFont="1" applyBorder="1" applyAlignment="1">
      <alignment horizontal="left"/>
    </xf>
    <xf numFmtId="0" fontId="49" fillId="0" borderId="20" xfId="0" applyFont="1" applyBorder="1" applyAlignment="1">
      <alignment horizontal="left"/>
    </xf>
    <xf numFmtId="0" fontId="49" fillId="0" borderId="21" xfId="0" applyFont="1" applyBorder="1" applyAlignment="1">
      <alignment horizontal="left"/>
    </xf>
    <xf numFmtId="0" fontId="49" fillId="0" borderId="23" xfId="0" applyFont="1" applyFill="1" applyBorder="1" applyAlignment="1">
      <alignment horizontal="center"/>
    </xf>
    <xf numFmtId="0" fontId="49" fillId="0" borderId="20" xfId="0" applyFont="1" applyFill="1" applyBorder="1" applyAlignment="1">
      <alignment horizontal="center"/>
    </xf>
    <xf numFmtId="0" fontId="49" fillId="0" borderId="21" xfId="0" applyFont="1" applyFill="1" applyBorder="1" applyAlignment="1">
      <alignment horizontal="center"/>
    </xf>
    <xf numFmtId="0" fontId="49" fillId="0" borderId="26" xfId="0" applyFont="1" applyBorder="1" applyAlignment="1">
      <alignment horizontal="center" wrapText="1"/>
    </xf>
    <xf numFmtId="0" fontId="49" fillId="0" borderId="27" xfId="0" applyFont="1" applyBorder="1" applyAlignment="1">
      <alignment horizontal="center" wrapText="1"/>
    </xf>
    <xf numFmtId="0" fontId="49" fillId="0" borderId="24" xfId="0" applyFont="1" applyBorder="1" applyAlignment="1">
      <alignment horizontal="center" wrapText="1"/>
    </xf>
    <xf numFmtId="0" fontId="49" fillId="0" borderId="11" xfId="0" applyFont="1" applyBorder="1" applyAlignment="1">
      <alignment horizontal="left"/>
    </xf>
    <xf numFmtId="0" fontId="49" fillId="0" borderId="13" xfId="0" applyFont="1" applyBorder="1" applyAlignment="1">
      <alignment horizontal="left"/>
    </xf>
    <xf numFmtId="0" fontId="49" fillId="0" borderId="14" xfId="0" applyFont="1" applyBorder="1" applyAlignment="1">
      <alignment horizontal="left"/>
    </xf>
    <xf numFmtId="0" fontId="49" fillId="0" borderId="15" xfId="0" applyFont="1" applyBorder="1" applyAlignment="1">
      <alignment horizontal="left"/>
    </xf>
    <xf numFmtId="0" fontId="49" fillId="0" borderId="26" xfId="0" applyFont="1" applyFill="1" applyBorder="1" applyAlignment="1">
      <alignment horizontal="center" vertical="justify" wrapText="1"/>
    </xf>
    <xf numFmtId="0" fontId="3" fillId="0" borderId="27" xfId="0" applyFont="1" applyFill="1" applyBorder="1" applyAlignment="1">
      <alignment horizontal="center" vertical="justify" wrapText="1"/>
    </xf>
    <xf numFmtId="0" fontId="103" fillId="0" borderId="26" xfId="0" applyFont="1" applyFill="1" applyBorder="1" applyAlignment="1">
      <alignment horizontal="justify" vertical="justify" wrapText="1"/>
    </xf>
    <xf numFmtId="0" fontId="103" fillId="0" borderId="27" xfId="0" applyFont="1" applyFill="1" applyBorder="1" applyAlignment="1">
      <alignment horizontal="justify" vertical="justify" wrapText="1"/>
    </xf>
    <xf numFmtId="0" fontId="103" fillId="0" borderId="26" xfId="0" applyFont="1" applyFill="1" applyBorder="1" applyAlignment="1">
      <alignment horizontal="justify" vertical="justify"/>
    </xf>
    <xf numFmtId="0" fontId="103" fillId="0" borderId="27" xfId="0" applyFont="1" applyFill="1" applyBorder="1" applyAlignment="1">
      <alignment horizontal="justify" vertical="justify"/>
    </xf>
    <xf numFmtId="0" fontId="49" fillId="0" borderId="16" xfId="0" applyFont="1" applyBorder="1" applyAlignment="1">
      <alignment horizontal="left"/>
    </xf>
    <xf numFmtId="0" fontId="49" fillId="0" borderId="18" xfId="0" applyFont="1" applyBorder="1" applyAlignment="1">
      <alignment horizontal="left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4" fillId="0" borderId="27" xfId="0" applyFont="1" applyFill="1" applyBorder="1" applyAlignment="1">
      <alignment horizontal="justify" vertical="justify" wrapText="1"/>
    </xf>
    <xf numFmtId="0" fontId="49" fillId="0" borderId="23" xfId="0" applyFont="1" applyBorder="1" applyAlignment="1">
      <alignment horizontal="left" wrapText="1"/>
    </xf>
    <xf numFmtId="0" fontId="49" fillId="0" borderId="20" xfId="0" applyFont="1" applyBorder="1" applyAlignment="1">
      <alignment horizontal="left" wrapText="1"/>
    </xf>
    <xf numFmtId="0" fontId="49" fillId="0" borderId="21" xfId="0" applyFont="1" applyBorder="1" applyAlignment="1">
      <alignment horizontal="left" wrapText="1"/>
    </xf>
    <xf numFmtId="0" fontId="49" fillId="0" borderId="11" xfId="0" applyFont="1" applyBorder="1" applyAlignment="1">
      <alignment horizontal="center"/>
    </xf>
    <xf numFmtId="0" fontId="49" fillId="0" borderId="12" xfId="0" applyFont="1" applyBorder="1" applyAlignment="1">
      <alignment horizontal="center"/>
    </xf>
    <xf numFmtId="0" fontId="49" fillId="0" borderId="14" xfId="0" applyFont="1" applyBorder="1" applyAlignment="1">
      <alignment horizontal="center"/>
    </xf>
    <xf numFmtId="0" fontId="49" fillId="0" borderId="26" xfId="0" applyFont="1" applyBorder="1" applyAlignment="1">
      <alignment horizontal="center"/>
    </xf>
    <xf numFmtId="0" fontId="49" fillId="0" borderId="27" xfId="0" applyFont="1" applyBorder="1" applyAlignment="1">
      <alignment horizontal="center"/>
    </xf>
    <xf numFmtId="0" fontId="49" fillId="0" borderId="24" xfId="0" applyFont="1" applyBorder="1" applyAlignment="1">
      <alignment horizontal="center"/>
    </xf>
    <xf numFmtId="0" fontId="49" fillId="0" borderId="16" xfId="0" applyFont="1" applyBorder="1" applyAlignment="1">
      <alignment horizontal="center"/>
    </xf>
    <xf numFmtId="0" fontId="49" fillId="0" borderId="17" xfId="0" applyFont="1" applyBorder="1" applyAlignment="1">
      <alignment horizontal="center"/>
    </xf>
    <xf numFmtId="0" fontId="49" fillId="0" borderId="18" xfId="0" applyFont="1" applyBorder="1" applyAlignment="1">
      <alignment horizontal="center"/>
    </xf>
    <xf numFmtId="0" fontId="49" fillId="0" borderId="13" xfId="0" applyFont="1" applyBorder="1" applyAlignment="1">
      <alignment horizontal="center"/>
    </xf>
    <xf numFmtId="0" fontId="49" fillId="0" borderId="15" xfId="0" applyFont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0" fontId="65" fillId="0" borderId="11" xfId="0" applyFont="1" applyFill="1" applyBorder="1" applyAlignment="1">
      <alignment horizontal="left"/>
    </xf>
    <xf numFmtId="0" fontId="65" fillId="0" borderId="13" xfId="0" applyFont="1" applyFill="1" applyBorder="1" applyAlignment="1">
      <alignment horizontal="left"/>
    </xf>
    <xf numFmtId="0" fontId="65" fillId="0" borderId="14" xfId="0" applyFont="1" applyFill="1" applyBorder="1" applyAlignment="1">
      <alignment horizontal="left"/>
    </xf>
    <xf numFmtId="0" fontId="65" fillId="0" borderId="15" xfId="0" applyFont="1" applyFill="1" applyBorder="1" applyAlignment="1">
      <alignment horizontal="left"/>
    </xf>
    <xf numFmtId="179" fontId="65" fillId="0" borderId="26" xfId="0" applyNumberFormat="1" applyFont="1" applyFill="1" applyBorder="1" applyAlignment="1">
      <alignment horizontal="center"/>
    </xf>
    <xf numFmtId="179" fontId="65" fillId="0" borderId="27" xfId="0" applyNumberFormat="1" applyFont="1" applyFill="1" applyBorder="1" applyAlignment="1">
      <alignment horizontal="center"/>
    </xf>
    <xf numFmtId="179" fontId="65" fillId="0" borderId="24" xfId="0" applyNumberFormat="1" applyFont="1" applyFill="1" applyBorder="1" applyAlignment="1">
      <alignment horizontal="center"/>
    </xf>
    <xf numFmtId="0" fontId="65" fillId="0" borderId="16" xfId="0" applyFont="1" applyFill="1" applyBorder="1" applyAlignment="1">
      <alignment horizontal="left"/>
    </xf>
    <xf numFmtId="0" fontId="65" fillId="0" borderId="18" xfId="0" applyFont="1" applyFill="1" applyBorder="1" applyAlignment="1">
      <alignment horizontal="left"/>
    </xf>
    <xf numFmtId="0" fontId="65" fillId="0" borderId="26" xfId="0" applyFont="1" applyFill="1" applyBorder="1" applyAlignment="1">
      <alignment horizontal="center" wrapText="1"/>
    </xf>
    <xf numFmtId="0" fontId="65" fillId="0" borderId="27" xfId="0" applyFont="1" applyFill="1" applyBorder="1" applyAlignment="1">
      <alignment horizontal="center" wrapText="1"/>
    </xf>
    <xf numFmtId="0" fontId="65" fillId="0" borderId="24" xfId="0" applyFont="1" applyFill="1" applyBorder="1" applyAlignment="1">
      <alignment horizontal="center" wrapText="1"/>
    </xf>
    <xf numFmtId="179" fontId="65" fillId="0" borderId="26" xfId="0" applyNumberFormat="1" applyFont="1" applyFill="1" applyBorder="1" applyAlignment="1">
      <alignment horizontal="center" wrapText="1"/>
    </xf>
    <xf numFmtId="179" fontId="65" fillId="0" borderId="27" xfId="0" applyNumberFormat="1" applyFont="1" applyFill="1" applyBorder="1" applyAlignment="1">
      <alignment horizontal="center" wrapText="1"/>
    </xf>
    <xf numFmtId="179" fontId="65" fillId="0" borderId="24" xfId="0" applyNumberFormat="1" applyFont="1" applyFill="1" applyBorder="1" applyAlignment="1">
      <alignment horizontal="center" wrapText="1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9" fillId="0" borderId="26" xfId="0" applyFont="1" applyBorder="1" applyAlignment="1">
      <alignment horizontal="center" vertical="justify"/>
    </xf>
    <xf numFmtId="0" fontId="29" fillId="0" borderId="27" xfId="0" applyFont="1" applyBorder="1" applyAlignment="1">
      <alignment horizontal="center" vertical="justify"/>
    </xf>
    <xf numFmtId="0" fontId="29" fillId="0" borderId="24" xfId="0" applyFont="1" applyBorder="1" applyAlignment="1">
      <alignment horizontal="center" vertical="justify"/>
    </xf>
    <xf numFmtId="0" fontId="19" fillId="0" borderId="24" xfId="0" applyFont="1" applyBorder="1" applyAlignment="1">
      <alignment horizontal="center" vertical="justify"/>
    </xf>
    <xf numFmtId="0" fontId="17" fillId="0" borderId="38" xfId="0" applyFont="1" applyBorder="1" applyAlignment="1">
      <alignment horizontal="center" vertical="justify"/>
    </xf>
    <xf numFmtId="0" fontId="5" fillId="0" borderId="24" xfId="0" applyFont="1" applyBorder="1" applyAlignment="1">
      <alignment horizontal="center" vertical="justify"/>
    </xf>
    <xf numFmtId="0" fontId="4" fillId="0" borderId="26" xfId="0" applyFont="1" applyBorder="1" applyAlignment="1">
      <alignment horizontal="center" vertical="justify"/>
    </xf>
    <xf numFmtId="0" fontId="4" fillId="0" borderId="24" xfId="0" applyFont="1" applyBorder="1" applyAlignment="1">
      <alignment horizontal="center" vertical="justify"/>
    </xf>
    <xf numFmtId="0" fontId="4" fillId="0" borderId="27" xfId="0" applyFont="1" applyBorder="1" applyAlignment="1">
      <alignment horizontal="center" vertical="justify"/>
    </xf>
    <xf numFmtId="165" fontId="19" fillId="0" borderId="27" xfId="0" applyNumberFormat="1" applyFont="1" applyBorder="1" applyAlignment="1">
      <alignment horizontal="center" vertical="justify"/>
    </xf>
    <xf numFmtId="0" fontId="19" fillId="0" borderId="27" xfId="0" applyFont="1" applyBorder="1" applyAlignment="1">
      <alignment horizontal="center" vertical="justify"/>
    </xf>
    <xf numFmtId="0" fontId="19" fillId="0" borderId="11" xfId="0" applyFont="1" applyBorder="1" applyAlignment="1">
      <alignment horizontal="center" vertical="justify"/>
    </xf>
    <xf numFmtId="0" fontId="19" fillId="0" borderId="14" xfId="0" applyFont="1" applyBorder="1" applyAlignment="1">
      <alignment horizontal="center" vertical="justify"/>
    </xf>
    <xf numFmtId="0" fontId="19" fillId="0" borderId="16" xfId="0" applyFont="1" applyBorder="1" applyAlignment="1">
      <alignment horizontal="center" vertical="justify"/>
    </xf>
    <xf numFmtId="0" fontId="19" fillId="0" borderId="12" xfId="0" applyFont="1" applyBorder="1" applyAlignment="1">
      <alignment horizontal="center" vertical="justify"/>
    </xf>
    <xf numFmtId="0" fontId="19" fillId="0" borderId="0" xfId="0" applyFont="1" applyBorder="1" applyAlignment="1">
      <alignment horizontal="center" vertical="justify"/>
    </xf>
    <xf numFmtId="0" fontId="19" fillId="0" borderId="17" xfId="0" applyFont="1" applyBorder="1" applyAlignment="1">
      <alignment horizontal="center" vertical="justify"/>
    </xf>
    <xf numFmtId="0" fontId="5" fillId="0" borderId="11" xfId="0" applyFont="1" applyBorder="1" applyAlignment="1">
      <alignment horizontal="center" vertical="justify"/>
    </xf>
    <xf numFmtId="0" fontId="5" fillId="0" borderId="14" xfId="0" applyFont="1" applyBorder="1" applyAlignment="1">
      <alignment horizontal="center" vertical="justify"/>
    </xf>
    <xf numFmtId="0" fontId="5" fillId="0" borderId="16" xfId="0" applyFont="1" applyBorder="1" applyAlignment="1">
      <alignment horizontal="center" vertical="justify"/>
    </xf>
    <xf numFmtId="175" fontId="16" fillId="0" borderId="0" xfId="0" applyNumberFormat="1" applyFont="1" applyFill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175" fontId="3" fillId="0" borderId="0" xfId="0" applyNumberFormat="1" applyFont="1" applyFill="1" applyBorder="1" applyAlignment="1">
      <alignment horizontal="center" vertical="justify" wrapText="1"/>
    </xf>
    <xf numFmtId="44" fontId="16" fillId="0" borderId="0" xfId="0" applyNumberFormat="1" applyFont="1" applyFill="1" applyBorder="1" applyAlignment="1">
      <alignment horizontal="center" vertical="justify" wrapText="1"/>
    </xf>
    <xf numFmtId="44" fontId="3" fillId="0" borderId="0" xfId="0" applyNumberFormat="1" applyFont="1" applyFill="1" applyBorder="1" applyAlignment="1">
      <alignment horizontal="center" vertical="justify" wrapText="1"/>
    </xf>
    <xf numFmtId="175" fontId="3" fillId="0" borderId="0" xfId="0" applyNumberFormat="1" applyFont="1" applyFill="1" applyAlignment="1">
      <alignment horizontal="center"/>
    </xf>
    <xf numFmtId="175" fontId="3" fillId="0" borderId="0" xfId="0" applyNumberFormat="1" applyFont="1" applyFill="1" applyBorder="1" applyAlignment="1">
      <alignment horizontal="center"/>
    </xf>
    <xf numFmtId="0" fontId="44" fillId="0" borderId="0" xfId="0" applyFont="1" applyFill="1" applyAlignment="1">
      <alignment horizontal="center"/>
    </xf>
    <xf numFmtId="49" fontId="16" fillId="0" borderId="22" xfId="0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165" fontId="4" fillId="0" borderId="0" xfId="0" applyNumberFormat="1" applyFont="1" applyFill="1" applyAlignment="1">
      <alignment horizontal="center"/>
    </xf>
    <xf numFmtId="175" fontId="64" fillId="0" borderId="26" xfId="0" applyNumberFormat="1" applyFont="1" applyFill="1" applyBorder="1" applyAlignment="1">
      <alignment horizontal="center" vertical="justify"/>
    </xf>
    <xf numFmtId="175" fontId="64" fillId="0" borderId="27" xfId="0" applyNumberFormat="1" applyFont="1" applyFill="1" applyBorder="1" applyAlignment="1">
      <alignment horizontal="center" vertical="justify"/>
    </xf>
    <xf numFmtId="175" fontId="64" fillId="0" borderId="24" xfId="0" applyNumberFormat="1" applyFont="1" applyFill="1" applyBorder="1" applyAlignment="1">
      <alignment horizontal="center" vertical="justify"/>
    </xf>
    <xf numFmtId="165" fontId="3" fillId="0" borderId="0" xfId="0" applyNumberFormat="1" applyFont="1" applyFill="1" applyAlignment="1">
      <alignment horizontal="center"/>
    </xf>
    <xf numFmtId="175" fontId="16" fillId="0" borderId="12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49" fontId="16" fillId="0" borderId="23" xfId="0" applyNumberFormat="1" applyFont="1" applyFill="1" applyBorder="1" applyAlignment="1">
      <alignment horizontal="center"/>
    </xf>
    <xf numFmtId="49" fontId="16" fillId="0" borderId="21" xfId="0" applyNumberFormat="1" applyFont="1" applyFill="1" applyBorder="1" applyAlignment="1">
      <alignment horizontal="center"/>
    </xf>
    <xf numFmtId="165" fontId="1" fillId="0" borderId="0" xfId="44" applyNumberFormat="1" applyBorder="1" applyAlignment="1">
      <alignment horizontal="center"/>
    </xf>
    <xf numFmtId="0" fontId="111" fillId="0" borderId="22" xfId="44" applyFont="1" applyBorder="1" applyAlignment="1">
      <alignment shrinkToFit="1"/>
    </xf>
    <xf numFmtId="0" fontId="111" fillId="0" borderId="22" xfId="44" applyFont="1" applyBorder="1" applyAlignment="1">
      <alignment wrapText="1"/>
    </xf>
    <xf numFmtId="49" fontId="6" fillId="0" borderId="22" xfId="44" applyNumberFormat="1" applyFont="1" applyBorder="1" applyAlignment="1">
      <alignment horizontal="center"/>
    </xf>
    <xf numFmtId="0" fontId="6" fillId="0" borderId="22" xfId="44" applyFont="1" applyBorder="1" applyAlignment="1">
      <alignment horizontal="center"/>
    </xf>
    <xf numFmtId="0" fontId="15" fillId="0" borderId="22" xfId="44" applyFont="1" applyBorder="1" applyAlignment="1">
      <alignment horizontal="center" wrapText="1"/>
    </xf>
    <xf numFmtId="165" fontId="15" fillId="0" borderId="22" xfId="44" applyNumberFormat="1" applyFont="1" applyBorder="1" applyAlignment="1">
      <alignment horizontal="center" wrapText="1"/>
    </xf>
    <xf numFmtId="0" fontId="116" fillId="0" borderId="17" xfId="44" applyFont="1" applyBorder="1" applyAlignment="1">
      <alignment horizontal="center"/>
    </xf>
    <xf numFmtId="0" fontId="44" fillId="0" borderId="17" xfId="0" applyFont="1" applyBorder="1" applyAlignment="1">
      <alignment horizontal="center"/>
    </xf>
    <xf numFmtId="165" fontId="15" fillId="0" borderId="22" xfId="0" applyNumberFormat="1" applyFont="1" applyFill="1" applyBorder="1" applyAlignment="1">
      <alignment horizontal="center" wrapText="1"/>
    </xf>
    <xf numFmtId="0" fontId="15" fillId="0" borderId="22" xfId="0" applyFont="1" applyBorder="1" applyAlignment="1">
      <alignment horizontal="left"/>
    </xf>
    <xf numFmtId="165" fontId="15" fillId="0" borderId="22" xfId="0" applyNumberFormat="1" applyFont="1" applyBorder="1" applyAlignment="1">
      <alignment horizontal="center" wrapText="1"/>
    </xf>
    <xf numFmtId="0" fontId="15" fillId="0" borderId="22" xfId="0" applyFont="1" applyBorder="1" applyAlignment="1">
      <alignment horizontal="center"/>
    </xf>
    <xf numFmtId="165" fontId="15" fillId="0" borderId="22" xfId="0" applyNumberFormat="1" applyFont="1" applyBorder="1" applyAlignment="1">
      <alignment horizontal="center"/>
    </xf>
    <xf numFmtId="0" fontId="44" fillId="0" borderId="0" xfId="0" applyFont="1" applyAlignment="1">
      <alignment horizontal="center"/>
    </xf>
    <xf numFmtId="0" fontId="6" fillId="26" borderId="22" xfId="0" applyFont="1" applyFill="1" applyBorder="1" applyAlignment="1">
      <alignment horizontal="center" wrapText="1"/>
    </xf>
    <xf numFmtId="165" fontId="15" fillId="26" borderId="22" xfId="0" applyNumberFormat="1" applyFont="1" applyFill="1" applyBorder="1" applyAlignment="1">
      <alignment horizontal="center" wrapText="1"/>
    </xf>
    <xf numFmtId="0" fontId="44" fillId="26" borderId="17" xfId="0" applyFont="1" applyFill="1" applyBorder="1" applyAlignment="1">
      <alignment horizontal="center"/>
    </xf>
    <xf numFmtId="0" fontId="15" fillId="26" borderId="22" xfId="0" applyFont="1" applyFill="1" applyBorder="1" applyAlignment="1">
      <alignment horizontal="center"/>
    </xf>
    <xf numFmtId="165" fontId="15" fillId="26" borderId="22" xfId="0" applyNumberFormat="1" applyFont="1" applyFill="1" applyBorder="1" applyAlignment="1">
      <alignment horizontal="center"/>
    </xf>
    <xf numFmtId="165" fontId="15" fillId="26" borderId="23" xfId="0" applyNumberFormat="1" applyFont="1" applyFill="1" applyBorder="1" applyAlignment="1">
      <alignment horizontal="center"/>
    </xf>
    <xf numFmtId="165" fontId="15" fillId="26" borderId="23" xfId="0" applyNumberFormat="1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165" fontId="15" fillId="0" borderId="22" xfId="0" applyNumberFormat="1" applyFont="1" applyFill="1" applyBorder="1" applyAlignment="1">
      <alignment horizontal="center"/>
    </xf>
    <xf numFmtId="165" fontId="15" fillId="0" borderId="23" xfId="0" applyNumberFormat="1" applyFont="1" applyFill="1" applyBorder="1" applyAlignment="1">
      <alignment horizontal="center"/>
    </xf>
    <xf numFmtId="165" fontId="15" fillId="0" borderId="23" xfId="0" applyNumberFormat="1" applyFont="1" applyFill="1" applyBorder="1" applyAlignment="1">
      <alignment horizontal="center" wrapText="1"/>
    </xf>
    <xf numFmtId="175" fontId="15" fillId="0" borderId="49" xfId="0" applyNumberFormat="1" applyFont="1" applyFill="1" applyBorder="1" applyAlignment="1">
      <alignment horizontal="center"/>
    </xf>
    <xf numFmtId="175" fontId="15" fillId="0" borderId="50" xfId="0" applyNumberFormat="1" applyFont="1" applyFill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5" fillId="0" borderId="22" xfId="0" applyFont="1" applyBorder="1" applyAlignment="1">
      <alignment horizontal="center" vertical="center"/>
    </xf>
    <xf numFmtId="175" fontId="44" fillId="0" borderId="48" xfId="0" applyNumberFormat="1" applyFont="1" applyFill="1" applyBorder="1" applyAlignment="1">
      <alignment horizontal="right" textRotation="126" wrapText="1"/>
    </xf>
    <xf numFmtId="175" fontId="44" fillId="0" borderId="49" xfId="0" applyNumberFormat="1" applyFont="1" applyFill="1" applyBorder="1" applyAlignment="1">
      <alignment horizontal="right" textRotation="126" wrapText="1"/>
    </xf>
    <xf numFmtId="0" fontId="6" fillId="0" borderId="22" xfId="0" applyFont="1" applyBorder="1" applyAlignment="1">
      <alignment horizontal="center"/>
    </xf>
    <xf numFmtId="0" fontId="92" fillId="0" borderId="0" xfId="0" applyFont="1" applyAlignment="1">
      <alignment horizontal="center"/>
    </xf>
    <xf numFmtId="175" fontId="15" fillId="0" borderId="21" xfId="0" applyNumberFormat="1" applyFont="1" applyFill="1" applyBorder="1" applyAlignment="1">
      <alignment horizontal="center" vertical="justify"/>
    </xf>
    <xf numFmtId="0" fontId="44" fillId="0" borderId="22" xfId="0" applyFont="1" applyFill="1" applyBorder="1" applyAlignment="1">
      <alignment horizontal="center"/>
    </xf>
    <xf numFmtId="0" fontId="15" fillId="0" borderId="37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center"/>
    </xf>
    <xf numFmtId="0" fontId="15" fillId="0" borderId="39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5" fontId="15" fillId="0" borderId="22" xfId="0" applyNumberFormat="1" applyFont="1" applyFill="1" applyBorder="1" applyAlignment="1">
      <alignment horizontal="center" vertical="justify"/>
    </xf>
    <xf numFmtId="175" fontId="5" fillId="0" borderId="22" xfId="0" applyNumberFormat="1" applyFont="1" applyFill="1" applyBorder="1" applyAlignment="1">
      <alignment horizontal="center"/>
    </xf>
    <xf numFmtId="0" fontId="5" fillId="0" borderId="22" xfId="0" applyFont="1" applyFill="1" applyBorder="1" applyAlignment="1">
      <alignment horizontal="left"/>
    </xf>
    <xf numFmtId="175" fontId="42" fillId="0" borderId="48" xfId="0" applyNumberFormat="1" applyFont="1" applyFill="1" applyBorder="1" applyAlignment="1">
      <alignment horizontal="right" textRotation="126" wrapText="1"/>
    </xf>
    <xf numFmtId="175" fontId="42" fillId="0" borderId="49" xfId="0" applyNumberFormat="1" applyFont="1" applyFill="1" applyBorder="1" applyAlignment="1">
      <alignment horizontal="right" textRotation="126" wrapText="1"/>
    </xf>
    <xf numFmtId="49" fontId="5" fillId="0" borderId="23" xfId="0" applyNumberFormat="1" applyFont="1" applyFill="1" applyBorder="1" applyAlignment="1">
      <alignment horizontal="center"/>
    </xf>
    <xf numFmtId="49" fontId="5" fillId="0" borderId="21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175" fontId="5" fillId="0" borderId="12" xfId="0" applyNumberFormat="1" applyFont="1" applyFill="1" applyBorder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43" builtinId="3"/>
    <cellStyle name="Moneda" xfId="32" builtinId="4"/>
    <cellStyle name="Neutral" xfId="33" builtinId="28" customBuiltin="1"/>
    <cellStyle name="Normal" xfId="0" builtinId="0"/>
    <cellStyle name="Normal 2" xfId="44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219075</xdr:rowOff>
    </xdr:from>
    <xdr:to>
      <xdr:col>2</xdr:col>
      <xdr:colOff>66675</xdr:colOff>
      <xdr:row>4</xdr:row>
      <xdr:rowOff>9525</xdr:rowOff>
    </xdr:to>
    <xdr:pic>
      <xdr:nvPicPr>
        <xdr:cNvPr id="8208" name="Picture 1" descr="Escudo de El Salvador">
          <a:extLst>
            <a:ext uri="{FF2B5EF4-FFF2-40B4-BE49-F238E27FC236}">
              <a16:creationId xmlns="" xmlns:a16="http://schemas.microsoft.com/office/drawing/2014/main" id="{00000000-0008-0000-0000-000010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447675"/>
          <a:ext cx="192405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619125</xdr:colOff>
      <xdr:row>9</xdr:row>
      <xdr:rowOff>19050</xdr:rowOff>
    </xdr:from>
    <xdr:to>
      <xdr:col>6</xdr:col>
      <xdr:colOff>752475</xdr:colOff>
      <xdr:row>24</xdr:row>
      <xdr:rowOff>142875</xdr:rowOff>
    </xdr:to>
    <xdr:sp macro="" textlink="">
      <xdr:nvSpPr>
        <xdr:cNvPr id="7214" name="AutoShape 1">
          <a:extLst>
            <a:ext uri="{FF2B5EF4-FFF2-40B4-BE49-F238E27FC236}">
              <a16:creationId xmlns="" xmlns:a16="http://schemas.microsoft.com/office/drawing/2014/main" id="{00000000-0008-0000-0300-00002E1C0000}"/>
            </a:ext>
          </a:extLst>
        </xdr:cNvPr>
        <xdr:cNvSpPr>
          <a:spLocks/>
        </xdr:cNvSpPr>
      </xdr:nvSpPr>
      <xdr:spPr bwMode="auto">
        <a:xfrm>
          <a:off x="4152900" y="1495425"/>
          <a:ext cx="133350" cy="2552700"/>
        </a:xfrm>
        <a:prstGeom prst="rightBrace">
          <a:avLst>
            <a:gd name="adj1" fmla="val 15952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619125</xdr:colOff>
      <xdr:row>27</xdr:row>
      <xdr:rowOff>0</xdr:rowOff>
    </xdr:from>
    <xdr:to>
      <xdr:col>6</xdr:col>
      <xdr:colOff>733425</xdr:colOff>
      <xdr:row>28</xdr:row>
      <xdr:rowOff>142875</xdr:rowOff>
    </xdr:to>
    <xdr:sp macro="" textlink="">
      <xdr:nvSpPr>
        <xdr:cNvPr id="7215" name="AutoShape 2">
          <a:extLst>
            <a:ext uri="{FF2B5EF4-FFF2-40B4-BE49-F238E27FC236}">
              <a16:creationId xmlns="" xmlns:a16="http://schemas.microsoft.com/office/drawing/2014/main" id="{00000000-0008-0000-0300-00002F1C0000}"/>
            </a:ext>
          </a:extLst>
        </xdr:cNvPr>
        <xdr:cNvSpPr>
          <a:spLocks/>
        </xdr:cNvSpPr>
      </xdr:nvSpPr>
      <xdr:spPr bwMode="auto">
        <a:xfrm>
          <a:off x="4152900" y="4400550"/>
          <a:ext cx="114300" cy="304800"/>
        </a:xfrm>
        <a:prstGeom prst="rightBrace">
          <a:avLst>
            <a:gd name="adj1" fmla="val 2222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638175</xdr:colOff>
      <xdr:row>33</xdr:row>
      <xdr:rowOff>0</xdr:rowOff>
    </xdr:from>
    <xdr:to>
      <xdr:col>6</xdr:col>
      <xdr:colOff>714375</xdr:colOff>
      <xdr:row>33</xdr:row>
      <xdr:rowOff>0</xdr:rowOff>
    </xdr:to>
    <xdr:sp macro="" textlink="">
      <xdr:nvSpPr>
        <xdr:cNvPr id="7216" name="AutoShape 3">
          <a:extLst>
            <a:ext uri="{FF2B5EF4-FFF2-40B4-BE49-F238E27FC236}">
              <a16:creationId xmlns="" xmlns:a16="http://schemas.microsoft.com/office/drawing/2014/main" id="{00000000-0008-0000-0300-0000301C0000}"/>
            </a:ext>
          </a:extLst>
        </xdr:cNvPr>
        <xdr:cNvSpPr>
          <a:spLocks/>
        </xdr:cNvSpPr>
      </xdr:nvSpPr>
      <xdr:spPr bwMode="auto">
        <a:xfrm>
          <a:off x="4171950" y="5391150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15588" name="Line 1">
          <a:extLst>
            <a:ext uri="{FF2B5EF4-FFF2-40B4-BE49-F238E27FC236}">
              <a16:creationId xmlns="" xmlns:a16="http://schemas.microsoft.com/office/drawing/2014/main" id="{00000000-0008-0000-2400-0000E43C0000}"/>
            </a:ext>
          </a:extLst>
        </xdr:cNvPr>
        <xdr:cNvSpPr>
          <a:spLocks noChangeShapeType="1"/>
        </xdr:cNvSpPr>
      </xdr:nvSpPr>
      <xdr:spPr bwMode="auto">
        <a:xfrm>
          <a:off x="438150" y="5562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209550</xdr:colOff>
      <xdr:row>51</xdr:row>
      <xdr:rowOff>0</xdr:rowOff>
    </xdr:from>
    <xdr:to>
      <xdr:col>2</xdr:col>
      <xdr:colOff>523875</xdr:colOff>
      <xdr:row>51</xdr:row>
      <xdr:rowOff>0</xdr:rowOff>
    </xdr:to>
    <xdr:sp macro="" textlink="">
      <xdr:nvSpPr>
        <xdr:cNvPr id="15362" name="Text Box 2">
          <a:extLst>
            <a:ext uri="{FF2B5EF4-FFF2-40B4-BE49-F238E27FC236}">
              <a16:creationId xmlns="" xmlns:a16="http://schemas.microsoft.com/office/drawing/2014/main" id="{00000000-0008-0000-2400-0000023C0000}"/>
            </a:ext>
          </a:extLst>
        </xdr:cNvPr>
        <xdr:cNvSpPr txBox="1">
          <a:spLocks noChangeArrowheads="1"/>
        </xdr:cNvSpPr>
      </xdr:nvSpPr>
      <xdr:spPr bwMode="auto">
        <a:xfrm>
          <a:off x="2400300" y="5562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18288" rIns="27432" bIns="18288" anchor="ctr" upright="1"/>
        <a:lstStyle/>
        <a:p>
          <a:pPr algn="ctr" rtl="0">
            <a:defRPr sz="1000"/>
          </a:pPr>
          <a:r>
            <a:rPr lang="es-SV" sz="600" b="0" i="0" strike="noStrike">
              <a:solidFill>
                <a:srgbClr val="000000"/>
              </a:solidFill>
              <a:latin typeface="Arial"/>
              <a:cs typeface="Arial"/>
            </a:rPr>
            <a:t>CONSEJO</a:t>
          </a:r>
        </a:p>
        <a:p>
          <a:pPr algn="ctr" rtl="0">
            <a:defRPr sz="1000"/>
          </a:pPr>
          <a:r>
            <a:rPr lang="es-SV" sz="600" b="0" i="0" strike="noStrike">
              <a:solidFill>
                <a:srgbClr val="000000"/>
              </a:solidFill>
              <a:latin typeface="Arial"/>
              <a:cs typeface="Arial"/>
            </a:rPr>
            <a:t>MUNICIPAL</a:t>
          </a:r>
        </a:p>
      </xdr:txBody>
    </xdr:sp>
    <xdr:clientData/>
  </xdr:twoCellAnchor>
  <xdr:twoCellAnchor>
    <xdr:from>
      <xdr:col>4</xdr:col>
      <xdr:colOff>219075</xdr:colOff>
      <xdr:row>51</xdr:row>
      <xdr:rowOff>0</xdr:rowOff>
    </xdr:from>
    <xdr:to>
      <xdr:col>4</xdr:col>
      <xdr:colOff>533400</xdr:colOff>
      <xdr:row>51</xdr:row>
      <xdr:rowOff>0</xdr:rowOff>
    </xdr:to>
    <xdr:sp macro="" textlink="">
      <xdr:nvSpPr>
        <xdr:cNvPr id="15363" name="Text Box 3">
          <a:extLst>
            <a:ext uri="{FF2B5EF4-FFF2-40B4-BE49-F238E27FC236}">
              <a16:creationId xmlns="" xmlns:a16="http://schemas.microsoft.com/office/drawing/2014/main" id="{00000000-0008-0000-2400-0000033C0000}"/>
            </a:ext>
          </a:extLst>
        </xdr:cNvPr>
        <xdr:cNvSpPr txBox="1">
          <a:spLocks noChangeArrowheads="1"/>
        </xdr:cNvSpPr>
      </xdr:nvSpPr>
      <xdr:spPr bwMode="auto">
        <a:xfrm>
          <a:off x="2400300" y="5562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es-SV" sz="800" b="0" i="0" strike="noStrike">
              <a:solidFill>
                <a:srgbClr val="000000"/>
              </a:solidFill>
              <a:latin typeface="Arial"/>
              <a:cs typeface="Arial"/>
            </a:rPr>
            <a:t>ALCALDE</a:t>
          </a:r>
        </a:p>
      </xdr:txBody>
    </xdr:sp>
    <xdr:clientData/>
  </xdr:twoCellAnchor>
  <xdr:twoCellAnchor>
    <xdr:from>
      <xdr:col>10</xdr:col>
      <xdr:colOff>219075</xdr:colOff>
      <xdr:row>51</xdr:row>
      <xdr:rowOff>0</xdr:rowOff>
    </xdr:from>
    <xdr:to>
      <xdr:col>10</xdr:col>
      <xdr:colOff>533400</xdr:colOff>
      <xdr:row>51</xdr:row>
      <xdr:rowOff>0</xdr:rowOff>
    </xdr:to>
    <xdr:sp macro="" textlink="">
      <xdr:nvSpPr>
        <xdr:cNvPr id="15364" name="Text Box 4">
          <a:extLst>
            <a:ext uri="{FF2B5EF4-FFF2-40B4-BE49-F238E27FC236}">
              <a16:creationId xmlns="" xmlns:a16="http://schemas.microsoft.com/office/drawing/2014/main" id="{00000000-0008-0000-2400-0000043C0000}"/>
            </a:ext>
          </a:extLst>
        </xdr:cNvPr>
        <xdr:cNvSpPr txBox="1">
          <a:spLocks noChangeArrowheads="1"/>
        </xdr:cNvSpPr>
      </xdr:nvSpPr>
      <xdr:spPr bwMode="auto">
        <a:xfrm>
          <a:off x="3143250" y="5562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18288" rIns="27432" bIns="18288" anchor="ctr" upright="1"/>
        <a:lstStyle/>
        <a:p>
          <a:pPr algn="ctr" rtl="0">
            <a:defRPr sz="1000"/>
          </a:pPr>
          <a:r>
            <a:rPr lang="es-SV" sz="600" b="0" i="0" strike="noStrike">
              <a:solidFill>
                <a:srgbClr val="000000"/>
              </a:solidFill>
              <a:latin typeface="Arial"/>
              <a:cs typeface="Arial"/>
            </a:rPr>
            <a:t>SINDICO</a:t>
          </a: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5365" name="Text Box 5">
          <a:extLst>
            <a:ext uri="{FF2B5EF4-FFF2-40B4-BE49-F238E27FC236}">
              <a16:creationId xmlns="" xmlns:a16="http://schemas.microsoft.com/office/drawing/2014/main" id="{00000000-0008-0000-2400-0000053C0000}"/>
            </a:ext>
          </a:extLst>
        </xdr:cNvPr>
        <xdr:cNvSpPr txBox="1">
          <a:spLocks noChangeArrowheads="1"/>
        </xdr:cNvSpPr>
      </xdr:nvSpPr>
      <xdr:spPr bwMode="auto">
        <a:xfrm>
          <a:off x="3143250" y="5562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18288" rIns="27432" bIns="18288" anchor="ctr" upright="1"/>
        <a:lstStyle/>
        <a:p>
          <a:pPr algn="ctr" rtl="0">
            <a:defRPr sz="1000"/>
          </a:pPr>
          <a:r>
            <a:rPr lang="es-SV" sz="600" b="0" i="0" strike="noStrike">
              <a:solidFill>
                <a:srgbClr val="000000"/>
              </a:solidFill>
              <a:latin typeface="Arial"/>
              <a:cs typeface="Arial"/>
            </a:rPr>
            <a:t>CONTABILID.</a:t>
          </a: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5366" name="Text Box 6">
          <a:extLst>
            <a:ext uri="{FF2B5EF4-FFF2-40B4-BE49-F238E27FC236}">
              <a16:creationId xmlns="" xmlns:a16="http://schemas.microsoft.com/office/drawing/2014/main" id="{00000000-0008-0000-2400-0000063C0000}"/>
            </a:ext>
          </a:extLst>
        </xdr:cNvPr>
        <xdr:cNvSpPr txBox="1">
          <a:spLocks noChangeArrowheads="1"/>
        </xdr:cNvSpPr>
      </xdr:nvSpPr>
      <xdr:spPr bwMode="auto">
        <a:xfrm>
          <a:off x="3143250" y="5562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18288" rIns="27432" bIns="18288" anchor="ctr" upright="1"/>
        <a:lstStyle/>
        <a:p>
          <a:pPr algn="ctr" rtl="0">
            <a:defRPr sz="1000"/>
          </a:pPr>
          <a:r>
            <a:rPr lang="es-SV" sz="600" b="0" i="0" strike="noStrike">
              <a:solidFill>
                <a:srgbClr val="000000"/>
              </a:solidFill>
              <a:latin typeface="Arial"/>
              <a:cs typeface="Arial"/>
            </a:rPr>
            <a:t>CATASTRO</a:t>
          </a: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5367" name="Text Box 7">
          <a:extLst>
            <a:ext uri="{FF2B5EF4-FFF2-40B4-BE49-F238E27FC236}">
              <a16:creationId xmlns="" xmlns:a16="http://schemas.microsoft.com/office/drawing/2014/main" id="{00000000-0008-0000-2400-0000073C0000}"/>
            </a:ext>
          </a:extLst>
        </xdr:cNvPr>
        <xdr:cNvSpPr txBox="1">
          <a:spLocks noChangeArrowheads="1"/>
        </xdr:cNvSpPr>
      </xdr:nvSpPr>
      <xdr:spPr bwMode="auto">
        <a:xfrm>
          <a:off x="3143250" y="5562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18288" rIns="27432" bIns="18288" anchor="ctr" upright="1"/>
        <a:lstStyle/>
        <a:p>
          <a:pPr algn="ctr" rtl="0">
            <a:defRPr sz="1000"/>
          </a:pPr>
          <a:r>
            <a:rPr lang="es-SV" sz="600" b="0" i="0" strike="noStrike">
              <a:solidFill>
                <a:srgbClr val="000000"/>
              </a:solidFill>
              <a:latin typeface="Arial"/>
              <a:cs typeface="Arial"/>
            </a:rPr>
            <a:t>SERVICIOS GRALES Y DE APOYO</a:t>
          </a: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5368" name="Text Box 8">
          <a:extLst>
            <a:ext uri="{FF2B5EF4-FFF2-40B4-BE49-F238E27FC236}">
              <a16:creationId xmlns="" xmlns:a16="http://schemas.microsoft.com/office/drawing/2014/main" id="{00000000-0008-0000-2400-0000083C0000}"/>
            </a:ext>
          </a:extLst>
        </xdr:cNvPr>
        <xdr:cNvSpPr txBox="1">
          <a:spLocks noChangeArrowheads="1"/>
        </xdr:cNvSpPr>
      </xdr:nvSpPr>
      <xdr:spPr bwMode="auto">
        <a:xfrm>
          <a:off x="3143250" y="5562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18288" rIns="27432" bIns="18288" anchor="ctr" upright="1"/>
        <a:lstStyle/>
        <a:p>
          <a:pPr algn="ctr" rtl="0">
            <a:defRPr sz="1000"/>
          </a:pPr>
          <a:r>
            <a:rPr lang="es-SV" sz="600" b="0" i="0" strike="noStrike">
              <a:solidFill>
                <a:srgbClr val="000000"/>
              </a:solidFill>
              <a:latin typeface="Arial"/>
              <a:cs typeface="Arial"/>
            </a:rPr>
            <a:t>REGISTRO DEL ESTADO FAMILIAR</a:t>
          </a: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5369" name="Text Box 9">
          <a:extLst>
            <a:ext uri="{FF2B5EF4-FFF2-40B4-BE49-F238E27FC236}">
              <a16:creationId xmlns="" xmlns:a16="http://schemas.microsoft.com/office/drawing/2014/main" id="{00000000-0008-0000-2400-0000093C0000}"/>
            </a:ext>
          </a:extLst>
        </xdr:cNvPr>
        <xdr:cNvSpPr txBox="1">
          <a:spLocks noChangeArrowheads="1"/>
        </xdr:cNvSpPr>
      </xdr:nvSpPr>
      <xdr:spPr bwMode="auto">
        <a:xfrm>
          <a:off x="3143250" y="5562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18288" rIns="27432" bIns="18288" anchor="ctr" upright="1"/>
        <a:lstStyle/>
        <a:p>
          <a:pPr algn="ctr" rtl="0">
            <a:defRPr sz="1000"/>
          </a:pPr>
          <a:r>
            <a:rPr lang="es-SV" sz="600" b="0" i="0" strike="noStrike">
              <a:solidFill>
                <a:srgbClr val="000000"/>
              </a:solidFill>
              <a:latin typeface="Arial"/>
              <a:cs typeface="Arial"/>
            </a:rPr>
            <a:t>REGISTRO DE CEDULA</a:t>
          </a: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5370" name="Text Box 10">
          <a:extLst>
            <a:ext uri="{FF2B5EF4-FFF2-40B4-BE49-F238E27FC236}">
              <a16:creationId xmlns="" xmlns:a16="http://schemas.microsoft.com/office/drawing/2014/main" id="{00000000-0008-0000-2400-00000A3C0000}"/>
            </a:ext>
          </a:extLst>
        </xdr:cNvPr>
        <xdr:cNvSpPr txBox="1">
          <a:spLocks noChangeArrowheads="1"/>
        </xdr:cNvSpPr>
      </xdr:nvSpPr>
      <xdr:spPr bwMode="auto">
        <a:xfrm>
          <a:off x="3143250" y="5562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18288" rIns="27432" bIns="18288" anchor="ctr" upright="1"/>
        <a:lstStyle/>
        <a:p>
          <a:pPr algn="ctr" rtl="0">
            <a:defRPr sz="1000"/>
          </a:pPr>
          <a:r>
            <a:rPr lang="es-SV" sz="600" b="0" i="0" strike="noStrike">
              <a:solidFill>
                <a:srgbClr val="000000"/>
              </a:solidFill>
              <a:latin typeface="Arial"/>
              <a:cs typeface="Arial"/>
            </a:rPr>
            <a:t>TESORERIA</a:t>
          </a:r>
        </a:p>
      </xdr:txBody>
    </xdr:sp>
    <xdr:clientData/>
  </xdr:twoCellAnchor>
  <xdr:twoCellAnchor>
    <xdr:from>
      <xdr:col>1</xdr:col>
      <xdr:colOff>0</xdr:colOff>
      <xdr:row>64</xdr:row>
      <xdr:rowOff>133350</xdr:rowOff>
    </xdr:from>
    <xdr:to>
      <xdr:col>1</xdr:col>
      <xdr:colOff>0</xdr:colOff>
      <xdr:row>64</xdr:row>
      <xdr:rowOff>133350</xdr:rowOff>
    </xdr:to>
    <xdr:sp macro="" textlink="">
      <xdr:nvSpPr>
        <xdr:cNvPr id="15598" name="Line 11">
          <a:extLst>
            <a:ext uri="{FF2B5EF4-FFF2-40B4-BE49-F238E27FC236}">
              <a16:creationId xmlns="" xmlns:a16="http://schemas.microsoft.com/office/drawing/2014/main" id="{00000000-0008-0000-2400-0000EE3C0000}"/>
            </a:ext>
          </a:extLst>
        </xdr:cNvPr>
        <xdr:cNvSpPr>
          <a:spLocks noChangeShapeType="1"/>
        </xdr:cNvSpPr>
      </xdr:nvSpPr>
      <xdr:spPr bwMode="auto">
        <a:xfrm>
          <a:off x="438150" y="621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0</xdr:colOff>
      <xdr:row>129</xdr:row>
      <xdr:rowOff>133350</xdr:rowOff>
    </xdr:from>
    <xdr:to>
      <xdr:col>1</xdr:col>
      <xdr:colOff>0</xdr:colOff>
      <xdr:row>129</xdr:row>
      <xdr:rowOff>133350</xdr:rowOff>
    </xdr:to>
    <xdr:sp macro="" textlink="">
      <xdr:nvSpPr>
        <xdr:cNvPr id="15599" name="Line 12">
          <a:extLst>
            <a:ext uri="{FF2B5EF4-FFF2-40B4-BE49-F238E27FC236}">
              <a16:creationId xmlns="" xmlns:a16="http://schemas.microsoft.com/office/drawing/2014/main" id="{00000000-0008-0000-2400-0000EF3C0000}"/>
            </a:ext>
          </a:extLst>
        </xdr:cNvPr>
        <xdr:cNvSpPr>
          <a:spLocks noChangeShapeType="1"/>
        </xdr:cNvSpPr>
      </xdr:nvSpPr>
      <xdr:spPr bwMode="auto">
        <a:xfrm>
          <a:off x="43815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0</xdr:colOff>
      <xdr:row>124</xdr:row>
      <xdr:rowOff>0</xdr:rowOff>
    </xdr:from>
    <xdr:to>
      <xdr:col>1</xdr:col>
      <xdr:colOff>0</xdr:colOff>
      <xdr:row>124</xdr:row>
      <xdr:rowOff>0</xdr:rowOff>
    </xdr:to>
    <xdr:sp macro="" textlink="">
      <xdr:nvSpPr>
        <xdr:cNvPr id="15600" name="Line 13">
          <a:extLst>
            <a:ext uri="{FF2B5EF4-FFF2-40B4-BE49-F238E27FC236}">
              <a16:creationId xmlns="" xmlns:a16="http://schemas.microsoft.com/office/drawing/2014/main" id="{00000000-0008-0000-2400-0000F03C0000}"/>
            </a:ext>
          </a:extLst>
        </xdr:cNvPr>
        <xdr:cNvSpPr>
          <a:spLocks noChangeShapeType="1"/>
        </xdr:cNvSpPr>
      </xdr:nvSpPr>
      <xdr:spPr bwMode="auto">
        <a:xfrm>
          <a:off x="43815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19050</xdr:colOff>
      <xdr:row>3</xdr:row>
      <xdr:rowOff>19050</xdr:rowOff>
    </xdr:from>
    <xdr:to>
      <xdr:col>8</xdr:col>
      <xdr:colOff>1038225</xdr:colOff>
      <xdr:row>7</xdr:row>
      <xdr:rowOff>0</xdr:rowOff>
    </xdr:to>
    <xdr:sp macro="" textlink="">
      <xdr:nvSpPr>
        <xdr:cNvPr id="15601" name="Line 15">
          <a:extLst>
            <a:ext uri="{FF2B5EF4-FFF2-40B4-BE49-F238E27FC236}">
              <a16:creationId xmlns="" xmlns:a16="http://schemas.microsoft.com/office/drawing/2014/main" id="{00000000-0008-0000-2400-0000F13C0000}"/>
            </a:ext>
          </a:extLst>
        </xdr:cNvPr>
        <xdr:cNvSpPr>
          <a:spLocks noChangeShapeType="1"/>
        </xdr:cNvSpPr>
      </xdr:nvSpPr>
      <xdr:spPr bwMode="auto">
        <a:xfrm>
          <a:off x="2419350" y="647700"/>
          <a:ext cx="72390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77</xdr:row>
      <xdr:rowOff>19050</xdr:rowOff>
    </xdr:from>
    <xdr:to>
      <xdr:col>8</xdr:col>
      <xdr:colOff>1038225</xdr:colOff>
      <xdr:row>81</xdr:row>
      <xdr:rowOff>0</xdr:rowOff>
    </xdr:to>
    <xdr:sp macro="" textlink="">
      <xdr:nvSpPr>
        <xdr:cNvPr id="15602" name="Line 17">
          <a:extLst>
            <a:ext uri="{FF2B5EF4-FFF2-40B4-BE49-F238E27FC236}">
              <a16:creationId xmlns="" xmlns:a16="http://schemas.microsoft.com/office/drawing/2014/main" id="{00000000-0008-0000-2400-0000F23C0000}"/>
            </a:ext>
          </a:extLst>
        </xdr:cNvPr>
        <xdr:cNvSpPr>
          <a:spLocks noChangeShapeType="1"/>
        </xdr:cNvSpPr>
      </xdr:nvSpPr>
      <xdr:spPr bwMode="auto">
        <a:xfrm>
          <a:off x="2419350" y="7343775"/>
          <a:ext cx="723900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G14"/>
  <sheetViews>
    <sheetView topLeftCell="A10" workbookViewId="0">
      <selection activeCell="A12" sqref="A12:G14"/>
    </sheetView>
  </sheetViews>
  <sheetFormatPr baseColWidth="10" defaultColWidth="11.42578125" defaultRowHeight="12.75"/>
  <cols>
    <col min="2" max="2" width="18" customWidth="1"/>
    <col min="7" max="7" width="13.140625" customWidth="1"/>
  </cols>
  <sheetData>
    <row r="1" spans="1:7" ht="18" customHeight="1"/>
    <row r="2" spans="1:7" ht="165.75" customHeight="1">
      <c r="C2" s="1180" t="s">
        <v>375</v>
      </c>
      <c r="D2" s="1180"/>
      <c r="E2" s="1180"/>
      <c r="F2" s="1180"/>
      <c r="G2" s="1180"/>
    </row>
    <row r="3" spans="1:7" ht="12.75" hidden="1" customHeight="1">
      <c r="B3" s="98"/>
      <c r="C3" s="1180"/>
      <c r="D3" s="1180"/>
      <c r="E3" s="1180"/>
      <c r="F3" s="1180"/>
      <c r="G3" s="1180"/>
    </row>
    <row r="4" spans="1:7" ht="18.75" customHeight="1">
      <c r="A4" s="98"/>
      <c r="B4" s="98"/>
      <c r="C4" s="1180"/>
      <c r="D4" s="1180"/>
      <c r="E4" s="1180"/>
      <c r="F4" s="1180"/>
      <c r="G4" s="1180"/>
    </row>
    <row r="5" spans="1:7" ht="24" customHeight="1">
      <c r="A5" s="1179" t="s">
        <v>1273</v>
      </c>
      <c r="B5" s="1179"/>
      <c r="C5" s="1179"/>
      <c r="D5" s="1179"/>
      <c r="E5" s="1179"/>
      <c r="F5" s="1179"/>
      <c r="G5" s="1179"/>
    </row>
    <row r="6" spans="1:7" ht="49.5" customHeight="1">
      <c r="A6" s="1179"/>
      <c r="B6" s="1179"/>
      <c r="C6" s="1179"/>
      <c r="D6" s="1179"/>
      <c r="E6" s="1179"/>
      <c r="F6" s="1179"/>
      <c r="G6" s="1179"/>
    </row>
    <row r="7" spans="1:7" ht="12.75" customHeight="1">
      <c r="A7" s="1179"/>
      <c r="B7" s="1179"/>
      <c r="C7" s="1179"/>
      <c r="D7" s="1179"/>
      <c r="E7" s="1179"/>
      <c r="F7" s="1179"/>
      <c r="G7" s="1179"/>
    </row>
    <row r="8" spans="1:7" ht="36.75" customHeight="1">
      <c r="A8" s="1179"/>
      <c r="B8" s="1179"/>
      <c r="C8" s="1179"/>
      <c r="D8" s="1179"/>
      <c r="E8" s="1179"/>
      <c r="F8" s="1179"/>
      <c r="G8" s="1179"/>
    </row>
    <row r="9" spans="1:7">
      <c r="A9" s="1179"/>
      <c r="B9" s="1179"/>
      <c r="C9" s="1179"/>
      <c r="D9" s="1179"/>
      <c r="E9" s="1179"/>
      <c r="F9" s="1179"/>
      <c r="G9" s="1179"/>
    </row>
    <row r="10" spans="1:7">
      <c r="A10" s="1179"/>
      <c r="B10" s="1179"/>
      <c r="C10" s="1179"/>
      <c r="D10" s="1179"/>
      <c r="E10" s="1179"/>
      <c r="F10" s="1179"/>
      <c r="G10" s="1179"/>
    </row>
    <row r="11" spans="1:7" ht="172.5" customHeight="1">
      <c r="A11" s="1179"/>
      <c r="B11" s="1179"/>
      <c r="C11" s="1179"/>
      <c r="D11" s="1179"/>
      <c r="E11" s="1179"/>
      <c r="F11" s="1179"/>
      <c r="G11" s="1179"/>
    </row>
    <row r="12" spans="1:7" ht="90" customHeight="1">
      <c r="A12" s="1178"/>
      <c r="B12" s="1178"/>
      <c r="C12" s="1178"/>
      <c r="D12" s="1178"/>
      <c r="E12" s="1178"/>
      <c r="F12" s="1178"/>
      <c r="G12" s="1178"/>
    </row>
    <row r="13" spans="1:7">
      <c r="A13" s="1178"/>
      <c r="B13" s="1178"/>
      <c r="C13" s="1178"/>
      <c r="D13" s="1178"/>
      <c r="E13" s="1178"/>
      <c r="F13" s="1178"/>
      <c r="G13" s="1178"/>
    </row>
    <row r="14" spans="1:7" ht="21.75" customHeight="1">
      <c r="A14" s="1178"/>
      <c r="B14" s="1178"/>
      <c r="C14" s="1178"/>
      <c r="D14" s="1178"/>
      <c r="E14" s="1178"/>
      <c r="F14" s="1178"/>
      <c r="G14" s="1178"/>
    </row>
  </sheetData>
  <mergeCells count="3">
    <mergeCell ref="A12:G14"/>
    <mergeCell ref="A5:G11"/>
    <mergeCell ref="C2:G4"/>
  </mergeCells>
  <phoneticPr fontId="5" type="noConversion"/>
  <pageMargins left="0.75" right="0.75" top="1" bottom="1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7030A0"/>
  </sheetPr>
  <dimension ref="A1:K20"/>
  <sheetViews>
    <sheetView topLeftCell="A13" workbookViewId="0">
      <selection activeCell="B13" sqref="B13"/>
    </sheetView>
  </sheetViews>
  <sheetFormatPr baseColWidth="10" defaultColWidth="11.42578125" defaultRowHeight="12.75"/>
  <cols>
    <col min="1" max="1" width="8.42578125" style="724" customWidth="1"/>
    <col min="2" max="2" width="32.140625" style="724" customWidth="1"/>
    <col min="3" max="3" width="12.28515625" style="724" bestFit="1" customWidth="1"/>
    <col min="4" max="4" width="12.42578125" style="724" bestFit="1" customWidth="1"/>
    <col min="5" max="7" width="12.28515625" style="724" bestFit="1" customWidth="1"/>
    <col min="8" max="8" width="14.28515625" style="724" bestFit="1" customWidth="1"/>
    <col min="9" max="9" width="14.28515625" style="724" customWidth="1"/>
    <col min="10" max="10" width="12.28515625" style="480" bestFit="1" customWidth="1"/>
    <col min="11" max="16384" width="11.42578125" style="92"/>
  </cols>
  <sheetData>
    <row r="1" spans="1:11" s="1119" customFormat="1" ht="18">
      <c r="A1" s="1406" t="s">
        <v>597</v>
      </c>
      <c r="B1" s="1406"/>
      <c r="C1" s="1406"/>
      <c r="D1" s="1406"/>
      <c r="E1" s="1406"/>
      <c r="F1" s="1406"/>
      <c r="G1" s="1406"/>
      <c r="H1" s="1406"/>
      <c r="I1" s="1406"/>
      <c r="J1" s="1406"/>
    </row>
    <row r="2" spans="1:11" s="1119" customFormat="1" ht="18">
      <c r="A2" s="1406" t="s">
        <v>1289</v>
      </c>
      <c r="B2" s="1406"/>
      <c r="C2" s="1406"/>
      <c r="D2" s="1406"/>
      <c r="E2" s="1406"/>
      <c r="F2" s="1406"/>
      <c r="G2" s="1406"/>
      <c r="H2" s="1406"/>
      <c r="I2" s="1406"/>
      <c r="J2" s="1406"/>
    </row>
    <row r="3" spans="1:11" s="1119" customFormat="1" ht="18">
      <c r="A3" s="1407" t="s">
        <v>598</v>
      </c>
      <c r="B3" s="1407"/>
      <c r="C3" s="1407"/>
      <c r="D3" s="1407"/>
      <c r="E3" s="1407"/>
      <c r="F3" s="1407"/>
      <c r="G3" s="1407"/>
      <c r="H3" s="1407"/>
      <c r="I3" s="1407"/>
      <c r="J3" s="1407"/>
    </row>
    <row r="4" spans="1:11" ht="26.25" customHeight="1">
      <c r="A4" s="1408" t="s">
        <v>599</v>
      </c>
      <c r="B4" s="1408" t="s">
        <v>539</v>
      </c>
      <c r="C4" s="1408" t="s">
        <v>831</v>
      </c>
      <c r="D4" s="1408"/>
      <c r="E4" s="1408"/>
      <c r="F4" s="1408"/>
      <c r="G4" s="1408"/>
      <c r="H4" s="1408"/>
      <c r="I4" s="1098"/>
      <c r="J4" s="1409" t="s">
        <v>1125</v>
      </c>
      <c r="K4" s="742"/>
    </row>
    <row r="5" spans="1:11" ht="26.25" customHeight="1">
      <c r="A5" s="1408"/>
      <c r="B5" s="1408"/>
      <c r="C5" s="1408" t="s">
        <v>1123</v>
      </c>
      <c r="D5" s="1408"/>
      <c r="E5" s="1408"/>
      <c r="F5" s="1422" t="s">
        <v>628</v>
      </c>
      <c r="G5" s="1423"/>
      <c r="H5" s="1426" t="s">
        <v>1124</v>
      </c>
      <c r="I5" s="1427"/>
      <c r="J5" s="1409"/>
    </row>
    <row r="6" spans="1:11" ht="52.5" customHeight="1">
      <c r="A6" s="1408"/>
      <c r="B6" s="1408"/>
      <c r="C6" s="1408"/>
      <c r="D6" s="1408"/>
      <c r="E6" s="1408"/>
      <c r="F6" s="1424"/>
      <c r="G6" s="1425"/>
      <c r="H6" s="1099" t="s">
        <v>1255</v>
      </c>
      <c r="I6" s="1099" t="s">
        <v>1109</v>
      </c>
      <c r="J6" s="1409"/>
    </row>
    <row r="7" spans="1:11" ht="26.25" customHeight="1">
      <c r="A7" s="1408"/>
      <c r="B7" s="1408"/>
      <c r="C7" s="1098">
        <v>1</v>
      </c>
      <c r="D7" s="1098">
        <v>3</v>
      </c>
      <c r="E7" s="1098">
        <v>5</v>
      </c>
      <c r="F7" s="1098">
        <v>2</v>
      </c>
      <c r="G7" s="1098">
        <v>6</v>
      </c>
      <c r="H7" s="1098">
        <v>9</v>
      </c>
      <c r="I7" s="1098"/>
      <c r="J7" s="1409"/>
    </row>
    <row r="8" spans="1:11" ht="26.25" customHeight="1">
      <c r="A8" s="734">
        <v>51101</v>
      </c>
      <c r="B8" s="734" t="s">
        <v>14</v>
      </c>
      <c r="C8" s="746">
        <f>SUM('SUELDOS APROBADOS 2017'!E9:E16)</f>
        <v>114868.8</v>
      </c>
      <c r="D8" s="746">
        <f>SUM('SUELDOS APROBADOS 2017'!E17:E31)</f>
        <v>137862.12</v>
      </c>
      <c r="E8" s="746">
        <f>SUM('SUELDOS APROBADOS 2017'!E32:E36,'SUELDOS APROBADOS 2017'!E52:E69)</f>
        <v>69957.600000000006</v>
      </c>
      <c r="F8" s="746"/>
      <c r="G8" s="746">
        <f>'SUELDOS APROBADOS 2017'!E141</f>
        <v>218017.68</v>
      </c>
      <c r="H8" s="746">
        <f>SUM('SUELDOS APROBADOS 2017'!E185:E196,'SUELDOS APROBADOS 2017'!E209)</f>
        <v>55468</v>
      </c>
      <c r="I8" s="746">
        <f>'SUELDOS APROBADOS 2017'!E233</f>
        <v>6600</v>
      </c>
      <c r="J8" s="743">
        <f>SUM(C8:I8)</f>
        <v>602774.19999999995</v>
      </c>
    </row>
    <row r="9" spans="1:11" s="90" customFormat="1" ht="26.25" customHeight="1">
      <c r="A9" s="734">
        <v>51103</v>
      </c>
      <c r="B9" s="734" t="s">
        <v>15</v>
      </c>
      <c r="C9" s="746">
        <f>SUM('SUELDOS APROBADOS 2017'!F9:F16)</f>
        <v>7033.68</v>
      </c>
      <c r="D9" s="746">
        <f>SUM('SUELDOS APROBADOS 2017'!F17:F31)</f>
        <v>8610.9570000000003</v>
      </c>
      <c r="E9" s="746">
        <f>SUM('SUELDOS APROBADOS 2017'!F32:F36,'SUELDOS APROBADOS 2017'!F52:F69)</f>
        <v>5164.8</v>
      </c>
      <c r="F9" s="746"/>
      <c r="G9" s="746">
        <f>'SUELDOS APROBADOS 2017'!F141</f>
        <v>16447.212</v>
      </c>
      <c r="H9" s="1120">
        <f>'SUELDOS APROBADOS 2017'!F198+'SUELDOS APROBADOS 2017'!F210</f>
        <v>4529</v>
      </c>
      <c r="I9" s="746">
        <f>'SUELDOS APROBADOS 2017'!F233</f>
        <v>440</v>
      </c>
      <c r="J9" s="743">
        <f t="shared" ref="J9:J14" si="0">SUM(C9:I9)</f>
        <v>42225.649000000005</v>
      </c>
    </row>
    <row r="10" spans="1:11" ht="26.25" customHeight="1">
      <c r="A10" s="734">
        <v>51105</v>
      </c>
      <c r="B10" s="734" t="s">
        <v>11</v>
      </c>
      <c r="C10" s="746"/>
      <c r="D10" s="746"/>
      <c r="E10" s="746"/>
      <c r="F10" s="746">
        <f>'SUELDOS APROBADOS 2017'!E158:F158</f>
        <v>0</v>
      </c>
      <c r="G10" s="746"/>
      <c r="H10" s="746"/>
      <c r="I10" s="746"/>
      <c r="J10" s="743">
        <f t="shared" si="0"/>
        <v>0</v>
      </c>
    </row>
    <row r="11" spans="1:11" ht="26.25" customHeight="1">
      <c r="A11" s="734">
        <v>51202</v>
      </c>
      <c r="B11" s="734"/>
      <c r="C11" s="746"/>
      <c r="D11" s="746"/>
      <c r="E11" s="746"/>
      <c r="F11" s="746"/>
      <c r="G11" s="746"/>
      <c r="H11" s="746">
        <f>'SUELDOS APROBADOS 2017'!E197</f>
        <v>54432</v>
      </c>
      <c r="I11" s="746"/>
      <c r="J11" s="743">
        <f t="shared" si="0"/>
        <v>54432</v>
      </c>
    </row>
    <row r="12" spans="1:11" ht="26.25" customHeight="1">
      <c r="A12" s="734">
        <v>51401</v>
      </c>
      <c r="B12" s="734" t="s">
        <v>1408</v>
      </c>
      <c r="C12" s="746">
        <f>SUM('SUELDOS APROBADOS 2017'!H9:H16)</f>
        <v>6084</v>
      </c>
      <c r="D12" s="746">
        <f>SUM('SUELDOS APROBADOS 2017'!H17:H31)</f>
        <v>10168.659</v>
      </c>
      <c r="E12" s="746">
        <f>SUM('SUELDOS APROBADOS 2017'!H32:H36,'SUELDOS APROBADOS 2017'!H52:H69)</f>
        <v>5246.8200000000006</v>
      </c>
      <c r="F12" s="746">
        <f>'SUELDOS APROBADOS 2017'!H157</f>
        <v>9720</v>
      </c>
      <c r="G12" s="746">
        <f>'SUELDOS APROBADOS 2017'!J141+'SUELDOS APROBADOS 2017'!H141</f>
        <v>16656.966</v>
      </c>
      <c r="H12" s="746">
        <f>'SUELDOS APROBADOS 2017'!H198+'SUELDOS APROBADOS 2017'!J198+'SUELDOS APROBADOS 2017'!H210</f>
        <v>4912.5</v>
      </c>
      <c r="I12" s="746">
        <f>'SUELDOS APROBADOS 2017'!H232</f>
        <v>495</v>
      </c>
      <c r="J12" s="743">
        <f t="shared" si="0"/>
        <v>53283.945</v>
      </c>
    </row>
    <row r="13" spans="1:11" ht="26.25" customHeight="1">
      <c r="A13" s="734">
        <v>51501</v>
      </c>
      <c r="B13" s="734" t="s">
        <v>627</v>
      </c>
      <c r="C13" s="746">
        <f>SUM('SUELDOS APROBADOS 2017'!G9:G16)</f>
        <v>7753.6439999999993</v>
      </c>
      <c r="D13" s="746">
        <f>SUM('SUELDOS APROBADOS 2017'!G17:G31)</f>
        <v>9305.6931000000004</v>
      </c>
      <c r="E13" s="746">
        <f>SUM('SUELDOS APROBADOS 2017'!G32:G36,'SUELDOS APROBADOS 2017'!G52:G69)</f>
        <v>4722.1380000000008</v>
      </c>
      <c r="F13" s="746">
        <f>'SUELDOS APROBADOS 2017'!G157</f>
        <v>8748</v>
      </c>
      <c r="G13" s="746">
        <f>'SUELDOS APROBADOS 2017'!G141</f>
        <v>14179.973399999999</v>
      </c>
      <c r="H13" s="746">
        <f>'SUELDOS APROBADOS 2017'!G210+'SUELDOS APROBADOS 2017'!G198</f>
        <v>2897.6400000000003</v>
      </c>
      <c r="I13" s="746">
        <f>'SUELDOS APROBADOS 2017'!G232</f>
        <v>445.50000000000006</v>
      </c>
      <c r="J13" s="743">
        <f t="shared" si="0"/>
        <v>48052.588499999998</v>
      </c>
    </row>
    <row r="14" spans="1:11" ht="26.25" customHeight="1">
      <c r="A14" s="1078">
        <v>56201</v>
      </c>
      <c r="B14" s="1078" t="s">
        <v>642</v>
      </c>
      <c r="C14" s="1079"/>
      <c r="D14" s="1079"/>
      <c r="E14" s="1079"/>
      <c r="F14" s="1079"/>
      <c r="G14" s="1079">
        <v>6775.55</v>
      </c>
      <c r="H14" s="1079"/>
      <c r="I14" s="1079"/>
      <c r="J14" s="743">
        <f t="shared" si="0"/>
        <v>6775.55</v>
      </c>
    </row>
    <row r="15" spans="1:11" s="480" customFormat="1" ht="26.25" customHeight="1" thickBot="1">
      <c r="A15" s="747" t="s">
        <v>395</v>
      </c>
      <c r="B15" s="747"/>
      <c r="C15" s="744">
        <f t="shared" ref="C15:H15" si="1">SUM(C8:C13)</f>
        <v>135740.12400000001</v>
      </c>
      <c r="D15" s="744">
        <f t="shared" si="1"/>
        <v>165947.42909999998</v>
      </c>
      <c r="E15" s="744">
        <f t="shared" si="1"/>
        <v>85091.358000000022</v>
      </c>
      <c r="F15" s="744">
        <f t="shared" si="1"/>
        <v>18468</v>
      </c>
      <c r="G15" s="744">
        <f>SUM(G8:G14)</f>
        <v>272077.38140000001</v>
      </c>
      <c r="H15" s="744">
        <f t="shared" si="1"/>
        <v>122239.14</v>
      </c>
      <c r="I15" s="744">
        <f>SUM(I8:I14)</f>
        <v>7980.5</v>
      </c>
      <c r="J15" s="745">
        <f>SUM(C15:I15)</f>
        <v>807543.9325</v>
      </c>
    </row>
    <row r="16" spans="1:11" ht="26.25" customHeight="1" thickBot="1">
      <c r="A16" s="533" t="s">
        <v>804</v>
      </c>
      <c r="B16" s="748"/>
      <c r="C16" s="1416">
        <f>SUM(C15:E15)</f>
        <v>386778.91110000003</v>
      </c>
      <c r="D16" s="1416"/>
      <c r="E16" s="1417"/>
      <c r="F16" s="1418">
        <f>SUM(F15:G15)</f>
        <v>290545.38140000001</v>
      </c>
      <c r="G16" s="1419"/>
      <c r="H16" s="1410">
        <f>SUM(H15:H15,I15)</f>
        <v>130219.64</v>
      </c>
      <c r="I16" s="1410"/>
      <c r="J16" s="1411"/>
    </row>
    <row r="17" spans="1:10" ht="26.25" customHeight="1" thickBot="1">
      <c r="A17" s="395" t="s">
        <v>1126</v>
      </c>
      <c r="B17" s="1121"/>
      <c r="C17" s="1121"/>
      <c r="D17" s="1121"/>
      <c r="E17" s="1121"/>
      <c r="F17" s="1420"/>
      <c r="G17" s="1421"/>
      <c r="H17" s="1412"/>
      <c r="I17" s="1412"/>
      <c r="J17" s="1413"/>
    </row>
    <row r="18" spans="1:10" ht="26.25" customHeight="1" thickBot="1">
      <c r="A18" s="395" t="s">
        <v>936</v>
      </c>
      <c r="B18" s="1121"/>
      <c r="C18" s="1121"/>
      <c r="D18" s="1121"/>
      <c r="E18" s="1121"/>
      <c r="F18" s="1121"/>
      <c r="G18" s="1121"/>
      <c r="H18" s="1414"/>
      <c r="I18" s="1414"/>
      <c r="J18" s="1415"/>
    </row>
    <row r="19" spans="1:10" ht="15" customHeight="1"/>
    <row r="20" spans="1:10" hidden="1">
      <c r="D20" s="1122">
        <f>C16+F16+H16</f>
        <v>807543.9325</v>
      </c>
    </row>
  </sheetData>
  <mergeCells count="13">
    <mergeCell ref="H16:J18"/>
    <mergeCell ref="C16:E16"/>
    <mergeCell ref="F16:G17"/>
    <mergeCell ref="B4:B7"/>
    <mergeCell ref="A4:A7"/>
    <mergeCell ref="F5:G6"/>
    <mergeCell ref="H5:I5"/>
    <mergeCell ref="A1:J1"/>
    <mergeCell ref="A2:J2"/>
    <mergeCell ref="A3:J3"/>
    <mergeCell ref="C5:E6"/>
    <mergeCell ref="C4:H4"/>
    <mergeCell ref="J4:J7"/>
  </mergeCells>
  <phoneticPr fontId="5" type="noConversion"/>
  <pageMargins left="1.0900000000000001" right="0.17" top="0.9" bottom="0.34" header="0" footer="0"/>
  <pageSetup scale="7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153"/>
  <sheetViews>
    <sheetView topLeftCell="A130" zoomScale="75" workbookViewId="0">
      <selection activeCell="I130" sqref="I1:I1048576"/>
    </sheetView>
  </sheetViews>
  <sheetFormatPr baseColWidth="10" defaultColWidth="11.42578125" defaultRowHeight="12.75"/>
  <cols>
    <col min="1" max="1" width="8.5703125" style="106" customWidth="1"/>
    <col min="2" max="2" width="34.5703125" style="106" customWidth="1"/>
    <col min="3" max="3" width="4.85546875" style="106" customWidth="1"/>
    <col min="4" max="4" width="33.7109375" style="106" customWidth="1"/>
    <col min="5" max="5" width="11.42578125" style="106"/>
    <col min="6" max="6" width="19" style="106" customWidth="1"/>
    <col min="7" max="7" width="18.28515625" style="106" customWidth="1"/>
    <col min="8" max="8" width="11.42578125" style="37"/>
    <col min="9" max="9" width="15" style="37" hidden="1" customWidth="1"/>
    <col min="10" max="16384" width="11.42578125" style="37"/>
  </cols>
  <sheetData>
    <row r="1" spans="2:7">
      <c r="B1" s="1428"/>
      <c r="C1" s="1428"/>
      <c r="D1" s="1428"/>
      <c r="E1" s="1428"/>
      <c r="F1" s="1428"/>
      <c r="G1" s="1428"/>
    </row>
    <row r="2" spans="2:7">
      <c r="B2" s="1428" t="s">
        <v>6</v>
      </c>
      <c r="C2" s="1428"/>
      <c r="D2" s="1428"/>
      <c r="E2" s="1428"/>
      <c r="F2" s="1428"/>
      <c r="G2" s="1428"/>
    </row>
    <row r="3" spans="2:7">
      <c r="B3" s="1428" t="s">
        <v>387</v>
      </c>
      <c r="C3" s="1428"/>
      <c r="D3" s="1428"/>
      <c r="E3" s="1428"/>
      <c r="F3" s="1428"/>
      <c r="G3" s="1428"/>
    </row>
    <row r="4" spans="2:7">
      <c r="B4" s="1428" t="s">
        <v>388</v>
      </c>
      <c r="C4" s="1428"/>
      <c r="D4" s="1428"/>
      <c r="E4" s="1428"/>
      <c r="F4" s="1428"/>
      <c r="G4" s="1428"/>
    </row>
    <row r="6" spans="2:7" ht="25.5" customHeight="1">
      <c r="B6" s="136" t="s">
        <v>7</v>
      </c>
      <c r="C6" s="111"/>
      <c r="D6" s="110" t="s">
        <v>389</v>
      </c>
      <c r="E6" s="111"/>
      <c r="F6" s="111"/>
      <c r="G6" s="112"/>
    </row>
    <row r="7" spans="2:7">
      <c r="B7" s="716" t="s">
        <v>1394</v>
      </c>
      <c r="D7" s="716" t="s">
        <v>1396</v>
      </c>
      <c r="G7" s="109"/>
    </row>
    <row r="8" spans="2:7" ht="9" customHeight="1">
      <c r="B8" s="110"/>
      <c r="C8" s="124"/>
      <c r="D8" s="124"/>
      <c r="E8" s="124"/>
      <c r="F8" s="124"/>
      <c r="G8" s="112"/>
    </row>
    <row r="9" spans="2:7" ht="15.75" customHeight="1">
      <c r="B9" s="137" t="s">
        <v>390</v>
      </c>
      <c r="C9" s="1441" t="s">
        <v>356</v>
      </c>
      <c r="D9" s="1441"/>
      <c r="E9" s="1441"/>
      <c r="F9" s="1441"/>
      <c r="G9" s="1442"/>
    </row>
    <row r="10" spans="2:7" ht="18.75" customHeight="1">
      <c r="B10" s="137"/>
      <c r="C10" s="1443"/>
      <c r="D10" s="1443"/>
      <c r="E10" s="1443"/>
      <c r="F10" s="1443"/>
      <c r="G10" s="1444"/>
    </row>
    <row r="11" spans="2:7">
      <c r="B11" s="137"/>
      <c r="C11" s="1443"/>
      <c r="D11" s="1443"/>
      <c r="E11" s="1443"/>
      <c r="F11" s="1443"/>
      <c r="G11" s="1444"/>
    </row>
    <row r="12" spans="2:7" ht="13.5" thickBot="1">
      <c r="B12" s="137"/>
      <c r="G12" s="109"/>
    </row>
    <row r="13" spans="2:7">
      <c r="B13" s="138" t="s">
        <v>740</v>
      </c>
      <c r="C13" s="1454" t="s">
        <v>261</v>
      </c>
      <c r="D13" s="1454"/>
      <c r="E13" s="1454"/>
      <c r="F13" s="1454"/>
      <c r="G13" s="1455"/>
    </row>
    <row r="14" spans="2:7">
      <c r="B14" s="137"/>
      <c r="C14" s="1439"/>
      <c r="D14" s="1439"/>
      <c r="E14" s="1439"/>
      <c r="F14" s="1439"/>
      <c r="G14" s="1440"/>
    </row>
    <row r="15" spans="2:7">
      <c r="B15" s="137"/>
      <c r="G15" s="139"/>
    </row>
    <row r="16" spans="2:7">
      <c r="B16" s="137"/>
      <c r="G16" s="139"/>
    </row>
    <row r="17" spans="2:7" ht="13.5" thickBot="1">
      <c r="B17" s="140"/>
      <c r="C17" s="141"/>
      <c r="D17" s="141"/>
      <c r="E17" s="141"/>
      <c r="F17" s="141"/>
      <c r="G17" s="142"/>
    </row>
    <row r="18" spans="2:7">
      <c r="B18" s="1452" t="s">
        <v>256</v>
      </c>
      <c r="C18" s="143"/>
      <c r="D18" s="143" t="s">
        <v>357</v>
      </c>
      <c r="E18" s="143"/>
      <c r="F18" s="143"/>
      <c r="G18" s="144"/>
    </row>
    <row r="19" spans="2:7">
      <c r="B19" s="1453"/>
      <c r="D19" s="1456" t="s">
        <v>262</v>
      </c>
      <c r="E19" s="1456"/>
      <c r="F19" s="1456"/>
      <c r="G19" s="1457"/>
    </row>
    <row r="20" spans="2:7">
      <c r="B20" s="137"/>
      <c r="D20" s="1456"/>
      <c r="E20" s="1456"/>
      <c r="F20" s="1456"/>
      <c r="G20" s="1457"/>
    </row>
    <row r="21" spans="2:7">
      <c r="B21" s="137"/>
      <c r="D21" s="1439" t="s">
        <v>257</v>
      </c>
      <c r="E21" s="1439"/>
      <c r="F21" s="1439"/>
      <c r="G21" s="1440"/>
    </row>
    <row r="22" spans="2:7">
      <c r="B22" s="137"/>
      <c r="D22" s="1439"/>
      <c r="E22" s="1439"/>
      <c r="F22" s="1439"/>
      <c r="G22" s="1440"/>
    </row>
    <row r="23" spans="2:7">
      <c r="B23" s="137"/>
      <c r="G23" s="139"/>
    </row>
    <row r="24" spans="2:7" ht="13.5" thickBot="1">
      <c r="B24" s="140"/>
      <c r="C24" s="141"/>
      <c r="D24" s="141"/>
      <c r="E24" s="141"/>
      <c r="F24" s="141"/>
      <c r="G24" s="142"/>
    </row>
    <row r="25" spans="2:7" ht="13.5" thickBot="1">
      <c r="B25" s="108" t="s">
        <v>393</v>
      </c>
      <c r="G25" s="109"/>
    </row>
    <row r="26" spans="2:7">
      <c r="B26" s="110" t="s">
        <v>394</v>
      </c>
      <c r="C26" s="111"/>
      <c r="D26" s="111"/>
      <c r="E26" s="111"/>
      <c r="F26" s="1450" t="s">
        <v>396</v>
      </c>
      <c r="G26" s="1451"/>
    </row>
    <row r="27" spans="2:7">
      <c r="B27" s="137" t="s">
        <v>379</v>
      </c>
      <c r="F27" s="1446">
        <f>'Plan 2'!F38:G38</f>
        <v>554719.94309999992</v>
      </c>
      <c r="G27" s="1447"/>
    </row>
    <row r="28" spans="2:7">
      <c r="B28" s="137"/>
      <c r="F28" s="1448"/>
      <c r="G28" s="1449"/>
    </row>
    <row r="29" spans="2:7">
      <c r="B29" s="137"/>
      <c r="F29" s="137"/>
      <c r="G29" s="139"/>
    </row>
    <row r="30" spans="2:7">
      <c r="B30" s="137" t="s">
        <v>378</v>
      </c>
      <c r="F30" s="1448">
        <f>'Plan 2'!F77:G77</f>
        <v>719459.13939999999</v>
      </c>
      <c r="G30" s="1449"/>
    </row>
    <row r="31" spans="2:7">
      <c r="B31" s="137"/>
      <c r="F31" s="1448"/>
      <c r="G31" s="1449"/>
    </row>
    <row r="32" spans="2:7">
      <c r="B32" s="137"/>
      <c r="F32" s="1448"/>
      <c r="G32" s="1449"/>
    </row>
    <row r="33" spans="2:7" ht="13.5" thickBot="1">
      <c r="B33" s="140"/>
      <c r="C33" s="141"/>
      <c r="D33" s="145" t="s">
        <v>395</v>
      </c>
      <c r="E33" s="141"/>
      <c r="F33" s="1445">
        <f>F30+F27</f>
        <v>1274179.0825</v>
      </c>
      <c r="G33" s="1435"/>
    </row>
    <row r="34" spans="2:7">
      <c r="D34" s="134"/>
      <c r="F34" s="146"/>
      <c r="G34" s="146"/>
    </row>
    <row r="35" spans="2:7">
      <c r="B35" s="718" t="s">
        <v>1251</v>
      </c>
    </row>
    <row r="36" spans="2:7">
      <c r="B36" s="106" t="s">
        <v>442</v>
      </c>
    </row>
    <row r="37" spans="2:7">
      <c r="D37" s="106" t="s">
        <v>443</v>
      </c>
    </row>
    <row r="40" spans="2:7" ht="19.5" customHeight="1"/>
    <row r="41" spans="2:7">
      <c r="B41" s="1428" t="str">
        <f>B2</f>
        <v xml:space="preserve">1- PLAN ANUAL DE TRABAJO </v>
      </c>
      <c r="C41" s="1428"/>
      <c r="D41" s="1428"/>
      <c r="E41" s="1428"/>
      <c r="F41" s="1428"/>
      <c r="G41" s="1428"/>
    </row>
    <row r="42" spans="2:7">
      <c r="B42" s="1429" t="s">
        <v>1397</v>
      </c>
      <c r="C42" s="1428"/>
      <c r="D42" s="1428"/>
      <c r="E42" s="1428"/>
      <c r="F42" s="1428"/>
      <c r="G42" s="1428"/>
    </row>
    <row r="43" spans="2:7">
      <c r="B43" s="1428" t="s">
        <v>388</v>
      </c>
      <c r="C43" s="1428"/>
      <c r="D43" s="1428"/>
      <c r="E43" s="1428"/>
      <c r="F43" s="1428"/>
      <c r="G43" s="1428"/>
    </row>
    <row r="45" spans="2:7" ht="24.75" customHeight="1">
      <c r="B45" s="147" t="str">
        <f>B6</f>
        <v>(1) INSTITUCION: 9202 ALCALDIA MUNICIPAL DE CIUDAD BARRIOS</v>
      </c>
      <c r="C45" s="111"/>
      <c r="D45" s="722" t="s">
        <v>1030</v>
      </c>
      <c r="E45" s="111"/>
      <c r="F45" s="111"/>
      <c r="G45" s="112"/>
    </row>
    <row r="46" spans="2:7">
      <c r="B46" s="108" t="str">
        <f>B7</f>
        <v>(2) EJERCICIO FINANCIERO FISCAL: 2017</v>
      </c>
      <c r="D46" s="108" t="str">
        <f>D7</f>
        <v>(4) FECHA DE ELABORACION:  DICIEMBRE DE 2016</v>
      </c>
      <c r="G46" s="109"/>
    </row>
    <row r="47" spans="2:7">
      <c r="B47" s="110"/>
      <c r="C47" s="124"/>
      <c r="D47" s="124"/>
      <c r="E47" s="124"/>
      <c r="F47" s="124"/>
      <c r="G47" s="112"/>
    </row>
    <row r="48" spans="2:7">
      <c r="B48" s="137" t="s">
        <v>390</v>
      </c>
      <c r="C48" s="1460" t="s">
        <v>1031</v>
      </c>
      <c r="D48" s="1461"/>
      <c r="E48" s="1461"/>
      <c r="F48" s="1461"/>
      <c r="G48" s="1462"/>
    </row>
    <row r="49" spans="2:8">
      <c r="B49" s="137"/>
      <c r="C49" s="1463"/>
      <c r="D49" s="1463"/>
      <c r="E49" s="1463"/>
      <c r="F49" s="1463"/>
      <c r="G49" s="1464"/>
    </row>
    <row r="50" spans="2:8">
      <c r="B50" s="137"/>
      <c r="C50" s="1463"/>
      <c r="D50" s="1463"/>
      <c r="E50" s="1463"/>
      <c r="F50" s="1463"/>
      <c r="G50" s="1464"/>
    </row>
    <row r="51" spans="2:8" ht="13.5" thickBot="1">
      <c r="B51" s="137"/>
      <c r="C51" s="1465"/>
      <c r="D51" s="1465"/>
      <c r="E51" s="1465"/>
      <c r="F51" s="1465"/>
      <c r="G51" s="1466"/>
    </row>
    <row r="52" spans="2:8" ht="12.75" customHeight="1">
      <c r="B52" s="138" t="s">
        <v>391</v>
      </c>
      <c r="C52" s="1468" t="s">
        <v>578</v>
      </c>
      <c r="D52" s="1468"/>
      <c r="E52" s="1468"/>
      <c r="F52" s="1468"/>
      <c r="G52" s="1469"/>
    </row>
    <row r="53" spans="2:8">
      <c r="B53" s="137"/>
      <c r="C53" s="1456"/>
      <c r="D53" s="1456"/>
      <c r="E53" s="1456"/>
      <c r="F53" s="1456"/>
      <c r="G53" s="1457"/>
    </row>
    <row r="54" spans="2:8" ht="12.75" customHeight="1">
      <c r="B54" s="137"/>
      <c r="C54" s="1463"/>
      <c r="D54" s="1463"/>
      <c r="E54" s="1463"/>
      <c r="F54" s="1463"/>
      <c r="G54" s="1457"/>
    </row>
    <row r="55" spans="2:8">
      <c r="B55" s="137"/>
      <c r="G55" s="139"/>
    </row>
    <row r="56" spans="2:8" ht="13.5" thickBot="1">
      <c r="B56" s="140"/>
      <c r="C56" s="141"/>
      <c r="D56" s="141"/>
      <c r="E56" s="141"/>
      <c r="F56" s="141"/>
      <c r="G56" s="142"/>
    </row>
    <row r="57" spans="2:8" ht="12.75" customHeight="1">
      <c r="B57" s="1458" t="s">
        <v>258</v>
      </c>
      <c r="C57" s="1467" t="s">
        <v>1032</v>
      </c>
      <c r="D57" s="1468"/>
      <c r="E57" s="1468"/>
      <c r="F57" s="1468"/>
      <c r="G57" s="1469"/>
    </row>
    <row r="58" spans="2:8">
      <c r="B58" s="1459"/>
      <c r="C58" s="1456"/>
      <c r="D58" s="1456"/>
      <c r="E58" s="1456"/>
      <c r="F58" s="1456"/>
      <c r="G58" s="1457"/>
    </row>
    <row r="59" spans="2:8" ht="12.75" customHeight="1">
      <c r="B59" s="137"/>
      <c r="G59" s="139"/>
    </row>
    <row r="60" spans="2:8">
      <c r="B60" s="137"/>
      <c r="G60" s="139"/>
    </row>
    <row r="61" spans="2:8" ht="12.75" customHeight="1">
      <c r="B61" s="137"/>
      <c r="C61" s="1470" t="s">
        <v>1033</v>
      </c>
      <c r="D61" s="1456"/>
      <c r="E61" s="1456"/>
      <c r="F61" s="1456"/>
      <c r="G61" s="1457"/>
      <c r="H61" s="97"/>
    </row>
    <row r="62" spans="2:8" ht="12.75" customHeight="1">
      <c r="B62" s="137"/>
      <c r="C62" s="1456"/>
      <c r="D62" s="1456"/>
      <c r="E62" s="1456"/>
      <c r="F62" s="1456"/>
      <c r="G62" s="1457"/>
      <c r="H62" s="97"/>
    </row>
    <row r="63" spans="2:8" ht="12.75" customHeight="1">
      <c r="B63" s="137"/>
      <c r="C63" s="1456"/>
      <c r="D63" s="1456"/>
      <c r="E63" s="1456"/>
      <c r="F63" s="1456"/>
      <c r="G63" s="1457"/>
      <c r="H63" s="97"/>
    </row>
    <row r="64" spans="2:8" ht="13.5" thickBot="1">
      <c r="B64" s="140"/>
      <c r="C64" s="1465"/>
      <c r="D64" s="1465"/>
      <c r="E64" s="1465"/>
      <c r="F64" s="1465"/>
      <c r="G64" s="1471"/>
      <c r="H64" s="97"/>
    </row>
    <row r="65" spans="2:8">
      <c r="B65" s="137"/>
      <c r="D65" s="128"/>
      <c r="E65" s="128"/>
      <c r="F65" s="128"/>
      <c r="G65" s="128"/>
      <c r="H65" s="97"/>
    </row>
    <row r="66" spans="2:8">
      <c r="B66" s="114" t="s">
        <v>393</v>
      </c>
      <c r="C66" s="124"/>
      <c r="D66" s="124"/>
      <c r="E66" s="124"/>
      <c r="F66" s="124"/>
      <c r="G66" s="148"/>
    </row>
    <row r="67" spans="2:8">
      <c r="B67" s="110" t="s">
        <v>394</v>
      </c>
      <c r="C67" s="111"/>
      <c r="D67" s="111"/>
      <c r="E67" s="111"/>
      <c r="F67" s="1430" t="s">
        <v>396</v>
      </c>
      <c r="G67" s="1431"/>
    </row>
    <row r="68" spans="2:8">
      <c r="B68" s="137" t="s">
        <v>8</v>
      </c>
      <c r="F68" s="1432">
        <f>'Plan 2'!F118:G118</f>
        <v>619409.42599999998</v>
      </c>
      <c r="G68" s="1433"/>
    </row>
    <row r="69" spans="2:8">
      <c r="B69" s="137"/>
      <c r="F69" s="1436"/>
      <c r="G69" s="1437"/>
    </row>
    <row r="70" spans="2:8">
      <c r="B70" s="137"/>
      <c r="F70" s="1436"/>
      <c r="G70" s="1437"/>
    </row>
    <row r="71" spans="2:8">
      <c r="B71" s="137"/>
      <c r="F71" s="1436"/>
      <c r="G71" s="1437"/>
    </row>
    <row r="72" spans="2:8">
      <c r="B72" s="137"/>
      <c r="F72" s="1436"/>
      <c r="G72" s="1437"/>
    </row>
    <row r="73" spans="2:8">
      <c r="B73" s="137"/>
      <c r="E73" s="139"/>
      <c r="F73" s="1438"/>
      <c r="G73" s="1437"/>
    </row>
    <row r="74" spans="2:8" ht="13.5" thickBot="1">
      <c r="B74" s="140"/>
      <c r="C74" s="141"/>
      <c r="D74" s="145" t="s">
        <v>395</v>
      </c>
      <c r="E74" s="142"/>
      <c r="F74" s="1434">
        <f>F68</f>
        <v>619409.42599999998</v>
      </c>
      <c r="G74" s="1435"/>
    </row>
    <row r="75" spans="2:8">
      <c r="D75" s="134"/>
      <c r="F75" s="146"/>
      <c r="G75" s="146"/>
    </row>
    <row r="76" spans="2:8">
      <c r="B76" s="106" t="str">
        <f>B35</f>
        <v>(11)NOMBRE DEL RESPONSABLE: HERIS NEFTALI ROMERO CARBALLO</v>
      </c>
    </row>
    <row r="77" spans="2:8">
      <c r="B77" s="106" t="s">
        <v>442</v>
      </c>
    </row>
    <row r="78" spans="2:8">
      <c r="D78" s="106" t="s">
        <v>443</v>
      </c>
    </row>
    <row r="79" spans="2:8" ht="32.25" customHeight="1"/>
    <row r="80" spans="2:8">
      <c r="B80" s="1428" t="str">
        <f>B41</f>
        <v xml:space="preserve">1- PLAN ANUAL DE TRABAJO </v>
      </c>
      <c r="C80" s="1428"/>
      <c r="D80" s="1428"/>
      <c r="E80" s="1428"/>
      <c r="F80" s="1428"/>
      <c r="G80" s="1428"/>
    </row>
    <row r="81" spans="2:7">
      <c r="B81" s="1429" t="s">
        <v>1398</v>
      </c>
      <c r="C81" s="1428"/>
      <c r="D81" s="1428"/>
      <c r="E81" s="1428"/>
      <c r="F81" s="1428"/>
      <c r="G81" s="1428"/>
    </row>
    <row r="82" spans="2:7">
      <c r="B82" s="1428" t="s">
        <v>388</v>
      </c>
      <c r="C82" s="1428"/>
      <c r="D82" s="1428"/>
      <c r="E82" s="1428"/>
      <c r="F82" s="1428"/>
      <c r="G82" s="1428"/>
    </row>
    <row r="84" spans="2:7" ht="25.5">
      <c r="B84" s="136" t="s">
        <v>7</v>
      </c>
      <c r="C84" s="111"/>
      <c r="D84" s="722" t="s">
        <v>1034</v>
      </c>
      <c r="E84" s="111"/>
      <c r="F84" s="111"/>
      <c r="G84" s="112"/>
    </row>
    <row r="85" spans="2:7">
      <c r="B85" s="716" t="str">
        <f>B46</f>
        <v>(2) EJERCICIO FINANCIERO FISCAL: 2017</v>
      </c>
      <c r="D85" s="716" t="str">
        <f>D46</f>
        <v>(4) FECHA DE ELABORACION:  DICIEMBRE DE 2016</v>
      </c>
      <c r="G85" s="109"/>
    </row>
    <row r="86" spans="2:7">
      <c r="B86" s="110"/>
      <c r="C86" s="124"/>
      <c r="D86" s="124"/>
      <c r="E86" s="124"/>
      <c r="F86" s="124"/>
      <c r="G86" s="112"/>
    </row>
    <row r="87" spans="2:7">
      <c r="B87" s="137" t="s">
        <v>390</v>
      </c>
      <c r="C87" s="1460" t="s">
        <v>1035</v>
      </c>
      <c r="D87" s="1461"/>
      <c r="E87" s="1461"/>
      <c r="F87" s="1461"/>
      <c r="G87" s="1462"/>
    </row>
    <row r="88" spans="2:7">
      <c r="B88" s="137"/>
      <c r="C88" s="1463"/>
      <c r="D88" s="1463"/>
      <c r="E88" s="1463"/>
      <c r="F88" s="1463"/>
      <c r="G88" s="1464"/>
    </row>
    <row r="89" spans="2:7">
      <c r="B89" s="137"/>
      <c r="C89" s="1463"/>
      <c r="D89" s="1463"/>
      <c r="E89" s="1463"/>
      <c r="F89" s="1463"/>
      <c r="G89" s="1464"/>
    </row>
    <row r="90" spans="2:7" ht="13.5" thickBot="1">
      <c r="B90" s="137"/>
      <c r="C90" s="1465"/>
      <c r="D90" s="1465"/>
      <c r="E90" s="1465"/>
      <c r="F90" s="1465"/>
      <c r="G90" s="1466"/>
    </row>
    <row r="91" spans="2:7">
      <c r="B91" s="138" t="s">
        <v>391</v>
      </c>
      <c r="C91" s="1468" t="s">
        <v>578</v>
      </c>
      <c r="D91" s="1468"/>
      <c r="E91" s="1468"/>
      <c r="F91" s="1468"/>
      <c r="G91" s="1469"/>
    </row>
    <row r="92" spans="2:7">
      <c r="B92" s="137"/>
      <c r="C92" s="1456"/>
      <c r="D92" s="1456"/>
      <c r="E92" s="1456"/>
      <c r="F92" s="1456"/>
      <c r="G92" s="1457"/>
    </row>
    <row r="93" spans="2:7">
      <c r="B93" s="137"/>
      <c r="C93" s="1463"/>
      <c r="D93" s="1463"/>
      <c r="E93" s="1463"/>
      <c r="F93" s="1463"/>
      <c r="G93" s="1457"/>
    </row>
    <row r="94" spans="2:7">
      <c r="B94" s="137"/>
      <c r="G94" s="139"/>
    </row>
    <row r="95" spans="2:7" ht="13.5" thickBot="1">
      <c r="B95" s="140"/>
      <c r="C95" s="141"/>
      <c r="D95" s="141"/>
      <c r="E95" s="141"/>
      <c r="F95" s="141"/>
      <c r="G95" s="142"/>
    </row>
    <row r="96" spans="2:7">
      <c r="B96" s="1458" t="s">
        <v>258</v>
      </c>
      <c r="C96" s="1467" t="s">
        <v>1036</v>
      </c>
      <c r="D96" s="1468"/>
      <c r="E96" s="1468"/>
      <c r="F96" s="1468"/>
      <c r="G96" s="1469"/>
    </row>
    <row r="97" spans="2:7">
      <c r="B97" s="1459"/>
      <c r="C97" s="1456"/>
      <c r="D97" s="1456"/>
      <c r="E97" s="1456"/>
      <c r="F97" s="1456"/>
      <c r="G97" s="1457"/>
    </row>
    <row r="98" spans="2:7">
      <c r="B98" s="137"/>
      <c r="G98" s="139"/>
    </row>
    <row r="99" spans="2:7">
      <c r="B99" s="137"/>
      <c r="G99" s="139"/>
    </row>
    <row r="100" spans="2:7">
      <c r="B100" s="137"/>
      <c r="C100" s="1470"/>
      <c r="D100" s="1456"/>
      <c r="E100" s="1456"/>
      <c r="F100" s="1456"/>
      <c r="G100" s="1457"/>
    </row>
    <row r="101" spans="2:7">
      <c r="B101" s="137"/>
      <c r="C101" s="1456"/>
      <c r="D101" s="1456"/>
      <c r="E101" s="1456"/>
      <c r="F101" s="1456"/>
      <c r="G101" s="1457"/>
    </row>
    <row r="102" spans="2:7">
      <c r="B102" s="137"/>
      <c r="C102" s="1456"/>
      <c r="D102" s="1456"/>
      <c r="E102" s="1456"/>
      <c r="F102" s="1456"/>
      <c r="G102" s="1457"/>
    </row>
    <row r="103" spans="2:7" ht="13.5" thickBot="1">
      <c r="B103" s="140"/>
      <c r="C103" s="1465"/>
      <c r="D103" s="1465"/>
      <c r="E103" s="1465"/>
      <c r="F103" s="1465"/>
      <c r="G103" s="1471"/>
    </row>
    <row r="104" spans="2:7">
      <c r="B104" s="137"/>
      <c r="D104" s="619"/>
      <c r="E104" s="619"/>
      <c r="F104" s="619"/>
      <c r="G104" s="619"/>
    </row>
    <row r="105" spans="2:7">
      <c r="B105" s="114" t="s">
        <v>393</v>
      </c>
      <c r="C105" s="124"/>
      <c r="D105" s="124"/>
      <c r="E105" s="124"/>
      <c r="F105" s="124"/>
      <c r="G105" s="148"/>
    </row>
    <row r="106" spans="2:7">
      <c r="B106" s="110" t="s">
        <v>394</v>
      </c>
      <c r="C106" s="111"/>
      <c r="D106" s="111"/>
      <c r="E106" s="111"/>
      <c r="F106" s="1430" t="s">
        <v>396</v>
      </c>
      <c r="G106" s="1431"/>
    </row>
    <row r="107" spans="2:7">
      <c r="B107" s="723" t="s">
        <v>1037</v>
      </c>
      <c r="F107" s="1432">
        <f>'Plan 2'!F153:G153</f>
        <v>3426000</v>
      </c>
      <c r="G107" s="1433"/>
    </row>
    <row r="108" spans="2:7">
      <c r="B108" s="137"/>
      <c r="F108" s="1436"/>
      <c r="G108" s="1437"/>
    </row>
    <row r="109" spans="2:7">
      <c r="B109" s="137"/>
      <c r="F109" s="1436"/>
      <c r="G109" s="1437"/>
    </row>
    <row r="110" spans="2:7">
      <c r="B110" s="137"/>
      <c r="F110" s="1436"/>
      <c r="G110" s="1437"/>
    </row>
    <row r="111" spans="2:7">
      <c r="B111" s="137"/>
      <c r="F111" s="1436"/>
      <c r="G111" s="1437"/>
    </row>
    <row r="112" spans="2:7">
      <c r="B112" s="137"/>
      <c r="E112" s="139"/>
      <c r="F112" s="1438"/>
      <c r="G112" s="1437"/>
    </row>
    <row r="113" spans="2:7" ht="13.5" thickBot="1">
      <c r="B113" s="140"/>
      <c r="C113" s="141"/>
      <c r="D113" s="145" t="s">
        <v>395</v>
      </c>
      <c r="E113" s="142"/>
      <c r="F113" s="1434">
        <f>F107</f>
        <v>3426000</v>
      </c>
      <c r="G113" s="1435"/>
    </row>
    <row r="114" spans="2:7">
      <c r="D114" s="620"/>
      <c r="F114" s="621"/>
      <c r="G114" s="621"/>
    </row>
    <row r="115" spans="2:7" ht="48.75" customHeight="1">
      <c r="B115" s="106" t="str">
        <f>B76</f>
        <v>(11)NOMBRE DEL RESPONSABLE: HERIS NEFTALI ROMERO CARBALLO</v>
      </c>
    </row>
    <row r="116" spans="2:7">
      <c r="B116" s="106" t="s">
        <v>442</v>
      </c>
    </row>
    <row r="117" spans="2:7">
      <c r="D117" s="106" t="s">
        <v>443</v>
      </c>
    </row>
    <row r="118" spans="2:7">
      <c r="B118" s="1428" t="str">
        <f>B2</f>
        <v xml:space="preserve">1- PLAN ANUAL DE TRABAJO </v>
      </c>
      <c r="C118" s="1428"/>
      <c r="D118" s="1428"/>
      <c r="E118" s="1428"/>
      <c r="F118" s="1428"/>
      <c r="G118" s="1428"/>
    </row>
    <row r="119" spans="2:7">
      <c r="B119" s="1429" t="s">
        <v>1397</v>
      </c>
      <c r="C119" s="1428"/>
      <c r="D119" s="1428"/>
      <c r="E119" s="1428"/>
      <c r="F119" s="1428"/>
      <c r="G119" s="1428"/>
    </row>
    <row r="120" spans="2:7" ht="27" customHeight="1">
      <c r="B120" s="1428" t="s">
        <v>388</v>
      </c>
      <c r="C120" s="1428"/>
      <c r="D120" s="1428"/>
      <c r="E120" s="1428"/>
      <c r="F120" s="1428"/>
      <c r="G120" s="1428"/>
    </row>
    <row r="123" spans="2:7" ht="12.75" customHeight="1">
      <c r="B123" s="147" t="s">
        <v>7</v>
      </c>
      <c r="C123" s="111"/>
      <c r="D123" s="110" t="s">
        <v>666</v>
      </c>
      <c r="E123" s="111"/>
      <c r="F123" s="111"/>
      <c r="G123" s="112"/>
    </row>
    <row r="124" spans="2:7">
      <c r="B124" s="108" t="str">
        <f>B46</f>
        <v>(2) EJERCICIO FINANCIERO FISCAL: 2017</v>
      </c>
      <c r="D124" s="108" t="str">
        <f>D46</f>
        <v>(4) FECHA DE ELABORACION:  DICIEMBRE DE 2016</v>
      </c>
      <c r="G124" s="109"/>
    </row>
    <row r="125" spans="2:7">
      <c r="B125" s="110"/>
      <c r="C125" s="124"/>
      <c r="D125" s="124"/>
      <c r="E125" s="124"/>
      <c r="F125" s="124"/>
      <c r="G125" s="112"/>
    </row>
    <row r="126" spans="2:7" ht="1.5" customHeight="1">
      <c r="B126" s="137" t="s">
        <v>390</v>
      </c>
      <c r="C126" s="1472" t="s">
        <v>263</v>
      </c>
      <c r="D126" s="1461"/>
      <c r="E126" s="1461"/>
      <c r="F126" s="1461"/>
      <c r="G126" s="1462"/>
    </row>
    <row r="127" spans="2:7">
      <c r="B127" s="137"/>
      <c r="C127" s="1473"/>
      <c r="D127" s="1456"/>
      <c r="E127" s="1456"/>
      <c r="F127" s="1456"/>
      <c r="G127" s="1464"/>
    </row>
    <row r="128" spans="2:7">
      <c r="B128" s="137"/>
      <c r="C128" s="1473"/>
      <c r="D128" s="1456"/>
      <c r="E128" s="1456"/>
      <c r="F128" s="1456"/>
      <c r="G128" s="1464"/>
    </row>
    <row r="129" spans="2:12" ht="13.5" thickBot="1">
      <c r="B129" s="137"/>
      <c r="C129" s="1474"/>
      <c r="D129" s="1465"/>
      <c r="E129" s="1465"/>
      <c r="F129" s="1465"/>
      <c r="G129" s="1466"/>
    </row>
    <row r="130" spans="2:12">
      <c r="B130" s="138" t="s">
        <v>391</v>
      </c>
      <c r="C130" s="143"/>
      <c r="D130" s="143"/>
      <c r="E130" s="143"/>
      <c r="F130" s="143"/>
      <c r="G130" s="144"/>
    </row>
    <row r="131" spans="2:12">
      <c r="B131" s="137"/>
      <c r="C131" s="1456" t="s">
        <v>579</v>
      </c>
      <c r="D131" s="1456"/>
      <c r="E131" s="1456"/>
      <c r="F131" s="1456"/>
      <c r="G131" s="1457"/>
    </row>
    <row r="132" spans="2:12">
      <c r="B132" s="137"/>
      <c r="C132" s="1456"/>
      <c r="D132" s="1456"/>
      <c r="E132" s="1456"/>
      <c r="F132" s="1456"/>
      <c r="G132" s="1457"/>
    </row>
    <row r="133" spans="2:12" ht="12.75" customHeight="1">
      <c r="B133" s="137"/>
      <c r="G133" s="139"/>
      <c r="H133" s="1"/>
      <c r="I133" s="1"/>
      <c r="J133" s="1"/>
      <c r="K133" s="1"/>
      <c r="L133" s="1"/>
    </row>
    <row r="134" spans="2:12" ht="12.75" customHeight="1" thickBot="1">
      <c r="B134" s="140"/>
      <c r="C134" s="141"/>
      <c r="D134" s="141"/>
      <c r="E134" s="141"/>
      <c r="F134" s="141"/>
      <c r="G134" s="142"/>
      <c r="H134" s="1"/>
      <c r="I134" s="1"/>
      <c r="J134" s="1"/>
      <c r="K134" s="1"/>
      <c r="L134" s="1"/>
    </row>
    <row r="135" spans="2:12" ht="0.75" customHeight="1">
      <c r="B135" s="138" t="s">
        <v>392</v>
      </c>
      <c r="C135" s="143"/>
      <c r="D135" s="143"/>
      <c r="E135" s="143"/>
      <c r="F135" s="143"/>
      <c r="G135" s="144"/>
      <c r="H135" s="1"/>
      <c r="I135" s="1"/>
      <c r="J135" s="1"/>
      <c r="K135" s="1"/>
      <c r="L135" s="1"/>
    </row>
    <row r="136" spans="2:12" ht="12.75" customHeight="1">
      <c r="B136" s="137"/>
      <c r="C136" s="1456" t="s">
        <v>359</v>
      </c>
      <c r="D136" s="1456"/>
      <c r="E136" s="1456"/>
      <c r="F136" s="1456"/>
      <c r="G136" s="1457"/>
      <c r="H136" s="1"/>
      <c r="I136" s="1"/>
      <c r="J136" s="1"/>
      <c r="K136" s="1"/>
      <c r="L136" s="1"/>
    </row>
    <row r="137" spans="2:12">
      <c r="B137" s="137"/>
      <c r="C137" s="1456"/>
      <c r="D137" s="1456"/>
      <c r="E137" s="1456"/>
      <c r="F137" s="1456"/>
      <c r="G137" s="1457"/>
    </row>
    <row r="138" spans="2:12">
      <c r="B138" s="137"/>
      <c r="C138" s="1456"/>
      <c r="D138" s="1456"/>
      <c r="E138" s="1456"/>
      <c r="F138" s="1456"/>
      <c r="G138" s="1457"/>
    </row>
    <row r="139" spans="2:12">
      <c r="B139" s="137"/>
      <c r="C139" s="1456"/>
      <c r="D139" s="1456"/>
      <c r="E139" s="1456"/>
      <c r="F139" s="1456"/>
      <c r="G139" s="1457"/>
    </row>
    <row r="140" spans="2:12">
      <c r="B140" s="137"/>
      <c r="C140" s="1456"/>
      <c r="D140" s="1456"/>
      <c r="E140" s="1456"/>
      <c r="F140" s="1456"/>
      <c r="G140" s="1457"/>
    </row>
    <row r="141" spans="2:12" ht="13.5" thickBot="1">
      <c r="B141" s="140"/>
      <c r="C141" s="149"/>
      <c r="D141" s="149"/>
      <c r="E141" s="149"/>
      <c r="F141" s="149"/>
      <c r="G141" s="150"/>
    </row>
    <row r="142" spans="2:12">
      <c r="B142" s="108" t="s">
        <v>393</v>
      </c>
      <c r="G142" s="109"/>
    </row>
    <row r="143" spans="2:12">
      <c r="B143" s="110" t="s">
        <v>394</v>
      </c>
      <c r="C143" s="111"/>
      <c r="D143" s="111"/>
      <c r="E143" s="111"/>
      <c r="F143" s="1430" t="s">
        <v>396</v>
      </c>
      <c r="G143" s="1431"/>
    </row>
    <row r="144" spans="2:12">
      <c r="B144" s="137"/>
      <c r="F144" s="1432"/>
      <c r="G144" s="1433"/>
    </row>
    <row r="145" spans="2:9">
      <c r="B145" s="137" t="s">
        <v>10</v>
      </c>
      <c r="F145" s="1436">
        <f>'Plan 2'!F198:G198</f>
        <v>817999.58000000007</v>
      </c>
      <c r="G145" s="1437"/>
    </row>
    <row r="146" spans="2:9">
      <c r="B146" s="137"/>
      <c r="F146" s="1436"/>
      <c r="G146" s="1437"/>
      <c r="I146" s="719">
        <f>F149+F113+F74+F33</f>
        <v>6137588.0885000005</v>
      </c>
    </row>
    <row r="147" spans="2:9">
      <c r="B147" s="137"/>
      <c r="F147" s="1436"/>
      <c r="G147" s="1437"/>
    </row>
    <row r="148" spans="2:9">
      <c r="B148" s="137"/>
      <c r="E148" s="139"/>
      <c r="F148" s="1438"/>
      <c r="G148" s="1437"/>
    </row>
    <row r="149" spans="2:9" ht="13.5" thickBot="1">
      <c r="B149" s="140"/>
      <c r="C149" s="141"/>
      <c r="D149" s="145" t="s">
        <v>395</v>
      </c>
      <c r="E149" s="142"/>
      <c r="F149" s="1475">
        <f>F145</f>
        <v>817999.58000000007</v>
      </c>
      <c r="G149" s="1476"/>
    </row>
    <row r="150" spans="2:9">
      <c r="D150" s="134"/>
      <c r="F150" s="146"/>
      <c r="G150" s="146"/>
    </row>
    <row r="151" spans="2:9">
      <c r="B151" s="106" t="str">
        <f>B76</f>
        <v>(11)NOMBRE DEL RESPONSABLE: HERIS NEFTALI ROMERO CARBALLO</v>
      </c>
    </row>
    <row r="152" spans="2:9">
      <c r="B152" s="106" t="s">
        <v>442</v>
      </c>
    </row>
    <row r="153" spans="2:9">
      <c r="D153" s="106" t="s">
        <v>443</v>
      </c>
    </row>
  </sheetData>
  <mergeCells count="61">
    <mergeCell ref="F149:G149"/>
    <mergeCell ref="F143:G143"/>
    <mergeCell ref="F144:G144"/>
    <mergeCell ref="F146:G146"/>
    <mergeCell ref="F145:G145"/>
    <mergeCell ref="F147:G147"/>
    <mergeCell ref="F148:G148"/>
    <mergeCell ref="F70:G70"/>
    <mergeCell ref="F71:G71"/>
    <mergeCell ref="F72:G72"/>
    <mergeCell ref="C126:G129"/>
    <mergeCell ref="C136:G140"/>
    <mergeCell ref="C131:G132"/>
    <mergeCell ref="F73:G73"/>
    <mergeCell ref="F74:G74"/>
    <mergeCell ref="B80:G80"/>
    <mergeCell ref="B81:G81"/>
    <mergeCell ref="B82:G82"/>
    <mergeCell ref="C87:G90"/>
    <mergeCell ref="C91:G93"/>
    <mergeCell ref="B96:B97"/>
    <mergeCell ref="C96:G97"/>
    <mergeCell ref="C100:G103"/>
    <mergeCell ref="B41:G41"/>
    <mergeCell ref="B42:G42"/>
    <mergeCell ref="B43:G43"/>
    <mergeCell ref="F68:G68"/>
    <mergeCell ref="F69:G69"/>
    <mergeCell ref="F67:G67"/>
    <mergeCell ref="B57:B58"/>
    <mergeCell ref="C48:G51"/>
    <mergeCell ref="C57:G58"/>
    <mergeCell ref="C61:G64"/>
    <mergeCell ref="C52:G54"/>
    <mergeCell ref="B1:G1"/>
    <mergeCell ref="B2:G2"/>
    <mergeCell ref="B3:G3"/>
    <mergeCell ref="B4:G4"/>
    <mergeCell ref="B18:B19"/>
    <mergeCell ref="C13:G14"/>
    <mergeCell ref="D19:G20"/>
    <mergeCell ref="D21:G22"/>
    <mergeCell ref="C9:G11"/>
    <mergeCell ref="F33:G33"/>
    <mergeCell ref="F27:G27"/>
    <mergeCell ref="F28:G28"/>
    <mergeCell ref="F30:G30"/>
    <mergeCell ref="F31:G31"/>
    <mergeCell ref="F32:G32"/>
    <mergeCell ref="F26:G26"/>
    <mergeCell ref="B118:G118"/>
    <mergeCell ref="B119:G119"/>
    <mergeCell ref="B120:G120"/>
    <mergeCell ref="F106:G106"/>
    <mergeCell ref="F107:G107"/>
    <mergeCell ref="F113:G113"/>
    <mergeCell ref="F108:G108"/>
    <mergeCell ref="F109:G109"/>
    <mergeCell ref="F110:G110"/>
    <mergeCell ref="F111:G111"/>
    <mergeCell ref="F112:G112"/>
  </mergeCells>
  <phoneticPr fontId="5" type="noConversion"/>
  <pageMargins left="0.4" right="0.24" top="0.34" bottom="0.69" header="0" footer="0"/>
  <pageSetup paperSize="9" orientation="landscape" r:id="rId1"/>
  <headerFooter alignWithMargins="0">
    <oddHeader>&amp;RPLAN 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K211"/>
  <sheetViews>
    <sheetView workbookViewId="0">
      <selection activeCell="D159" sqref="D159"/>
    </sheetView>
  </sheetViews>
  <sheetFormatPr baseColWidth="10" defaultColWidth="11.42578125" defaultRowHeight="12.75"/>
  <cols>
    <col min="1" max="1" width="6.42578125" style="37" customWidth="1"/>
    <col min="2" max="2" width="33.42578125" style="37" customWidth="1"/>
    <col min="3" max="3" width="10.7109375" style="37" customWidth="1"/>
    <col min="4" max="4" width="33.42578125" style="37" customWidth="1"/>
    <col min="5" max="5" width="12.140625" style="37" customWidth="1"/>
    <col min="6" max="6" width="9.42578125" style="37" customWidth="1"/>
    <col min="7" max="7" width="22.28515625" style="37" customWidth="1"/>
    <col min="8" max="8" width="12.28515625" style="37" bestFit="1" customWidth="1"/>
    <col min="9" max="9" width="14" style="37" bestFit="1" customWidth="1"/>
    <col min="10" max="16384" width="11.42578125" style="37"/>
  </cols>
  <sheetData>
    <row r="1" spans="1:7">
      <c r="A1" s="106"/>
      <c r="B1" s="106"/>
      <c r="C1" s="106"/>
      <c r="D1" s="106"/>
      <c r="E1" s="106"/>
      <c r="F1" s="106"/>
      <c r="G1" s="106"/>
    </row>
    <row r="2" spans="1:7">
      <c r="A2" s="106"/>
      <c r="B2" s="1504"/>
      <c r="C2" s="1504"/>
      <c r="D2" s="1504"/>
      <c r="E2" s="1504"/>
      <c r="F2" s="1504"/>
      <c r="G2" s="1504"/>
    </row>
    <row r="3" spans="1:7">
      <c r="A3" s="106"/>
      <c r="B3" s="1428" t="s">
        <v>388</v>
      </c>
      <c r="C3" s="1428"/>
      <c r="D3" s="1428"/>
      <c r="E3" s="1428"/>
      <c r="F3" s="1428"/>
      <c r="G3" s="1428"/>
    </row>
    <row r="4" spans="1:7">
      <c r="A4" s="106"/>
      <c r="B4" s="1505" t="s">
        <v>397</v>
      </c>
      <c r="C4" s="1505"/>
      <c r="D4" s="1505"/>
      <c r="E4" s="1505"/>
      <c r="F4" s="1505"/>
      <c r="G4" s="1505"/>
    </row>
    <row r="5" spans="1:7">
      <c r="A5" s="106"/>
      <c r="B5" s="106"/>
      <c r="C5" s="106"/>
      <c r="D5" s="106"/>
      <c r="E5" s="106"/>
      <c r="F5" s="106"/>
      <c r="G5" s="106"/>
    </row>
    <row r="6" spans="1:7">
      <c r="A6" s="106"/>
      <c r="B6" s="1488" t="s">
        <v>7</v>
      </c>
      <c r="C6" s="1489"/>
      <c r="D6" s="1489"/>
      <c r="E6" s="1489"/>
      <c r="F6" s="1489"/>
      <c r="G6" s="1490"/>
    </row>
    <row r="7" spans="1:7">
      <c r="A7" s="106"/>
      <c r="B7" s="1488" t="s">
        <v>1394</v>
      </c>
      <c r="C7" s="1489"/>
      <c r="D7" s="1489"/>
      <c r="E7" s="1489"/>
      <c r="F7" s="1489"/>
      <c r="G7" s="1490"/>
    </row>
    <row r="8" spans="1:7">
      <c r="A8" s="106"/>
      <c r="B8" s="1488" t="s">
        <v>389</v>
      </c>
      <c r="C8" s="1489"/>
      <c r="D8" s="1489"/>
      <c r="E8" s="1489"/>
      <c r="F8" s="1489"/>
      <c r="G8" s="1490"/>
    </row>
    <row r="9" spans="1:7">
      <c r="A9" s="106"/>
      <c r="B9" s="1488" t="s">
        <v>445</v>
      </c>
      <c r="C9" s="1489"/>
      <c r="D9" s="1489"/>
      <c r="E9" s="1489"/>
      <c r="F9" s="1489"/>
      <c r="G9" s="1490"/>
    </row>
    <row r="10" spans="1:7">
      <c r="A10" s="106"/>
      <c r="B10" s="1488" t="s">
        <v>1395</v>
      </c>
      <c r="C10" s="1489"/>
      <c r="D10" s="1489"/>
      <c r="E10" s="1489"/>
      <c r="F10" s="1489"/>
      <c r="G10" s="1490"/>
    </row>
    <row r="11" spans="1:7">
      <c r="A11" s="106"/>
      <c r="B11" s="1491" t="s">
        <v>398</v>
      </c>
      <c r="C11" s="1492"/>
      <c r="D11" s="1492"/>
      <c r="E11" s="1492"/>
      <c r="F11" s="1492"/>
      <c r="G11" s="1493"/>
    </row>
    <row r="12" spans="1:7">
      <c r="A12" s="106"/>
      <c r="B12" s="108"/>
      <c r="C12" s="106" t="s">
        <v>266</v>
      </c>
      <c r="D12" s="106"/>
      <c r="E12" s="106"/>
      <c r="F12" s="106"/>
      <c r="G12" s="109"/>
    </row>
    <row r="13" spans="1:7">
      <c r="A13" s="106"/>
      <c r="B13" s="108"/>
      <c r="C13" s="106" t="s">
        <v>264</v>
      </c>
      <c r="D13" s="106"/>
      <c r="E13" s="106"/>
      <c r="F13" s="106"/>
      <c r="G13" s="109"/>
    </row>
    <row r="14" spans="1:7">
      <c r="A14" s="106"/>
      <c r="B14" s="108"/>
      <c r="C14" s="106" t="s">
        <v>265</v>
      </c>
      <c r="D14" s="106"/>
      <c r="E14" s="106"/>
      <c r="F14" s="106"/>
      <c r="G14" s="109"/>
    </row>
    <row r="15" spans="1:7">
      <c r="A15" s="106"/>
      <c r="B15" s="108"/>
      <c r="C15" s="106"/>
      <c r="D15" s="106"/>
      <c r="E15" s="106"/>
      <c r="F15" s="106"/>
      <c r="G15" s="109"/>
    </row>
    <row r="16" spans="1:7">
      <c r="A16" s="106"/>
      <c r="B16" s="108"/>
      <c r="C16" s="106"/>
      <c r="D16" s="106"/>
      <c r="E16" s="106"/>
      <c r="F16" s="106"/>
      <c r="G16" s="109"/>
    </row>
    <row r="17" spans="1:7">
      <c r="A17" s="106"/>
      <c r="B17" s="110"/>
      <c r="C17" s="111"/>
      <c r="D17" s="111"/>
      <c r="E17" s="111"/>
      <c r="F17" s="111"/>
      <c r="G17" s="112"/>
    </row>
    <row r="18" spans="1:7">
      <c r="A18" s="106"/>
      <c r="B18" s="113" t="s">
        <v>754</v>
      </c>
      <c r="C18" s="106"/>
      <c r="D18" s="106"/>
      <c r="E18" s="106"/>
      <c r="F18" s="106"/>
      <c r="G18" s="109"/>
    </row>
    <row r="19" spans="1:7">
      <c r="A19" s="106"/>
      <c r="B19" s="1494" t="s">
        <v>1021</v>
      </c>
      <c r="C19" s="1496" t="s">
        <v>399</v>
      </c>
      <c r="D19" s="1497"/>
      <c r="E19" s="1498"/>
      <c r="F19" s="1496" t="s">
        <v>400</v>
      </c>
      <c r="G19" s="1498"/>
    </row>
    <row r="20" spans="1:7">
      <c r="A20" s="106"/>
      <c r="B20" s="1495"/>
      <c r="C20" s="1499"/>
      <c r="D20" s="1500"/>
      <c r="E20" s="1501"/>
      <c r="F20" s="1499"/>
      <c r="G20" s="1501"/>
    </row>
    <row r="21" spans="1:7">
      <c r="A21" s="106"/>
      <c r="B21" s="114"/>
      <c r="C21" s="1478"/>
      <c r="D21" s="1508"/>
      <c r="E21" s="1479"/>
      <c r="F21" s="1478"/>
      <c r="G21" s="1479"/>
    </row>
    <row r="22" spans="1:7" ht="12.75" customHeight="1">
      <c r="A22" s="106"/>
      <c r="B22" s="716" t="s">
        <v>1015</v>
      </c>
      <c r="C22" s="1509" t="s">
        <v>1016</v>
      </c>
      <c r="D22" s="1510"/>
      <c r="E22" s="1511"/>
      <c r="F22" s="1480">
        <f>'Plan 3'!C10+'Plan 3'!D25</f>
        <v>372277.01399999997</v>
      </c>
      <c r="G22" s="1481"/>
    </row>
    <row r="23" spans="1:7">
      <c r="A23" s="106"/>
      <c r="B23" s="716"/>
      <c r="C23" s="1512"/>
      <c r="D23" s="1510"/>
      <c r="E23" s="1511"/>
      <c r="F23" s="1480"/>
      <c r="G23" s="1481"/>
    </row>
    <row r="24" spans="1:7">
      <c r="A24" s="106"/>
      <c r="B24" s="108"/>
      <c r="C24" s="1512"/>
      <c r="D24" s="1510"/>
      <c r="E24" s="1511"/>
      <c r="F24" s="1480"/>
      <c r="G24" s="1481"/>
    </row>
    <row r="25" spans="1:7">
      <c r="A25" s="106"/>
      <c r="B25" s="108"/>
      <c r="C25" s="1512"/>
      <c r="D25" s="1510"/>
      <c r="E25" s="1511"/>
      <c r="F25" s="1480"/>
      <c r="G25" s="1481"/>
    </row>
    <row r="26" spans="1:7">
      <c r="A26" s="106"/>
      <c r="B26" s="118"/>
      <c r="C26" s="119"/>
      <c r="D26" s="120"/>
      <c r="E26" s="121"/>
      <c r="F26" s="1506"/>
      <c r="G26" s="1507"/>
    </row>
    <row r="27" spans="1:7">
      <c r="A27" s="106"/>
      <c r="B27" s="118"/>
      <c r="C27" s="115"/>
      <c r="D27" s="116"/>
      <c r="E27" s="117"/>
      <c r="F27" s="1506"/>
      <c r="G27" s="1507"/>
    </row>
    <row r="28" spans="1:7" ht="12.75" customHeight="1">
      <c r="A28" s="106"/>
      <c r="B28" s="716" t="s">
        <v>1014</v>
      </c>
      <c r="C28" s="1513" t="s">
        <v>1017</v>
      </c>
      <c r="D28" s="1514"/>
      <c r="E28" s="1515"/>
      <c r="F28" s="1480">
        <f>'Plan 3'!H11+'Plan 3'!H26</f>
        <v>182442.92909999998</v>
      </c>
      <c r="G28" s="1481"/>
    </row>
    <row r="29" spans="1:7">
      <c r="A29" s="106"/>
      <c r="B29" s="108"/>
      <c r="C29" s="1513"/>
      <c r="D29" s="1514"/>
      <c r="E29" s="1515"/>
      <c r="F29" s="1480"/>
      <c r="G29" s="1481"/>
    </row>
    <row r="30" spans="1:7" ht="15" customHeight="1">
      <c r="A30" s="106"/>
      <c r="B30" s="108"/>
      <c r="C30" s="1513"/>
      <c r="D30" s="1514"/>
      <c r="E30" s="1515"/>
      <c r="F30" s="1480"/>
      <c r="G30" s="1481"/>
    </row>
    <row r="31" spans="1:7" ht="15" customHeight="1">
      <c r="A31" s="106"/>
      <c r="B31" s="108"/>
      <c r="C31" s="1513"/>
      <c r="D31" s="1514"/>
      <c r="E31" s="1515"/>
      <c r="F31" s="1480"/>
      <c r="G31" s="1481"/>
    </row>
    <row r="32" spans="1:7" ht="15" customHeight="1">
      <c r="A32" s="106"/>
      <c r="B32" s="108"/>
      <c r="C32" s="1513"/>
      <c r="D32" s="1514"/>
      <c r="E32" s="1515"/>
      <c r="F32" s="1480"/>
      <c r="G32" s="1481"/>
    </row>
    <row r="33" spans="1:7" ht="15" customHeight="1">
      <c r="A33" s="106"/>
      <c r="B33" s="108"/>
      <c r="C33" s="1513"/>
      <c r="D33" s="1514"/>
      <c r="E33" s="1515"/>
      <c r="F33" s="1480"/>
      <c r="G33" s="1481"/>
    </row>
    <row r="34" spans="1:7" ht="15" customHeight="1">
      <c r="A34" s="106"/>
      <c r="B34" s="108"/>
      <c r="C34" s="1512"/>
      <c r="D34" s="1510"/>
      <c r="E34" s="1511"/>
      <c r="F34" s="1506"/>
      <c r="G34" s="1507"/>
    </row>
    <row r="35" spans="1:7">
      <c r="A35" s="106"/>
      <c r="B35" s="108"/>
      <c r="C35" s="108"/>
      <c r="D35" s="106"/>
      <c r="E35" s="106"/>
      <c r="F35" s="1506"/>
      <c r="G35" s="1507"/>
    </row>
    <row r="36" spans="1:7">
      <c r="A36" s="106"/>
      <c r="B36" s="122"/>
      <c r="C36" s="108"/>
      <c r="D36" s="106"/>
      <c r="E36" s="106"/>
      <c r="F36" s="1506"/>
      <c r="G36" s="1507"/>
    </row>
    <row r="37" spans="1:7">
      <c r="A37" s="106"/>
      <c r="B37" s="122"/>
      <c r="C37" s="108"/>
      <c r="D37" s="106"/>
      <c r="E37" s="106"/>
      <c r="F37" s="1516"/>
      <c r="G37" s="1517"/>
    </row>
    <row r="38" spans="1:7">
      <c r="A38" s="106"/>
      <c r="B38" s="123" t="s">
        <v>395</v>
      </c>
      <c r="C38" s="111"/>
      <c r="D38" s="111"/>
      <c r="E38" s="112"/>
      <c r="F38" s="1518">
        <f>SUM(F22:G37)</f>
        <v>554719.94309999992</v>
      </c>
      <c r="G38" s="1519"/>
    </row>
    <row r="39" spans="1:7">
      <c r="A39" s="106"/>
      <c r="B39" s="1504"/>
      <c r="C39" s="1504"/>
      <c r="D39" s="1504"/>
      <c r="E39" s="1504"/>
      <c r="F39" s="1504"/>
      <c r="G39" s="1504"/>
    </row>
    <row r="40" spans="1:7">
      <c r="A40" s="106"/>
      <c r="B40" s="107"/>
      <c r="C40" s="107"/>
      <c r="D40" s="107"/>
      <c r="E40" s="107"/>
      <c r="F40" s="107"/>
      <c r="G40" s="107"/>
    </row>
    <row r="41" spans="1:7">
      <c r="A41" s="106"/>
      <c r="B41" s="107"/>
      <c r="C41" s="107"/>
      <c r="D41" s="107"/>
      <c r="E41" s="107"/>
      <c r="F41" s="107"/>
      <c r="G41" s="107"/>
    </row>
    <row r="42" spans="1:7">
      <c r="A42" s="106"/>
      <c r="B42" s="107"/>
      <c r="C42" s="107"/>
      <c r="D42" s="107"/>
      <c r="E42" s="107"/>
      <c r="F42" s="107"/>
      <c r="G42" s="107"/>
    </row>
    <row r="43" spans="1:7">
      <c r="A43" s="106"/>
      <c r="B43" s="1428" t="s">
        <v>388</v>
      </c>
      <c r="C43" s="1428"/>
      <c r="D43" s="1428"/>
      <c r="E43" s="1428"/>
      <c r="F43" s="1428"/>
      <c r="G43" s="1428"/>
    </row>
    <row r="44" spans="1:7">
      <c r="A44" s="106"/>
      <c r="B44" s="1505" t="s">
        <v>397</v>
      </c>
      <c r="C44" s="1505"/>
      <c r="D44" s="1505"/>
      <c r="E44" s="1505"/>
      <c r="F44" s="1505"/>
      <c r="G44" s="1505"/>
    </row>
    <row r="45" spans="1:7">
      <c r="A45" s="106"/>
      <c r="B45" s="106"/>
      <c r="C45" s="106"/>
      <c r="D45" s="106"/>
      <c r="E45" s="106"/>
      <c r="F45" s="106"/>
      <c r="G45" s="106"/>
    </row>
    <row r="46" spans="1:7">
      <c r="A46" s="106"/>
      <c r="B46" s="1488" t="s">
        <v>7</v>
      </c>
      <c r="C46" s="1489"/>
      <c r="D46" s="1489"/>
      <c r="E46" s="1489"/>
      <c r="F46" s="1489"/>
      <c r="G46" s="1490"/>
    </row>
    <row r="47" spans="1:7">
      <c r="A47" s="106"/>
      <c r="B47" s="1488" t="str">
        <f>B7</f>
        <v>(2) EJERCICIO FINANCIERO FISCAL: 2017</v>
      </c>
      <c r="C47" s="1489"/>
      <c r="D47" s="1489"/>
      <c r="E47" s="1489"/>
      <c r="F47" s="1489"/>
      <c r="G47" s="1490"/>
    </row>
    <row r="48" spans="1:7">
      <c r="A48" s="106"/>
      <c r="B48" s="1488" t="s">
        <v>389</v>
      </c>
      <c r="C48" s="1489"/>
      <c r="D48" s="1489"/>
      <c r="E48" s="1489"/>
      <c r="F48" s="1489"/>
      <c r="G48" s="1490"/>
    </row>
    <row r="49" spans="1:7">
      <c r="A49" s="106"/>
      <c r="B49" s="1488" t="s">
        <v>446</v>
      </c>
      <c r="C49" s="1489"/>
      <c r="D49" s="1489"/>
      <c r="E49" s="1489"/>
      <c r="F49" s="1489"/>
      <c r="G49" s="1490"/>
    </row>
    <row r="50" spans="1:7">
      <c r="A50" s="106"/>
      <c r="B50" s="1488" t="str">
        <f>B10</f>
        <v>(5) CIFRA PRESUPUESTARIA 2017</v>
      </c>
      <c r="C50" s="1489"/>
      <c r="D50" s="1489"/>
      <c r="E50" s="1489"/>
      <c r="F50" s="1489"/>
      <c r="G50" s="1490"/>
    </row>
    <row r="51" spans="1:7">
      <c r="A51" s="106"/>
      <c r="B51" s="1491" t="s">
        <v>398</v>
      </c>
      <c r="C51" s="1492"/>
      <c r="D51" s="1492"/>
      <c r="E51" s="1492"/>
      <c r="F51" s="1492"/>
      <c r="G51" s="1493"/>
    </row>
    <row r="52" spans="1:7">
      <c r="A52" s="106"/>
      <c r="B52" s="108"/>
      <c r="C52" s="718" t="s">
        <v>1019</v>
      </c>
      <c r="D52" s="106"/>
      <c r="E52" s="106"/>
      <c r="F52" s="106"/>
      <c r="G52" s="109"/>
    </row>
    <row r="53" spans="1:7">
      <c r="A53" s="106"/>
      <c r="B53" s="108"/>
      <c r="C53" s="106" t="s">
        <v>199</v>
      </c>
      <c r="D53" s="106"/>
      <c r="E53" s="106"/>
      <c r="F53" s="106"/>
      <c r="G53" s="109"/>
    </row>
    <row r="54" spans="1:7">
      <c r="A54" s="106"/>
      <c r="B54" s="108"/>
      <c r="C54" s="106"/>
      <c r="D54" s="106"/>
      <c r="E54" s="106"/>
      <c r="F54" s="106"/>
      <c r="G54" s="109"/>
    </row>
    <row r="55" spans="1:7">
      <c r="A55" s="106"/>
      <c r="B55" s="108"/>
      <c r="C55" s="106"/>
      <c r="D55" s="106"/>
      <c r="E55" s="106"/>
      <c r="F55" s="106"/>
      <c r="G55" s="109"/>
    </row>
    <row r="56" spans="1:7">
      <c r="A56" s="106"/>
      <c r="B56" s="248"/>
      <c r="C56" s="249"/>
      <c r="D56" s="249"/>
      <c r="E56" s="249"/>
      <c r="F56" s="249"/>
      <c r="G56" s="250"/>
    </row>
    <row r="57" spans="1:7">
      <c r="A57" s="106"/>
      <c r="B57" s="110"/>
      <c r="C57" s="111"/>
      <c r="D57" s="111"/>
      <c r="E57" s="111"/>
      <c r="F57" s="111"/>
      <c r="G57" s="112"/>
    </row>
    <row r="58" spans="1:7">
      <c r="A58" s="106"/>
      <c r="B58" s="113" t="s">
        <v>754</v>
      </c>
      <c r="C58" s="106"/>
      <c r="D58" s="106"/>
      <c r="E58" s="106"/>
      <c r="F58" s="106"/>
      <c r="G58" s="109"/>
    </row>
    <row r="59" spans="1:7" ht="14.25" customHeight="1">
      <c r="A59" s="106"/>
      <c r="B59" s="1494" t="s">
        <v>1021</v>
      </c>
      <c r="C59" s="1496" t="s">
        <v>399</v>
      </c>
      <c r="D59" s="1497"/>
      <c r="E59" s="1498"/>
      <c r="F59" s="1496" t="s">
        <v>400</v>
      </c>
      <c r="G59" s="1498"/>
    </row>
    <row r="60" spans="1:7">
      <c r="A60" s="106"/>
      <c r="B60" s="1495"/>
      <c r="C60" s="1499"/>
      <c r="D60" s="1500"/>
      <c r="E60" s="1501"/>
      <c r="F60" s="1499"/>
      <c r="G60" s="1501"/>
    </row>
    <row r="61" spans="1:7">
      <c r="A61" s="106"/>
      <c r="B61" s="114"/>
      <c r="C61" s="114"/>
      <c r="D61" s="124"/>
      <c r="E61" s="124"/>
      <c r="F61" s="1478"/>
      <c r="G61" s="1479"/>
    </row>
    <row r="62" spans="1:7" ht="14.25" customHeight="1">
      <c r="A62" s="106"/>
      <c r="B62" s="717" t="s">
        <v>1018</v>
      </c>
      <c r="C62" s="1520" t="s">
        <v>1020</v>
      </c>
      <c r="D62" s="1441"/>
      <c r="E62" s="1441"/>
      <c r="F62" s="1522">
        <f>'Plan 3'!H12+'Plan 3'!H27</f>
        <v>719459.13939999999</v>
      </c>
      <c r="G62" s="1523"/>
    </row>
    <row r="63" spans="1:7">
      <c r="A63" s="106"/>
      <c r="B63" s="108"/>
      <c r="C63" s="1521"/>
      <c r="D63" s="1443"/>
      <c r="E63" s="1443"/>
      <c r="F63" s="1524"/>
      <c r="G63" s="1525"/>
    </row>
    <row r="64" spans="1:7">
      <c r="A64" s="106"/>
      <c r="B64" s="108"/>
      <c r="C64" s="1521"/>
      <c r="D64" s="1443"/>
      <c r="E64" s="1443"/>
      <c r="F64" s="1524"/>
      <c r="G64" s="1525"/>
    </row>
    <row r="65" spans="1:11">
      <c r="A65" s="106"/>
      <c r="B65" s="108"/>
      <c r="C65" s="1521"/>
      <c r="D65" s="1443"/>
      <c r="E65" s="1443"/>
      <c r="F65" s="1524"/>
      <c r="G65" s="1525"/>
    </row>
    <row r="66" spans="1:11" ht="12.75" customHeight="1">
      <c r="A66" s="106"/>
      <c r="B66" s="108"/>
      <c r="C66" s="125"/>
      <c r="D66" s="126"/>
      <c r="E66" s="126"/>
      <c r="F66" s="1436"/>
      <c r="G66" s="1437"/>
    </row>
    <row r="67" spans="1:11" ht="14.25" customHeight="1">
      <c r="A67" s="106"/>
      <c r="B67" s="127"/>
      <c r="C67" s="125"/>
      <c r="D67" s="126"/>
      <c r="E67" s="126"/>
      <c r="F67" s="1526"/>
      <c r="G67" s="1527"/>
    </row>
    <row r="68" spans="1:11">
      <c r="A68" s="106"/>
      <c r="B68" s="108"/>
      <c r="C68" s="125"/>
      <c r="D68" s="126"/>
      <c r="E68" s="126"/>
      <c r="F68" s="108"/>
      <c r="G68" s="109"/>
    </row>
    <row r="69" spans="1:11">
      <c r="A69" s="106"/>
      <c r="B69" s="108"/>
      <c r="C69" s="125"/>
      <c r="D69" s="128"/>
      <c r="E69" s="128"/>
      <c r="F69" s="1436"/>
      <c r="G69" s="1437"/>
    </row>
    <row r="70" spans="1:11" ht="12.75" customHeight="1">
      <c r="A70" s="106"/>
      <c r="B70" s="108"/>
      <c r="C70" s="125"/>
      <c r="D70" s="128"/>
      <c r="E70" s="128"/>
      <c r="F70" s="1526"/>
      <c r="G70" s="1527"/>
      <c r="I70" s="38"/>
      <c r="J70" s="23"/>
      <c r="K70" s="23"/>
    </row>
    <row r="71" spans="1:11" ht="12.75" customHeight="1">
      <c r="A71" s="106"/>
      <c r="B71" s="108"/>
      <c r="C71" s="125"/>
      <c r="D71" s="128"/>
      <c r="E71" s="128"/>
      <c r="F71" s="1526"/>
      <c r="G71" s="1527"/>
      <c r="I71" s="23"/>
      <c r="J71" s="23"/>
      <c r="K71" s="23"/>
    </row>
    <row r="72" spans="1:11">
      <c r="A72" s="106"/>
      <c r="B72" s="108"/>
      <c r="C72" s="129"/>
      <c r="D72" s="130"/>
      <c r="E72" s="131"/>
      <c r="F72" s="1526"/>
      <c r="G72" s="1527"/>
      <c r="I72" s="23"/>
      <c r="J72" s="23"/>
      <c r="K72" s="23"/>
    </row>
    <row r="73" spans="1:11">
      <c r="A73" s="106"/>
      <c r="B73" s="108"/>
      <c r="C73" s="129"/>
      <c r="D73" s="130"/>
      <c r="E73" s="131"/>
      <c r="F73" s="1436"/>
      <c r="G73" s="1437"/>
      <c r="I73" s="23"/>
      <c r="J73" s="23"/>
      <c r="K73" s="23"/>
    </row>
    <row r="74" spans="1:11">
      <c r="A74" s="106"/>
      <c r="B74" s="108"/>
      <c r="C74" s="129"/>
      <c r="D74" s="130"/>
      <c r="E74" s="131"/>
      <c r="F74" s="1436"/>
      <c r="G74" s="1437"/>
      <c r="I74" s="23"/>
      <c r="J74" s="23"/>
      <c r="K74" s="23"/>
    </row>
    <row r="75" spans="1:11">
      <c r="A75" s="106"/>
      <c r="B75" s="127"/>
      <c r="C75" s="129"/>
      <c r="D75" s="130"/>
      <c r="E75" s="131"/>
      <c r="F75" s="1436"/>
      <c r="G75" s="1437"/>
      <c r="I75" s="23"/>
      <c r="J75" s="23"/>
      <c r="K75" s="23"/>
    </row>
    <row r="76" spans="1:11">
      <c r="A76" s="106"/>
      <c r="B76" s="122"/>
      <c r="C76" s="108"/>
      <c r="D76" s="106"/>
      <c r="E76" s="106"/>
      <c r="F76" s="1486"/>
      <c r="G76" s="1487"/>
    </row>
    <row r="77" spans="1:11">
      <c r="A77" s="106"/>
      <c r="B77" s="123" t="s">
        <v>395</v>
      </c>
      <c r="C77" s="111"/>
      <c r="D77" s="111"/>
      <c r="E77" s="112"/>
      <c r="F77" s="1381">
        <f>SUM(F62:G76)</f>
        <v>719459.13939999999</v>
      </c>
      <c r="G77" s="1382"/>
      <c r="I77" s="719">
        <f>F77+F38</f>
        <v>1274179.0825</v>
      </c>
    </row>
    <row r="78" spans="1:11">
      <c r="A78" s="106"/>
      <c r="B78" s="106"/>
      <c r="C78" s="106"/>
      <c r="D78" s="106"/>
      <c r="E78" s="106"/>
      <c r="F78" s="106"/>
      <c r="G78" s="106"/>
    </row>
    <row r="79" spans="1:11">
      <c r="A79" s="106"/>
      <c r="B79" s="106"/>
      <c r="C79" s="106"/>
      <c r="D79" s="106"/>
      <c r="E79" s="106"/>
      <c r="F79" s="106"/>
      <c r="G79" s="106"/>
    </row>
    <row r="80" spans="1:11">
      <c r="A80" s="106"/>
      <c r="B80" s="106"/>
      <c r="C80" s="106"/>
      <c r="D80" s="106"/>
      <c r="E80" s="106"/>
      <c r="F80" s="106"/>
      <c r="G80" s="106"/>
    </row>
    <row r="81" spans="1:11">
      <c r="A81" s="106"/>
      <c r="B81" s="106"/>
      <c r="C81" s="106"/>
      <c r="D81" s="106"/>
      <c r="E81" s="106"/>
      <c r="F81" s="106"/>
      <c r="G81" s="106"/>
    </row>
    <row r="82" spans="1:11">
      <c r="A82" s="106"/>
      <c r="B82" s="106"/>
      <c r="C82" s="106"/>
      <c r="D82" s="106"/>
      <c r="E82" s="106"/>
      <c r="F82" s="106"/>
      <c r="G82" s="106"/>
    </row>
    <row r="83" spans="1:11">
      <c r="A83" s="106"/>
      <c r="B83" s="106"/>
      <c r="C83" s="106"/>
      <c r="D83" s="106"/>
      <c r="E83" s="106"/>
      <c r="F83" s="106"/>
      <c r="G83" s="106"/>
    </row>
    <row r="84" spans="1:11">
      <c r="A84" s="106"/>
      <c r="B84" s="1428" t="s">
        <v>388</v>
      </c>
      <c r="C84" s="1428"/>
      <c r="D84" s="1428"/>
      <c r="E84" s="1428"/>
      <c r="F84" s="1428"/>
      <c r="G84" s="1428"/>
    </row>
    <row r="85" spans="1:11">
      <c r="A85" s="106"/>
      <c r="B85" s="1505" t="s">
        <v>397</v>
      </c>
      <c r="C85" s="1505"/>
      <c r="D85" s="1505"/>
      <c r="E85" s="1505"/>
      <c r="F85" s="1505"/>
      <c r="G85" s="1505"/>
    </row>
    <row r="86" spans="1:11">
      <c r="A86" s="106"/>
      <c r="B86" s="106"/>
      <c r="C86" s="106"/>
      <c r="D86" s="106"/>
      <c r="E86" s="106"/>
      <c r="F86" s="106"/>
      <c r="G86" s="106"/>
    </row>
    <row r="87" spans="1:11">
      <c r="A87" s="106"/>
      <c r="B87" s="1488" t="s">
        <v>7</v>
      </c>
      <c r="C87" s="1489"/>
      <c r="D87" s="1489"/>
      <c r="E87" s="1489"/>
      <c r="F87" s="1489"/>
      <c r="G87" s="1490"/>
    </row>
    <row r="88" spans="1:11">
      <c r="A88" s="106"/>
      <c r="B88" s="1488" t="str">
        <f>B47</f>
        <v>(2) EJERCICIO FINANCIERO FISCAL: 2017</v>
      </c>
      <c r="C88" s="1489"/>
      <c r="D88" s="1489"/>
      <c r="E88" s="1489"/>
      <c r="F88" s="1489"/>
      <c r="G88" s="1490"/>
    </row>
    <row r="89" spans="1:11">
      <c r="A89" s="106"/>
      <c r="B89" s="1488" t="s">
        <v>449</v>
      </c>
      <c r="C89" s="1489"/>
      <c r="D89" s="1489"/>
      <c r="E89" s="1489"/>
      <c r="F89" s="1489"/>
      <c r="G89" s="1490"/>
    </row>
    <row r="90" spans="1:11">
      <c r="A90" s="106"/>
      <c r="B90" s="1488" t="s">
        <v>752</v>
      </c>
      <c r="C90" s="1489"/>
      <c r="D90" s="1489"/>
      <c r="E90" s="1489"/>
      <c r="F90" s="1489"/>
      <c r="G90" s="1490"/>
    </row>
    <row r="91" spans="1:11">
      <c r="A91" s="106"/>
      <c r="B91" s="1488" t="str">
        <f>B50</f>
        <v>(5) CIFRA PRESUPUESTARIA 2017</v>
      </c>
      <c r="C91" s="1489"/>
      <c r="D91" s="1489"/>
      <c r="E91" s="1489"/>
      <c r="F91" s="1489"/>
      <c r="G91" s="1490"/>
    </row>
    <row r="92" spans="1:11">
      <c r="A92" s="106"/>
      <c r="B92" s="1491" t="s">
        <v>398</v>
      </c>
      <c r="C92" s="1492"/>
      <c r="D92" s="1492"/>
      <c r="E92" s="1492"/>
      <c r="F92" s="1492"/>
      <c r="G92" s="1493"/>
    </row>
    <row r="93" spans="1:11">
      <c r="A93" s="106"/>
      <c r="B93" s="1531" t="s">
        <v>200</v>
      </c>
      <c r="C93" s="1470"/>
      <c r="D93" s="1470"/>
      <c r="E93" s="1470"/>
      <c r="F93" s="1470"/>
      <c r="G93" s="1532"/>
      <c r="H93" s="1"/>
      <c r="I93" s="1"/>
      <c r="J93" s="1"/>
      <c r="K93" s="1"/>
    </row>
    <row r="94" spans="1:11">
      <c r="A94" s="106"/>
      <c r="B94" s="1531"/>
      <c r="C94" s="1470"/>
      <c r="D94" s="1470"/>
      <c r="E94" s="1470"/>
      <c r="F94" s="1470"/>
      <c r="G94" s="1532"/>
      <c r="H94" s="1"/>
      <c r="I94" s="1"/>
      <c r="J94" s="1"/>
      <c r="K94" s="1"/>
    </row>
    <row r="95" spans="1:11">
      <c r="A95" s="106"/>
      <c r="B95" s="1531"/>
      <c r="C95" s="1470"/>
      <c r="D95" s="1470"/>
      <c r="E95" s="1470"/>
      <c r="F95" s="1470"/>
      <c r="G95" s="1532"/>
      <c r="H95" s="1"/>
      <c r="I95" s="1"/>
      <c r="J95" s="1"/>
      <c r="K95" s="1"/>
    </row>
    <row r="96" spans="1:11">
      <c r="A96" s="106"/>
      <c r="B96" s="1533"/>
      <c r="C96" s="1534"/>
      <c r="D96" s="1534"/>
      <c r="E96" s="1534"/>
      <c r="F96" s="1534"/>
      <c r="G96" s="1535"/>
      <c r="H96" s="1"/>
      <c r="I96" s="1"/>
      <c r="J96" s="1"/>
      <c r="K96" s="1"/>
    </row>
    <row r="97" spans="1:7">
      <c r="A97" s="106"/>
      <c r="B97" s="248"/>
      <c r="C97" s="249"/>
      <c r="D97" s="249"/>
      <c r="E97" s="249"/>
      <c r="F97" s="249"/>
      <c r="G97" s="250"/>
    </row>
    <row r="98" spans="1:7">
      <c r="A98" s="106"/>
      <c r="B98" s="110"/>
      <c r="C98" s="111"/>
      <c r="D98" s="111"/>
      <c r="E98" s="111"/>
      <c r="F98" s="111"/>
      <c r="G98" s="112"/>
    </row>
    <row r="99" spans="1:7">
      <c r="A99" s="106"/>
      <c r="B99" s="113" t="s">
        <v>754</v>
      </c>
      <c r="C99" s="106"/>
      <c r="D99" s="106"/>
      <c r="E99" s="106"/>
      <c r="F99" s="106"/>
      <c r="G99" s="109"/>
    </row>
    <row r="100" spans="1:7">
      <c r="A100" s="106"/>
      <c r="B100" s="1494" t="s">
        <v>1021</v>
      </c>
      <c r="C100" s="1496" t="s">
        <v>399</v>
      </c>
      <c r="D100" s="1497"/>
      <c r="E100" s="1498"/>
      <c r="F100" s="1496" t="s">
        <v>400</v>
      </c>
      <c r="G100" s="1498"/>
    </row>
    <row r="101" spans="1:7">
      <c r="A101" s="106"/>
      <c r="B101" s="1495"/>
      <c r="C101" s="1528"/>
      <c r="D101" s="1529"/>
      <c r="E101" s="1530"/>
      <c r="F101" s="1528"/>
      <c r="G101" s="1530"/>
    </row>
    <row r="102" spans="1:7">
      <c r="A102" s="106"/>
      <c r="B102" s="114"/>
      <c r="C102" s="114"/>
      <c r="D102" s="124"/>
      <c r="E102" s="124"/>
      <c r="F102" s="1478"/>
      <c r="G102" s="1479"/>
    </row>
    <row r="103" spans="1:7" ht="14.25" customHeight="1">
      <c r="A103" s="106"/>
      <c r="B103" s="721" t="s">
        <v>1022</v>
      </c>
      <c r="C103" s="108" t="s">
        <v>214</v>
      </c>
      <c r="D103" s="106"/>
      <c r="E103" s="106"/>
      <c r="F103" s="1480">
        <f>'Plan 3'!H15+'Plan 3'!H21</f>
        <v>78928.926000000007</v>
      </c>
      <c r="G103" s="1481"/>
    </row>
    <row r="104" spans="1:7" ht="13.5" customHeight="1">
      <c r="A104" s="106"/>
      <c r="B104" s="108"/>
      <c r="C104" s="108" t="s">
        <v>267</v>
      </c>
      <c r="D104" s="106"/>
      <c r="E104" s="106"/>
      <c r="F104" s="1480"/>
      <c r="G104" s="1481"/>
    </row>
    <row r="105" spans="1:7">
      <c r="A105" s="106"/>
      <c r="B105" s="108"/>
      <c r="C105" s="108" t="s">
        <v>201</v>
      </c>
      <c r="D105" s="106"/>
      <c r="E105" s="106"/>
      <c r="F105" s="1480"/>
      <c r="G105" s="1481"/>
    </row>
    <row r="106" spans="1:7">
      <c r="A106" s="106"/>
      <c r="B106" s="108"/>
      <c r="C106" s="108" t="s">
        <v>202</v>
      </c>
      <c r="D106" s="106"/>
      <c r="E106" s="106"/>
      <c r="F106" s="1480"/>
      <c r="G106" s="1481"/>
    </row>
    <row r="107" spans="1:7">
      <c r="A107" s="106"/>
      <c r="B107" s="108"/>
      <c r="C107" s="108" t="s">
        <v>203</v>
      </c>
      <c r="D107" s="106"/>
      <c r="E107" s="106"/>
      <c r="F107" s="1480"/>
      <c r="G107" s="1481"/>
    </row>
    <row r="108" spans="1:7" ht="15.75" customHeight="1">
      <c r="A108" s="106"/>
      <c r="B108" s="1536" t="s">
        <v>1025</v>
      </c>
      <c r="C108" s="108" t="s">
        <v>204</v>
      </c>
      <c r="D108" s="106"/>
      <c r="E108" s="106"/>
      <c r="F108" s="1480">
        <f>'Plan 3'!H16+'Plan 3'!H22+'Plan 3'!H28+'Plan 3'!H31</f>
        <v>540480.5</v>
      </c>
      <c r="G108" s="1481"/>
    </row>
    <row r="109" spans="1:7" ht="13.5" customHeight="1">
      <c r="A109" s="106"/>
      <c r="B109" s="1536"/>
      <c r="C109" s="108" t="s">
        <v>205</v>
      </c>
      <c r="D109" s="106"/>
      <c r="E109" s="106"/>
      <c r="F109" s="1480"/>
      <c r="G109" s="1481"/>
    </row>
    <row r="110" spans="1:7">
      <c r="A110" s="106"/>
      <c r="B110" s="108"/>
      <c r="C110" s="108" t="s">
        <v>268</v>
      </c>
      <c r="D110" s="106"/>
      <c r="E110" s="106"/>
      <c r="F110" s="1480"/>
      <c r="G110" s="1481"/>
    </row>
    <row r="111" spans="1:7" ht="14.25" customHeight="1">
      <c r="A111" s="106"/>
      <c r="B111" s="108"/>
      <c r="C111" s="108" t="s">
        <v>269</v>
      </c>
      <c r="D111" s="106"/>
      <c r="E111" s="106"/>
      <c r="F111" s="1480"/>
      <c r="G111" s="1481"/>
    </row>
    <row r="112" spans="1:7" ht="13.5" customHeight="1">
      <c r="A112" s="106"/>
      <c r="B112" s="108"/>
      <c r="C112" s="1482" t="s">
        <v>1026</v>
      </c>
      <c r="D112" s="1483"/>
      <c r="E112" s="1484"/>
      <c r="F112" s="1480"/>
      <c r="G112" s="1481"/>
    </row>
    <row r="113" spans="1:7">
      <c r="A113" s="106"/>
      <c r="B113" s="108"/>
      <c r="C113" s="1485"/>
      <c r="D113" s="1483"/>
      <c r="E113" s="1484"/>
      <c r="F113" s="1480"/>
      <c r="G113" s="1481"/>
    </row>
    <row r="114" spans="1:7">
      <c r="A114" s="106"/>
      <c r="B114" s="108"/>
      <c r="C114" s="108"/>
      <c r="D114" s="106"/>
      <c r="E114" s="106"/>
      <c r="F114" s="1436"/>
      <c r="G114" s="1437"/>
    </row>
    <row r="115" spans="1:7">
      <c r="A115" s="106"/>
      <c r="B115" s="1536" t="s">
        <v>1195</v>
      </c>
      <c r="C115" s="1545" t="s">
        <v>1196</v>
      </c>
      <c r="D115" s="1546"/>
      <c r="E115" s="1547"/>
      <c r="F115" s="1436">
        <f>'Plan 3'!H34</f>
        <v>0</v>
      </c>
      <c r="G115" s="1437"/>
    </row>
    <row r="116" spans="1:7">
      <c r="A116" s="106"/>
      <c r="B116" s="1536"/>
      <c r="C116" s="1548"/>
      <c r="D116" s="1546"/>
      <c r="E116" s="1547"/>
      <c r="F116" s="1436"/>
      <c r="G116" s="1437"/>
    </row>
    <row r="117" spans="1:7">
      <c r="A117" s="106"/>
      <c r="B117" s="275"/>
      <c r="C117" s="248"/>
      <c r="D117" s="249"/>
      <c r="E117" s="249"/>
      <c r="F117" s="1486"/>
      <c r="G117" s="1487"/>
    </row>
    <row r="118" spans="1:7">
      <c r="A118" s="106"/>
      <c r="B118" s="123" t="s">
        <v>395</v>
      </c>
      <c r="C118" s="249"/>
      <c r="D118" s="249"/>
      <c r="E118" s="250"/>
      <c r="F118" s="1502">
        <f>SUM(F103:G117)</f>
        <v>619409.42599999998</v>
      </c>
      <c r="G118" s="1503"/>
    </row>
    <row r="119" spans="1:7">
      <c r="A119" s="106"/>
      <c r="B119" s="106"/>
      <c r="C119" s="106"/>
      <c r="D119" s="106"/>
      <c r="E119" s="106"/>
      <c r="F119" s="106"/>
      <c r="G119" s="106"/>
    </row>
    <row r="120" spans="1:7">
      <c r="A120" s="106"/>
      <c r="B120" s="106"/>
      <c r="C120" s="106"/>
      <c r="D120" s="106"/>
      <c r="E120" s="106"/>
      <c r="F120" s="106"/>
      <c r="G120" s="106"/>
    </row>
    <row r="121" spans="1:7">
      <c r="A121" s="106"/>
      <c r="B121" s="106"/>
      <c r="C121" s="106"/>
      <c r="D121" s="106"/>
      <c r="E121" s="106"/>
      <c r="F121" s="106"/>
      <c r="G121" s="106"/>
    </row>
    <row r="122" spans="1:7">
      <c r="A122" s="106"/>
      <c r="B122" s="106"/>
      <c r="C122" s="106"/>
      <c r="D122" s="106"/>
      <c r="E122" s="106"/>
      <c r="F122" s="106"/>
      <c r="G122" s="106"/>
    </row>
    <row r="123" spans="1:7">
      <c r="A123" s="106"/>
      <c r="B123" s="106"/>
      <c r="C123" s="106"/>
      <c r="D123" s="106"/>
      <c r="E123" s="106"/>
      <c r="F123" s="106"/>
      <c r="G123" s="106"/>
    </row>
    <row r="124" spans="1:7">
      <c r="A124" s="106"/>
      <c r="B124" s="1428" t="s">
        <v>388</v>
      </c>
      <c r="C124" s="1428"/>
      <c r="D124" s="1428"/>
      <c r="E124" s="1428"/>
      <c r="F124" s="1428"/>
      <c r="G124" s="1428"/>
    </row>
    <row r="125" spans="1:7">
      <c r="A125" s="106"/>
      <c r="B125" s="1505" t="s">
        <v>397</v>
      </c>
      <c r="C125" s="1505"/>
      <c r="D125" s="1505"/>
      <c r="E125" s="1505"/>
      <c r="F125" s="1505"/>
      <c r="G125" s="1505"/>
    </row>
    <row r="126" spans="1:7">
      <c r="A126" s="106"/>
      <c r="B126" s="106"/>
      <c r="C126" s="106"/>
      <c r="D126" s="106"/>
      <c r="E126" s="106"/>
      <c r="F126" s="106"/>
      <c r="G126" s="106"/>
    </row>
    <row r="127" spans="1:7">
      <c r="A127" s="106"/>
      <c r="B127" s="1488" t="s">
        <v>7</v>
      </c>
      <c r="C127" s="1489"/>
      <c r="D127" s="1489"/>
      <c r="E127" s="1489"/>
      <c r="F127" s="1489"/>
      <c r="G127" s="1490"/>
    </row>
    <row r="128" spans="1:7">
      <c r="A128" s="106"/>
      <c r="B128" s="1488" t="s">
        <v>1394</v>
      </c>
      <c r="C128" s="1489"/>
      <c r="D128" s="1489"/>
      <c r="E128" s="1489"/>
      <c r="F128" s="1489"/>
      <c r="G128" s="1490"/>
    </row>
    <row r="129" spans="1:7">
      <c r="A129" s="106"/>
      <c r="B129" s="1488" t="s">
        <v>389</v>
      </c>
      <c r="C129" s="1489"/>
      <c r="D129" s="1489"/>
      <c r="E129" s="1489"/>
      <c r="F129" s="1489"/>
      <c r="G129" s="1490"/>
    </row>
    <row r="130" spans="1:7">
      <c r="A130" s="106"/>
      <c r="B130" s="1488" t="s">
        <v>1028</v>
      </c>
      <c r="C130" s="1489"/>
      <c r="D130" s="1489"/>
      <c r="E130" s="1489"/>
      <c r="F130" s="1489"/>
      <c r="G130" s="1490"/>
    </row>
    <row r="131" spans="1:7">
      <c r="A131" s="106"/>
      <c r="B131" s="1488" t="s">
        <v>1395</v>
      </c>
      <c r="C131" s="1489"/>
      <c r="D131" s="1489"/>
      <c r="E131" s="1489"/>
      <c r="F131" s="1489"/>
      <c r="G131" s="1490"/>
    </row>
    <row r="132" spans="1:7">
      <c r="A132" s="106"/>
      <c r="B132" s="1491" t="s">
        <v>398</v>
      </c>
      <c r="C132" s="1492"/>
      <c r="D132" s="1492"/>
      <c r="E132" s="1492"/>
      <c r="F132" s="1492"/>
      <c r="G132" s="1493"/>
    </row>
    <row r="133" spans="1:7">
      <c r="A133" s="106"/>
      <c r="B133" s="1531" t="s">
        <v>200</v>
      </c>
      <c r="C133" s="1470"/>
      <c r="D133" s="1470"/>
      <c r="E133" s="1470"/>
      <c r="F133" s="1470"/>
      <c r="G133" s="1532"/>
    </row>
    <row r="134" spans="1:7">
      <c r="A134" s="106"/>
      <c r="B134" s="1531"/>
      <c r="C134" s="1470"/>
      <c r="D134" s="1470"/>
      <c r="E134" s="1470"/>
      <c r="F134" s="1470"/>
      <c r="G134" s="1532"/>
    </row>
    <row r="135" spans="1:7">
      <c r="A135" s="106"/>
      <c r="B135" s="1531"/>
      <c r="C135" s="1470"/>
      <c r="D135" s="1470"/>
      <c r="E135" s="1470"/>
      <c r="F135" s="1470"/>
      <c r="G135" s="1532"/>
    </row>
    <row r="136" spans="1:7">
      <c r="A136" s="106"/>
      <c r="B136" s="1533"/>
      <c r="C136" s="1534"/>
      <c r="D136" s="1534"/>
      <c r="E136" s="1534"/>
      <c r="F136" s="1534"/>
      <c r="G136" s="1535"/>
    </row>
    <row r="137" spans="1:7">
      <c r="A137" s="106"/>
      <c r="B137" s="248"/>
      <c r="C137" s="249"/>
      <c r="D137" s="249"/>
      <c r="E137" s="249"/>
      <c r="F137" s="249"/>
      <c r="G137" s="250"/>
    </row>
    <row r="138" spans="1:7">
      <c r="A138" s="106"/>
      <c r="B138" s="110"/>
      <c r="C138" s="111"/>
      <c r="D138" s="111"/>
      <c r="E138" s="111"/>
      <c r="F138" s="111"/>
      <c r="G138" s="112"/>
    </row>
    <row r="139" spans="1:7">
      <c r="A139" s="106"/>
      <c r="B139" s="113" t="s">
        <v>754</v>
      </c>
      <c r="C139" s="106"/>
      <c r="D139" s="106"/>
      <c r="E139" s="106"/>
      <c r="F139" s="106"/>
      <c r="G139" s="109"/>
    </row>
    <row r="140" spans="1:7">
      <c r="A140" s="106"/>
      <c r="B140" s="1494" t="s">
        <v>1021</v>
      </c>
      <c r="C140" s="1496" t="s">
        <v>399</v>
      </c>
      <c r="D140" s="1497"/>
      <c r="E140" s="1498"/>
      <c r="F140" s="1496" t="s">
        <v>400</v>
      </c>
      <c r="G140" s="1498"/>
    </row>
    <row r="141" spans="1:7">
      <c r="A141" s="106"/>
      <c r="B141" s="1495"/>
      <c r="C141" s="1528"/>
      <c r="D141" s="1529"/>
      <c r="E141" s="1530"/>
      <c r="F141" s="1528"/>
      <c r="G141" s="1530"/>
    </row>
    <row r="142" spans="1:7">
      <c r="A142" s="106"/>
      <c r="B142" s="114"/>
      <c r="C142" s="114"/>
      <c r="D142" s="124"/>
      <c r="E142" s="124"/>
      <c r="F142" s="1478"/>
      <c r="G142" s="1479"/>
    </row>
    <row r="143" spans="1:7" ht="12.75" customHeight="1">
      <c r="A143" s="106"/>
      <c r="B143" s="1536" t="s">
        <v>1027</v>
      </c>
      <c r="C143" s="108" t="s">
        <v>204</v>
      </c>
      <c r="D143" s="106"/>
      <c r="E143" s="106"/>
      <c r="F143" s="1480">
        <f>'Plan 3'!H32+'Plan 3'!H18</f>
        <v>3426000</v>
      </c>
      <c r="G143" s="1481"/>
    </row>
    <row r="144" spans="1:7">
      <c r="A144" s="106"/>
      <c r="B144" s="1536"/>
      <c r="C144" s="108" t="s">
        <v>205</v>
      </c>
      <c r="D144" s="106"/>
      <c r="E144" s="106"/>
      <c r="F144" s="1480"/>
      <c r="G144" s="1481"/>
    </row>
    <row r="145" spans="1:7">
      <c r="A145" s="106"/>
      <c r="B145" s="1536"/>
      <c r="C145" s="108" t="s">
        <v>268</v>
      </c>
      <c r="D145" s="106"/>
      <c r="E145" s="106"/>
      <c r="F145" s="1480"/>
      <c r="G145" s="1481"/>
    </row>
    <row r="146" spans="1:7">
      <c r="A146" s="106"/>
      <c r="B146" s="1536"/>
      <c r="C146" s="108" t="s">
        <v>269</v>
      </c>
      <c r="D146" s="106"/>
      <c r="E146" s="106"/>
      <c r="F146" s="1480"/>
      <c r="G146" s="1481"/>
    </row>
    <row r="147" spans="1:7">
      <c r="A147" s="106"/>
      <c r="B147" s="1536"/>
      <c r="C147" s="1482" t="s">
        <v>1026</v>
      </c>
      <c r="D147" s="1483"/>
      <c r="E147" s="1484"/>
      <c r="F147" s="1480"/>
      <c r="G147" s="1481"/>
    </row>
    <row r="148" spans="1:7">
      <c r="A148" s="106"/>
      <c r="B148" s="1536"/>
      <c r="C148" s="1485"/>
      <c r="D148" s="1483"/>
      <c r="E148" s="1484"/>
      <c r="F148" s="1480"/>
      <c r="G148" s="1481"/>
    </row>
    <row r="149" spans="1:7">
      <c r="A149" s="106"/>
      <c r="B149" s="108"/>
      <c r="C149" s="108"/>
      <c r="D149" s="106"/>
      <c r="E149" s="106"/>
      <c r="F149" s="1436"/>
      <c r="G149" s="1437"/>
    </row>
    <row r="150" spans="1:7">
      <c r="A150" s="106"/>
      <c r="B150" s="108"/>
      <c r="C150" s="108"/>
      <c r="D150" s="106"/>
      <c r="E150" s="106"/>
      <c r="F150" s="1436"/>
      <c r="G150" s="1437"/>
    </row>
    <row r="151" spans="1:7">
      <c r="A151" s="106"/>
      <c r="B151" s="122"/>
      <c r="C151" s="108"/>
      <c r="D151" s="106"/>
      <c r="E151" s="106"/>
      <c r="F151" s="1436"/>
      <c r="G151" s="1437"/>
    </row>
    <row r="152" spans="1:7">
      <c r="A152" s="106"/>
      <c r="B152" s="275"/>
      <c r="C152" s="248"/>
      <c r="D152" s="249"/>
      <c r="E152" s="249"/>
      <c r="F152" s="1486"/>
      <c r="G152" s="1487"/>
    </row>
    <row r="153" spans="1:7">
      <c r="A153" s="106"/>
      <c r="B153" s="123" t="s">
        <v>395</v>
      </c>
      <c r="C153" s="249"/>
      <c r="D153" s="249"/>
      <c r="E153" s="250"/>
      <c r="F153" s="1502">
        <f>SUM(F143:G152)</f>
        <v>3426000</v>
      </c>
      <c r="G153" s="1503"/>
    </row>
    <row r="154" spans="1:7">
      <c r="A154" s="106"/>
      <c r="B154" s="106"/>
      <c r="C154" s="106"/>
      <c r="D154" s="106"/>
      <c r="E154" s="106"/>
      <c r="F154" s="106"/>
      <c r="G154" s="106"/>
    </row>
    <row r="155" spans="1:7">
      <c r="A155" s="106"/>
      <c r="B155" s="106"/>
      <c r="C155" s="106"/>
      <c r="D155" s="106"/>
      <c r="E155" s="106"/>
      <c r="F155" s="106"/>
      <c r="G155" s="106"/>
    </row>
    <row r="156" spans="1:7">
      <c r="A156" s="106"/>
      <c r="B156" s="106"/>
      <c r="C156" s="106"/>
      <c r="D156" s="106"/>
      <c r="E156" s="106"/>
      <c r="F156" s="106"/>
      <c r="G156" s="106"/>
    </row>
    <row r="157" spans="1:7">
      <c r="A157" s="106"/>
      <c r="B157" s="106"/>
      <c r="C157" s="106"/>
      <c r="D157" s="106"/>
      <c r="E157" s="106"/>
      <c r="F157" s="106"/>
      <c r="G157" s="106"/>
    </row>
    <row r="158" spans="1:7">
      <c r="A158" s="106"/>
      <c r="B158" s="106"/>
      <c r="C158" s="106"/>
      <c r="D158" s="106"/>
      <c r="E158" s="106"/>
      <c r="F158" s="106"/>
      <c r="G158" s="106"/>
    </row>
    <row r="159" spans="1:7">
      <c r="A159" s="106"/>
      <c r="B159" s="106"/>
      <c r="C159" s="106"/>
      <c r="D159" s="106"/>
      <c r="E159" s="106"/>
      <c r="F159" s="106"/>
      <c r="G159" s="106"/>
    </row>
    <row r="160" spans="1:7">
      <c r="A160" s="106"/>
      <c r="B160" s="106"/>
      <c r="C160" s="106"/>
      <c r="D160" s="106"/>
      <c r="E160" s="106"/>
      <c r="F160" s="106"/>
      <c r="G160" s="106"/>
    </row>
    <row r="161" spans="1:7">
      <c r="A161" s="106"/>
      <c r="B161" s="106"/>
      <c r="C161" s="106"/>
      <c r="D161" s="106"/>
      <c r="E161" s="106"/>
      <c r="F161" s="106"/>
      <c r="G161" s="106"/>
    </row>
    <row r="162" spans="1:7">
      <c r="A162" s="106"/>
      <c r="B162" s="106"/>
      <c r="C162" s="106"/>
      <c r="D162" s="106"/>
      <c r="E162" s="106"/>
      <c r="F162" s="106"/>
      <c r="G162" s="106"/>
    </row>
    <row r="163" spans="1:7">
      <c r="A163" s="106"/>
      <c r="B163" s="106"/>
      <c r="C163" s="106"/>
      <c r="D163" s="106"/>
      <c r="E163" s="106"/>
      <c r="F163" s="106"/>
      <c r="G163" s="106"/>
    </row>
    <row r="164" spans="1:7">
      <c r="A164" s="106"/>
      <c r="B164" s="1428" t="s">
        <v>388</v>
      </c>
      <c r="C164" s="1428"/>
      <c r="D164" s="1428"/>
      <c r="E164" s="1428"/>
      <c r="F164" s="1428"/>
      <c r="G164" s="1428"/>
    </row>
    <row r="165" spans="1:7">
      <c r="A165" s="106"/>
      <c r="B165" s="1505" t="s">
        <v>397</v>
      </c>
      <c r="C165" s="1505"/>
      <c r="D165" s="1505"/>
      <c r="E165" s="1505"/>
      <c r="F165" s="1505"/>
      <c r="G165" s="1505"/>
    </row>
    <row r="166" spans="1:7">
      <c r="A166" s="106"/>
      <c r="B166" s="106"/>
      <c r="C166" s="106"/>
      <c r="D166" s="106"/>
      <c r="E166" s="106"/>
      <c r="F166" s="106"/>
      <c r="G166" s="106"/>
    </row>
    <row r="167" spans="1:7">
      <c r="A167" s="106"/>
      <c r="B167" s="1488" t="s">
        <v>7</v>
      </c>
      <c r="C167" s="1489"/>
      <c r="D167" s="1489"/>
      <c r="E167" s="1489"/>
      <c r="F167" s="1489"/>
      <c r="G167" s="1490"/>
    </row>
    <row r="168" spans="1:7">
      <c r="A168" s="106"/>
      <c r="B168" s="1488" t="str">
        <f>B88</f>
        <v>(2) EJERCICIO FINANCIERO FISCAL: 2017</v>
      </c>
      <c r="C168" s="1489"/>
      <c r="D168" s="1489"/>
      <c r="E168" s="1489"/>
      <c r="F168" s="1489"/>
      <c r="G168" s="1490"/>
    </row>
    <row r="169" spans="1:7">
      <c r="A169" s="106"/>
      <c r="B169" s="1488" t="s">
        <v>753</v>
      </c>
      <c r="C169" s="1489"/>
      <c r="D169" s="1489"/>
      <c r="E169" s="1489"/>
      <c r="F169" s="1489"/>
      <c r="G169" s="1490"/>
    </row>
    <row r="170" spans="1:7">
      <c r="A170" s="106"/>
      <c r="B170" s="1488" t="s">
        <v>452</v>
      </c>
      <c r="C170" s="1489"/>
      <c r="D170" s="1489"/>
      <c r="E170" s="1489"/>
      <c r="F170" s="1489"/>
      <c r="G170" s="1490"/>
    </row>
    <row r="171" spans="1:7">
      <c r="A171" s="106"/>
      <c r="B171" s="1488" t="str">
        <f>B91</f>
        <v>(5) CIFRA PRESUPUESTARIA 2017</v>
      </c>
      <c r="C171" s="1489"/>
      <c r="D171" s="1489"/>
      <c r="E171" s="1489"/>
      <c r="F171" s="1489"/>
      <c r="G171" s="1490"/>
    </row>
    <row r="172" spans="1:7">
      <c r="A172" s="106"/>
      <c r="B172" s="1491" t="s">
        <v>398</v>
      </c>
      <c r="C172" s="1492"/>
      <c r="D172" s="1492"/>
      <c r="E172" s="1492"/>
      <c r="F172" s="1492"/>
      <c r="G172" s="1493"/>
    </row>
    <row r="173" spans="1:7">
      <c r="A173" s="106"/>
      <c r="B173" s="108"/>
      <c r="C173" s="1456" t="s">
        <v>215</v>
      </c>
      <c r="D173" s="1456"/>
      <c r="E173" s="1456"/>
      <c r="F173" s="1456"/>
      <c r="G173" s="1464"/>
    </row>
    <row r="174" spans="1:7">
      <c r="A174" s="106"/>
      <c r="B174" s="108"/>
      <c r="C174" s="1456"/>
      <c r="D174" s="1456"/>
      <c r="E174" s="1456"/>
      <c r="F174" s="1456"/>
      <c r="G174" s="1464"/>
    </row>
    <row r="175" spans="1:7">
      <c r="A175" s="106"/>
      <c r="B175" s="108"/>
      <c r="C175" s="1456"/>
      <c r="D175" s="1456"/>
      <c r="E175" s="1456"/>
      <c r="F175" s="1456"/>
      <c r="G175" s="1464"/>
    </row>
    <row r="176" spans="1:7">
      <c r="A176" s="106"/>
      <c r="B176" s="108"/>
      <c r="C176" s="106"/>
      <c r="D176" s="106"/>
      <c r="E176" s="106"/>
      <c r="F176" s="106"/>
      <c r="G176" s="109"/>
    </row>
    <row r="177" spans="1:7">
      <c r="A177" s="106"/>
      <c r="B177" s="108"/>
      <c r="C177" s="106"/>
      <c r="D177" s="106"/>
      <c r="E177" s="106"/>
      <c r="F177" s="106"/>
      <c r="G177" s="109"/>
    </row>
    <row r="178" spans="1:7">
      <c r="A178" s="106"/>
      <c r="B178" s="110"/>
      <c r="C178" s="111"/>
      <c r="D178" s="111"/>
      <c r="E178" s="111"/>
      <c r="F178" s="111"/>
      <c r="G178" s="112"/>
    </row>
    <row r="179" spans="1:7">
      <c r="A179" s="106"/>
      <c r="B179" s="113" t="s">
        <v>754</v>
      </c>
      <c r="C179" s="106"/>
      <c r="D179" s="106"/>
      <c r="E179" s="106"/>
      <c r="F179" s="106"/>
      <c r="G179" s="109"/>
    </row>
    <row r="180" spans="1:7">
      <c r="A180" s="106"/>
      <c r="B180" s="1494" t="s">
        <v>1021</v>
      </c>
      <c r="C180" s="1496" t="s">
        <v>399</v>
      </c>
      <c r="D180" s="1497"/>
      <c r="E180" s="1498"/>
      <c r="F180" s="1496" t="s">
        <v>400</v>
      </c>
      <c r="G180" s="1498"/>
    </row>
    <row r="181" spans="1:7">
      <c r="A181" s="106"/>
      <c r="B181" s="1495"/>
      <c r="C181" s="1499"/>
      <c r="D181" s="1500"/>
      <c r="E181" s="1501"/>
      <c r="F181" s="1499"/>
      <c r="G181" s="1501"/>
    </row>
    <row r="182" spans="1:7">
      <c r="A182" s="106"/>
      <c r="B182" s="114"/>
      <c r="C182" s="114"/>
      <c r="D182" s="124"/>
      <c r="E182" s="124"/>
      <c r="F182" s="1478"/>
      <c r="G182" s="1479"/>
    </row>
    <row r="183" spans="1:7">
      <c r="A183" s="106"/>
      <c r="B183" s="1477" t="s">
        <v>1029</v>
      </c>
      <c r="C183" s="1539" t="s">
        <v>741</v>
      </c>
      <c r="D183" s="1540"/>
      <c r="E183" s="1541"/>
      <c r="F183" s="1537">
        <f>'Plan 3'!H17</f>
        <v>817999.58000000007</v>
      </c>
      <c r="G183" s="1538"/>
    </row>
    <row r="184" spans="1:7">
      <c r="A184" s="106"/>
      <c r="B184" s="1477"/>
      <c r="C184" s="1542"/>
      <c r="D184" s="1543"/>
      <c r="E184" s="1544"/>
      <c r="F184" s="1526"/>
      <c r="G184" s="1527"/>
    </row>
    <row r="185" spans="1:7">
      <c r="A185" s="106"/>
      <c r="B185" s="108"/>
      <c r="C185" s="122"/>
      <c r="D185" s="132"/>
      <c r="E185" s="132"/>
      <c r="F185" s="1436"/>
      <c r="G185" s="1437"/>
    </row>
    <row r="186" spans="1:7">
      <c r="A186" s="106"/>
      <c r="B186" s="108"/>
      <c r="C186" s="108"/>
      <c r="D186" s="106"/>
      <c r="E186" s="106"/>
      <c r="F186" s="1436"/>
      <c r="G186" s="1437"/>
    </row>
    <row r="187" spans="1:7">
      <c r="A187" s="106"/>
      <c r="B187" s="118"/>
      <c r="C187" s="108"/>
      <c r="D187" s="106"/>
      <c r="E187" s="106"/>
      <c r="F187" s="1436"/>
      <c r="G187" s="1437"/>
    </row>
    <row r="188" spans="1:7">
      <c r="A188" s="106"/>
      <c r="B188" s="108"/>
      <c r="C188" s="1528"/>
      <c r="D188" s="1529"/>
      <c r="E188" s="1530"/>
      <c r="F188" s="1436"/>
      <c r="G188" s="1437"/>
    </row>
    <row r="189" spans="1:7">
      <c r="A189" s="106"/>
      <c r="B189" s="108"/>
      <c r="C189" s="1528"/>
      <c r="D189" s="1529"/>
      <c r="E189" s="1530"/>
      <c r="F189" s="1436"/>
      <c r="G189" s="1437"/>
    </row>
    <row r="190" spans="1:7">
      <c r="A190" s="106"/>
      <c r="B190" s="108"/>
      <c r="C190" s="119"/>
      <c r="D190" s="120"/>
      <c r="E190" s="121"/>
      <c r="F190" s="1436"/>
      <c r="G190" s="1437"/>
    </row>
    <row r="191" spans="1:7">
      <c r="A191" s="106"/>
      <c r="B191" s="108"/>
      <c r="C191" s="1512"/>
      <c r="D191" s="1510"/>
      <c r="E191" s="1511"/>
      <c r="F191" s="1436"/>
      <c r="G191" s="1437"/>
    </row>
    <row r="192" spans="1:7">
      <c r="A192" s="106"/>
      <c r="B192" s="108"/>
      <c r="C192" s="1512"/>
      <c r="D192" s="1510"/>
      <c r="E192" s="1511"/>
      <c r="F192" s="1436"/>
      <c r="G192" s="1437"/>
    </row>
    <row r="193" spans="1:7">
      <c r="A193" s="106"/>
      <c r="B193" s="108"/>
      <c r="C193" s="119"/>
      <c r="D193" s="120"/>
      <c r="E193" s="121"/>
      <c r="F193" s="1526"/>
      <c r="G193" s="1527"/>
    </row>
    <row r="194" spans="1:7">
      <c r="A194" s="106"/>
      <c r="B194" s="108"/>
      <c r="C194" s="108"/>
      <c r="D194" s="106"/>
      <c r="E194" s="106"/>
      <c r="F194" s="1436"/>
      <c r="G194" s="1437"/>
    </row>
    <row r="195" spans="1:7">
      <c r="A195" s="106"/>
      <c r="B195" s="108"/>
      <c r="C195" s="108"/>
      <c r="D195" s="106"/>
      <c r="E195" s="106"/>
      <c r="F195" s="1436"/>
      <c r="G195" s="1437"/>
    </row>
    <row r="196" spans="1:7">
      <c r="A196" s="106"/>
      <c r="B196" s="122"/>
      <c r="C196" s="108"/>
      <c r="D196" s="106"/>
      <c r="E196" s="106"/>
      <c r="F196" s="1436"/>
      <c r="G196" s="1437"/>
    </row>
    <row r="197" spans="1:7">
      <c r="A197" s="106"/>
      <c r="B197" s="122"/>
      <c r="C197" s="108"/>
      <c r="D197" s="106"/>
      <c r="E197" s="106"/>
      <c r="F197" s="1549"/>
      <c r="G197" s="1550"/>
    </row>
    <row r="198" spans="1:7">
      <c r="A198" s="106"/>
      <c r="B198" s="123" t="s">
        <v>395</v>
      </c>
      <c r="C198" s="111"/>
      <c r="D198" s="111"/>
      <c r="E198" s="112"/>
      <c r="F198" s="1381">
        <f>F183</f>
        <v>817999.58000000007</v>
      </c>
      <c r="G198" s="1382"/>
    </row>
    <row r="199" spans="1:7">
      <c r="A199" s="106"/>
      <c r="B199" s="106"/>
      <c r="C199" s="106"/>
      <c r="D199" s="106"/>
      <c r="E199" s="106"/>
      <c r="F199" s="106"/>
      <c r="G199" s="106"/>
    </row>
    <row r="200" spans="1:7">
      <c r="A200" s="106"/>
      <c r="B200" s="106"/>
      <c r="C200" s="106"/>
      <c r="D200" s="106"/>
      <c r="E200" s="106"/>
      <c r="F200" s="106"/>
      <c r="G200" s="106"/>
    </row>
    <row r="201" spans="1:7">
      <c r="A201" s="106"/>
      <c r="B201" s="106"/>
      <c r="C201" s="106"/>
      <c r="D201" s="106"/>
      <c r="E201" s="106"/>
      <c r="F201" s="106"/>
      <c r="G201" s="106"/>
    </row>
    <row r="202" spans="1:7">
      <c r="A202" s="106"/>
      <c r="B202" s="106"/>
      <c r="C202" s="106"/>
      <c r="D202" s="106"/>
      <c r="E202" s="106"/>
      <c r="F202" s="106"/>
      <c r="G202" s="106"/>
    </row>
    <row r="203" spans="1:7">
      <c r="A203" s="106"/>
      <c r="B203" s="106"/>
      <c r="C203" s="106"/>
      <c r="E203" s="106"/>
      <c r="F203" s="106"/>
      <c r="G203" s="106"/>
    </row>
    <row r="204" spans="1:7">
      <c r="A204" s="106"/>
      <c r="B204" s="106"/>
      <c r="C204" s="106"/>
      <c r="D204" s="106"/>
      <c r="E204" s="106"/>
      <c r="F204" s="106"/>
      <c r="G204" s="106"/>
    </row>
    <row r="205" spans="1:7">
      <c r="A205" s="106"/>
      <c r="B205" s="106"/>
      <c r="C205" s="106"/>
      <c r="D205" s="106"/>
      <c r="E205" s="106"/>
      <c r="F205" s="106"/>
      <c r="G205" s="106"/>
    </row>
    <row r="206" spans="1:7">
      <c r="A206" s="106"/>
      <c r="B206" s="106"/>
      <c r="C206" s="106"/>
      <c r="D206" s="106"/>
      <c r="E206" s="106"/>
      <c r="F206" s="106"/>
      <c r="G206" s="106"/>
    </row>
    <row r="207" spans="1:7">
      <c r="A207" s="106"/>
      <c r="B207" s="106"/>
      <c r="C207" s="106"/>
      <c r="D207" s="106"/>
      <c r="E207" s="106"/>
      <c r="F207" s="106"/>
      <c r="G207" s="106"/>
    </row>
    <row r="208" spans="1:7">
      <c r="A208" s="106"/>
      <c r="B208" s="106"/>
      <c r="C208" s="106"/>
      <c r="D208" s="106"/>
      <c r="E208" s="106"/>
      <c r="F208" s="106"/>
      <c r="G208" s="106"/>
    </row>
    <row r="209" spans="1:7">
      <c r="A209" s="106"/>
      <c r="B209" s="106"/>
      <c r="C209" s="106"/>
      <c r="D209" s="106"/>
      <c r="E209" s="106"/>
      <c r="F209" s="106"/>
      <c r="G209" s="106"/>
    </row>
    <row r="210" spans="1:7" hidden="1">
      <c r="A210" s="106"/>
      <c r="B210" s="106"/>
      <c r="C210" s="106"/>
      <c r="D210" s="547">
        <f>F198+F118+F77+F38+F153</f>
        <v>6137588.0884999996</v>
      </c>
      <c r="E210" s="106"/>
      <c r="F210" s="106"/>
      <c r="G210" s="106"/>
    </row>
    <row r="211" spans="1:7">
      <c r="A211" s="106"/>
      <c r="B211" s="106"/>
      <c r="C211" s="106"/>
      <c r="D211" s="106"/>
      <c r="E211" s="106"/>
      <c r="F211" s="106"/>
      <c r="G211" s="106"/>
    </row>
  </sheetData>
  <mergeCells count="132">
    <mergeCell ref="C140:E141"/>
    <mergeCell ref="F140:G141"/>
    <mergeCell ref="B108:B109"/>
    <mergeCell ref="C112:E113"/>
    <mergeCell ref="B115:B116"/>
    <mergeCell ref="C115:E116"/>
    <mergeCell ref="F115:G116"/>
    <mergeCell ref="F198:G198"/>
    <mergeCell ref="C192:E192"/>
    <mergeCell ref="F192:G192"/>
    <mergeCell ref="F193:G193"/>
    <mergeCell ref="F194:G194"/>
    <mergeCell ref="F195:G195"/>
    <mergeCell ref="F196:G196"/>
    <mergeCell ref="C191:E191"/>
    <mergeCell ref="F191:G191"/>
    <mergeCell ref="F197:G197"/>
    <mergeCell ref="B124:G124"/>
    <mergeCell ref="B125:G125"/>
    <mergeCell ref="B127:G127"/>
    <mergeCell ref="B128:G128"/>
    <mergeCell ref="B129:G129"/>
    <mergeCell ref="B130:G130"/>
    <mergeCell ref="B132:G132"/>
    <mergeCell ref="B133:G136"/>
    <mergeCell ref="B140:B141"/>
    <mergeCell ref="B131:G131"/>
    <mergeCell ref="B143:B148"/>
    <mergeCell ref="B93:G96"/>
    <mergeCell ref="C189:E189"/>
    <mergeCell ref="F189:G189"/>
    <mergeCell ref="F190:G190"/>
    <mergeCell ref="F187:G187"/>
    <mergeCell ref="C188:E188"/>
    <mergeCell ref="F188:G188"/>
    <mergeCell ref="F182:G182"/>
    <mergeCell ref="F184:G184"/>
    <mergeCell ref="F183:G183"/>
    <mergeCell ref="C183:E183"/>
    <mergeCell ref="C184:E184"/>
    <mergeCell ref="F185:G185"/>
    <mergeCell ref="F186:G186"/>
    <mergeCell ref="F102:G102"/>
    <mergeCell ref="B164:G164"/>
    <mergeCell ref="B165:G165"/>
    <mergeCell ref="F117:G117"/>
    <mergeCell ref="F118:G118"/>
    <mergeCell ref="F114:G114"/>
    <mergeCell ref="F103:G107"/>
    <mergeCell ref="F108:G113"/>
    <mergeCell ref="B84:G84"/>
    <mergeCell ref="B85:G85"/>
    <mergeCell ref="B87:G87"/>
    <mergeCell ref="B88:G88"/>
    <mergeCell ref="B89:G89"/>
    <mergeCell ref="B90:G90"/>
    <mergeCell ref="B91:G91"/>
    <mergeCell ref="B92:G92"/>
    <mergeCell ref="B100:B101"/>
    <mergeCell ref="C100:E101"/>
    <mergeCell ref="F100:G101"/>
    <mergeCell ref="C62:E65"/>
    <mergeCell ref="B59:B60"/>
    <mergeCell ref="B44:G44"/>
    <mergeCell ref="B39:G39"/>
    <mergeCell ref="F59:G60"/>
    <mergeCell ref="F62:G65"/>
    <mergeCell ref="F75:G75"/>
    <mergeCell ref="F77:G77"/>
    <mergeCell ref="F73:G73"/>
    <mergeCell ref="F74:G74"/>
    <mergeCell ref="F76:G76"/>
    <mergeCell ref="F72:G72"/>
    <mergeCell ref="F66:G66"/>
    <mergeCell ref="F71:G71"/>
    <mergeCell ref="F67:G67"/>
    <mergeCell ref="F70:G70"/>
    <mergeCell ref="F69:G69"/>
    <mergeCell ref="C28:E33"/>
    <mergeCell ref="F28:G33"/>
    <mergeCell ref="F34:G34"/>
    <mergeCell ref="F35:G35"/>
    <mergeCell ref="C34:E34"/>
    <mergeCell ref="F36:G36"/>
    <mergeCell ref="F37:G37"/>
    <mergeCell ref="F61:G61"/>
    <mergeCell ref="F38:G38"/>
    <mergeCell ref="B47:G47"/>
    <mergeCell ref="B48:G48"/>
    <mergeCell ref="C59:E60"/>
    <mergeCell ref="B43:G43"/>
    <mergeCell ref="B49:G49"/>
    <mergeCell ref="B51:G51"/>
    <mergeCell ref="B50:G50"/>
    <mergeCell ref="B46:G46"/>
    <mergeCell ref="B2:G2"/>
    <mergeCell ref="B4:G4"/>
    <mergeCell ref="B3:G3"/>
    <mergeCell ref="F19:G20"/>
    <mergeCell ref="C19:E20"/>
    <mergeCell ref="B19:B20"/>
    <mergeCell ref="B10:G10"/>
    <mergeCell ref="F27:G27"/>
    <mergeCell ref="B11:G11"/>
    <mergeCell ref="B6:G6"/>
    <mergeCell ref="B7:G7"/>
    <mergeCell ref="B8:G8"/>
    <mergeCell ref="B9:G9"/>
    <mergeCell ref="F21:G21"/>
    <mergeCell ref="C21:E21"/>
    <mergeCell ref="C22:E25"/>
    <mergeCell ref="F26:G26"/>
    <mergeCell ref="F22:G25"/>
    <mergeCell ref="B183:B184"/>
    <mergeCell ref="F142:G142"/>
    <mergeCell ref="F143:G148"/>
    <mergeCell ref="C147:E148"/>
    <mergeCell ref="F149:G149"/>
    <mergeCell ref="F150:G150"/>
    <mergeCell ref="F151:G151"/>
    <mergeCell ref="F152:G152"/>
    <mergeCell ref="B167:G167"/>
    <mergeCell ref="B168:G168"/>
    <mergeCell ref="B169:G169"/>
    <mergeCell ref="B170:G170"/>
    <mergeCell ref="B171:G171"/>
    <mergeCell ref="B172:G172"/>
    <mergeCell ref="B180:B181"/>
    <mergeCell ref="C180:E181"/>
    <mergeCell ref="F180:G181"/>
    <mergeCell ref="C173:G175"/>
    <mergeCell ref="F153:G153"/>
  </mergeCells>
  <phoneticPr fontId="5" type="noConversion"/>
  <pageMargins left="0.63" right="0.28999999999999998" top="0.63" bottom="0.52" header="0" footer="0"/>
  <pageSetup paperSize="9" orientation="landscape" r:id="rId1"/>
  <headerFooter alignWithMargins="0">
    <oddHeader>&amp;RPLAN 2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J36"/>
  <sheetViews>
    <sheetView topLeftCell="A22" workbookViewId="0">
      <selection activeCell="D10" sqref="D10"/>
    </sheetView>
  </sheetViews>
  <sheetFormatPr baseColWidth="10" defaultColWidth="11.42578125" defaultRowHeight="12.75"/>
  <cols>
    <col min="1" max="1" width="1.140625" style="156" customWidth="1"/>
    <col min="2" max="2" width="33.140625" style="156" customWidth="1"/>
    <col min="3" max="7" width="17.5703125" style="156" customWidth="1"/>
    <col min="8" max="8" width="18.7109375" style="156" customWidth="1"/>
    <col min="9" max="9" width="11.42578125" style="35"/>
    <col min="10" max="10" width="16.28515625" style="35" bestFit="1" customWidth="1"/>
    <col min="11" max="16384" width="11.42578125" style="35"/>
  </cols>
  <sheetData>
    <row r="1" spans="1:8">
      <c r="A1" s="151"/>
      <c r="B1" s="1564" t="s">
        <v>388</v>
      </c>
      <c r="C1" s="1564"/>
      <c r="D1" s="1564"/>
      <c r="E1" s="1564"/>
      <c r="F1" s="1564"/>
      <c r="G1" s="1564"/>
      <c r="H1" s="1564"/>
    </row>
    <row r="2" spans="1:8">
      <c r="A2" s="151"/>
      <c r="B2" s="1565" t="s">
        <v>1013</v>
      </c>
      <c r="C2" s="1566"/>
      <c r="D2" s="1566"/>
      <c r="E2" s="1566"/>
      <c r="F2" s="1566"/>
      <c r="G2" s="1566"/>
      <c r="H2" s="1566"/>
    </row>
    <row r="3" spans="1:8">
      <c r="A3" s="152"/>
      <c r="B3" s="1567" t="s">
        <v>9</v>
      </c>
      <c r="C3" s="1562"/>
      <c r="D3" s="1562"/>
      <c r="E3" s="1562"/>
      <c r="F3" s="1562"/>
      <c r="G3" s="1562"/>
      <c r="H3" s="1563"/>
    </row>
    <row r="4" spans="1:8">
      <c r="A4" s="153"/>
      <c r="B4" s="1561" t="s">
        <v>1394</v>
      </c>
      <c r="C4" s="1562"/>
      <c r="D4" s="1562"/>
      <c r="E4" s="1562"/>
      <c r="F4" s="1562"/>
      <c r="G4" s="1562"/>
      <c r="H4" s="1563"/>
    </row>
    <row r="5" spans="1:8">
      <c r="A5" s="153"/>
      <c r="B5" s="1561" t="s">
        <v>998</v>
      </c>
      <c r="C5" s="1562"/>
      <c r="D5" s="1562"/>
      <c r="E5" s="1562"/>
      <c r="F5" s="1562"/>
      <c r="G5" s="1562"/>
      <c r="H5" s="1563"/>
    </row>
    <row r="6" spans="1:8">
      <c r="A6" s="153"/>
      <c r="B6" s="1551" t="s">
        <v>401</v>
      </c>
      <c r="C6" s="1553" t="s">
        <v>402</v>
      </c>
      <c r="D6" s="1554"/>
      <c r="E6" s="1554"/>
      <c r="F6" s="1554"/>
      <c r="G6" s="1555"/>
      <c r="H6" s="1556" t="s">
        <v>403</v>
      </c>
    </row>
    <row r="7" spans="1:8">
      <c r="A7" s="151"/>
      <c r="B7" s="1552"/>
      <c r="C7" s="1558" t="s">
        <v>404</v>
      </c>
      <c r="D7" s="1560" t="s">
        <v>405</v>
      </c>
      <c r="E7" s="1560" t="s">
        <v>406</v>
      </c>
      <c r="F7" s="1560" t="s">
        <v>407</v>
      </c>
      <c r="G7" s="1560" t="s">
        <v>408</v>
      </c>
      <c r="H7" s="1557"/>
    </row>
    <row r="8" spans="1:8">
      <c r="A8" s="151"/>
      <c r="B8" s="1552"/>
      <c r="C8" s="1559"/>
      <c r="D8" s="1552"/>
      <c r="E8" s="1552"/>
      <c r="F8" s="1552"/>
      <c r="G8" s="1552"/>
      <c r="H8" s="1557"/>
    </row>
    <row r="9" spans="1:8" ht="38.25" customHeight="1">
      <c r="A9" s="151"/>
      <c r="B9" s="707" t="s">
        <v>1004</v>
      </c>
      <c r="C9" s="154">
        <f>SUM(C10:C12)</f>
        <v>526192.80110000004</v>
      </c>
      <c r="D9" s="154"/>
      <c r="E9" s="155"/>
      <c r="F9" s="155"/>
      <c r="G9" s="712"/>
      <c r="H9" s="154">
        <f>SUM(C9:G9)</f>
        <v>526192.80110000004</v>
      </c>
    </row>
    <row r="10" spans="1:8">
      <c r="B10" s="708" t="s">
        <v>911</v>
      </c>
      <c r="C10" s="158">
        <f>'Plan 4'!L11</f>
        <v>151998.16400000002</v>
      </c>
      <c r="D10" s="158"/>
      <c r="E10" s="157"/>
      <c r="F10" s="157"/>
      <c r="G10" s="713"/>
      <c r="H10" s="167">
        <f t="shared" ref="H10:H35" si="0">SUM(C10:G10)</f>
        <v>151998.16400000002</v>
      </c>
    </row>
    <row r="11" spans="1:8">
      <c r="B11" s="708" t="s">
        <v>995</v>
      </c>
      <c r="C11" s="158">
        <f>'Plan 4'!L12</f>
        <v>166692.92909999998</v>
      </c>
      <c r="D11" s="159"/>
      <c r="E11" s="157"/>
      <c r="G11" s="713"/>
      <c r="H11" s="167">
        <f t="shared" si="0"/>
        <v>166692.92909999998</v>
      </c>
    </row>
    <row r="12" spans="1:8">
      <c r="B12" s="708" t="s">
        <v>996</v>
      </c>
      <c r="C12" s="158">
        <f>'Plan 4'!L13</f>
        <v>207501.70800000004</v>
      </c>
      <c r="D12" s="159"/>
      <c r="E12" s="157"/>
      <c r="G12" s="713"/>
      <c r="H12" s="167">
        <f t="shared" si="0"/>
        <v>207501.70800000004</v>
      </c>
    </row>
    <row r="13" spans="1:8">
      <c r="B13" s="708"/>
      <c r="C13" s="158"/>
      <c r="D13" s="159"/>
      <c r="E13" s="157"/>
      <c r="G13" s="713"/>
      <c r="H13" s="158"/>
    </row>
    <row r="14" spans="1:8" s="445" customFormat="1" ht="22.5">
      <c r="A14" s="61"/>
      <c r="B14" s="707" t="s">
        <v>1005</v>
      </c>
      <c r="C14" s="700">
        <f>SUM(C15:C18)</f>
        <v>1613409.0060000001</v>
      </c>
      <c r="D14" s="177"/>
      <c r="E14" s="201"/>
      <c r="F14" s="61"/>
      <c r="G14" s="60"/>
      <c r="H14" s="167">
        <f t="shared" si="0"/>
        <v>1613409.0060000001</v>
      </c>
    </row>
    <row r="15" spans="1:8">
      <c r="A15" s="153"/>
      <c r="B15" s="708" t="s">
        <v>1000</v>
      </c>
      <c r="C15" s="164">
        <f>'Plan 4'!L16</f>
        <v>78928.926000000007</v>
      </c>
      <c r="D15" s="165"/>
      <c r="E15" s="163"/>
      <c r="F15" s="166"/>
      <c r="G15" s="714"/>
      <c r="H15" s="167">
        <f t="shared" si="0"/>
        <v>78928.926000000007</v>
      </c>
    </row>
    <row r="16" spans="1:8">
      <c r="A16" s="153"/>
      <c r="B16" s="708" t="s">
        <v>1001</v>
      </c>
      <c r="C16" s="164">
        <f>'Plan 4'!L17</f>
        <v>540480.5</v>
      </c>
      <c r="D16" s="165"/>
      <c r="E16" s="163"/>
      <c r="F16" s="166"/>
      <c r="G16" s="714"/>
      <c r="H16" s="167">
        <f t="shared" si="0"/>
        <v>540480.5</v>
      </c>
    </row>
    <row r="17" spans="1:10">
      <c r="A17" s="153"/>
      <c r="B17" s="708" t="s">
        <v>1002</v>
      </c>
      <c r="C17" s="164">
        <f>'Plan 4'!L18</f>
        <v>817999.58000000007</v>
      </c>
      <c r="D17" s="168"/>
      <c r="E17" s="157"/>
      <c r="G17" s="713"/>
      <c r="H17" s="167">
        <f t="shared" si="0"/>
        <v>817999.58000000007</v>
      </c>
    </row>
    <row r="18" spans="1:10">
      <c r="B18" s="708" t="s">
        <v>1003</v>
      </c>
      <c r="C18" s="164">
        <f>'Plan 4'!L19</f>
        <v>176000</v>
      </c>
      <c r="D18" s="159"/>
      <c r="E18" s="157"/>
      <c r="G18" s="713"/>
      <c r="H18" s="167">
        <f t="shared" si="0"/>
        <v>176000</v>
      </c>
    </row>
    <row r="19" spans="1:10">
      <c r="B19" s="708"/>
      <c r="C19" s="160"/>
      <c r="D19" s="161"/>
      <c r="E19" s="162"/>
      <c r="F19" s="153"/>
      <c r="G19" s="169"/>
      <c r="H19" s="160"/>
    </row>
    <row r="20" spans="1:10" s="445" customFormat="1" ht="33.75">
      <c r="A20" s="61"/>
      <c r="B20" s="707" t="s">
        <v>1008</v>
      </c>
      <c r="C20" s="700">
        <f>SUM(C21:C22)</f>
        <v>0</v>
      </c>
      <c r="D20" s="700"/>
      <c r="E20" s="201"/>
      <c r="F20" s="61"/>
      <c r="G20" s="60"/>
      <c r="H20" s="167">
        <f t="shared" si="0"/>
        <v>0</v>
      </c>
      <c r="J20" s="720">
        <f>C9+D24-D28</f>
        <v>1274179.0825</v>
      </c>
    </row>
    <row r="21" spans="1:10">
      <c r="A21" s="153"/>
      <c r="B21" s="708" t="s">
        <v>986</v>
      </c>
      <c r="C21" s="160">
        <f>'Plan 4'!L22</f>
        <v>0</v>
      </c>
      <c r="D21" s="161"/>
      <c r="E21" s="162"/>
      <c r="F21" s="153"/>
      <c r="G21" s="169"/>
      <c r="H21" s="167">
        <f t="shared" si="0"/>
        <v>0</v>
      </c>
    </row>
    <row r="22" spans="1:10">
      <c r="A22" s="153"/>
      <c r="B22" s="708" t="s">
        <v>1009</v>
      </c>
      <c r="C22" s="160">
        <f>'Plan 4'!L23</f>
        <v>0</v>
      </c>
      <c r="D22" s="160"/>
      <c r="E22" s="162"/>
      <c r="F22" s="153"/>
      <c r="G22" s="169"/>
      <c r="H22" s="167">
        <f t="shared" si="0"/>
        <v>0</v>
      </c>
    </row>
    <row r="23" spans="1:10">
      <c r="A23" s="153"/>
      <c r="B23" s="708"/>
      <c r="C23" s="160"/>
      <c r="D23" s="160"/>
      <c r="E23" s="162"/>
      <c r="F23" s="153"/>
      <c r="G23" s="169"/>
      <c r="H23" s="160"/>
    </row>
    <row r="24" spans="1:10" s="445" customFormat="1" ht="22.5">
      <c r="A24" s="61"/>
      <c r="B24" s="707" t="s">
        <v>1006</v>
      </c>
      <c r="C24" s="700"/>
      <c r="D24" s="700">
        <f>SUM(D25:D28)</f>
        <v>747986.28139999998</v>
      </c>
      <c r="E24" s="201"/>
      <c r="F24" s="61"/>
      <c r="G24" s="60"/>
      <c r="H24" s="167">
        <f t="shared" si="0"/>
        <v>747986.28139999998</v>
      </c>
    </row>
    <row r="25" spans="1:10" ht="13.5">
      <c r="A25" s="153"/>
      <c r="B25" s="711" t="s">
        <v>912</v>
      </c>
      <c r="C25" s="160"/>
      <c r="D25" s="160">
        <f>'Plan 4'!L26</f>
        <v>220278.84999999998</v>
      </c>
      <c r="E25" s="162"/>
      <c r="F25" s="153"/>
      <c r="G25" s="169"/>
      <c r="H25" s="167">
        <f t="shared" si="0"/>
        <v>220278.84999999998</v>
      </c>
    </row>
    <row r="26" spans="1:10" ht="13.5">
      <c r="A26" s="153"/>
      <c r="B26" s="711" t="s">
        <v>1011</v>
      </c>
      <c r="C26" s="160"/>
      <c r="D26" s="160">
        <f>'Plan 4'!L27</f>
        <v>15750</v>
      </c>
      <c r="E26" s="162"/>
      <c r="F26" s="153"/>
      <c r="G26" s="169"/>
      <c r="H26" s="167">
        <f t="shared" si="0"/>
        <v>15750</v>
      </c>
    </row>
    <row r="27" spans="1:10" ht="13.5">
      <c r="A27" s="153"/>
      <c r="B27" s="711" t="s">
        <v>1012</v>
      </c>
      <c r="C27" s="160"/>
      <c r="D27" s="160">
        <f>'Plan 4'!L28</f>
        <v>511957.4314</v>
      </c>
      <c r="E27" s="162"/>
      <c r="F27" s="153"/>
      <c r="G27" s="169"/>
      <c r="H27" s="167">
        <f t="shared" si="0"/>
        <v>511957.4314</v>
      </c>
    </row>
    <row r="28" spans="1:10">
      <c r="A28" s="153"/>
      <c r="B28" s="708" t="s">
        <v>997</v>
      </c>
      <c r="C28" s="160"/>
      <c r="D28" s="160">
        <f>'Plan 4'!L29</f>
        <v>0</v>
      </c>
      <c r="E28" s="162"/>
      <c r="F28" s="153"/>
      <c r="G28" s="169"/>
      <c r="H28" s="167">
        <f t="shared" si="0"/>
        <v>0</v>
      </c>
    </row>
    <row r="29" spans="1:10">
      <c r="A29" s="153"/>
      <c r="B29" s="708"/>
      <c r="C29" s="160"/>
      <c r="D29" s="160"/>
      <c r="E29" s="162"/>
      <c r="F29" s="153"/>
      <c r="G29" s="169"/>
      <c r="H29" s="160"/>
    </row>
    <row r="30" spans="1:10" s="445" customFormat="1" ht="22.5">
      <c r="A30" s="61"/>
      <c r="B30" s="707" t="s">
        <v>1007</v>
      </c>
      <c r="C30" s="700"/>
      <c r="D30" s="700"/>
      <c r="E30" s="201"/>
      <c r="F30" s="177">
        <f>SUM(F31:F32)</f>
        <v>3250000</v>
      </c>
      <c r="G30" s="60"/>
      <c r="H30" s="167">
        <f t="shared" si="0"/>
        <v>3250000</v>
      </c>
    </row>
    <row r="31" spans="1:10" ht="13.5">
      <c r="A31" s="153"/>
      <c r="B31" s="711" t="s">
        <v>1023</v>
      </c>
      <c r="C31" s="160"/>
      <c r="D31" s="160"/>
      <c r="E31" s="162"/>
      <c r="F31" s="161">
        <f>'Plan 4'!L32</f>
        <v>0</v>
      </c>
      <c r="G31" s="169"/>
      <c r="H31" s="167">
        <f t="shared" si="0"/>
        <v>0</v>
      </c>
    </row>
    <row r="32" spans="1:10" ht="13.5">
      <c r="A32" s="153"/>
      <c r="B32" s="711" t="s">
        <v>1024</v>
      </c>
      <c r="C32" s="160"/>
      <c r="D32" s="160"/>
      <c r="E32" s="162"/>
      <c r="F32" s="161">
        <f>'Plan 4'!L33</f>
        <v>3250000</v>
      </c>
      <c r="G32" s="169"/>
      <c r="H32" s="167">
        <f t="shared" si="0"/>
        <v>3250000</v>
      </c>
    </row>
    <row r="33" spans="1:8" ht="13.5">
      <c r="A33" s="153"/>
      <c r="B33" s="711"/>
      <c r="C33" s="160"/>
      <c r="D33" s="160"/>
      <c r="E33" s="162"/>
      <c r="F33" s="161"/>
      <c r="G33" s="169"/>
      <c r="H33" s="167">
        <f t="shared" si="0"/>
        <v>0</v>
      </c>
    </row>
    <row r="34" spans="1:8" s="445" customFormat="1" ht="22.5">
      <c r="A34" s="61"/>
      <c r="B34" s="707" t="s">
        <v>1193</v>
      </c>
      <c r="C34" s="700"/>
      <c r="D34" s="700"/>
      <c r="E34" s="201"/>
      <c r="F34" s="177"/>
      <c r="G34" s="922">
        <f>G35</f>
        <v>0</v>
      </c>
      <c r="H34" s="167">
        <f t="shared" si="0"/>
        <v>0</v>
      </c>
    </row>
    <row r="35" spans="1:8" ht="25.5">
      <c r="A35" s="725"/>
      <c r="B35" s="921" t="s">
        <v>1194</v>
      </c>
      <c r="C35" s="702"/>
      <c r="D35" s="702"/>
      <c r="E35" s="699"/>
      <c r="F35" s="701"/>
      <c r="G35" s="923">
        <f>'Plan 4'!L35</f>
        <v>0</v>
      </c>
      <c r="H35" s="702">
        <f t="shared" si="0"/>
        <v>0</v>
      </c>
    </row>
    <row r="36" spans="1:8" s="445" customFormat="1">
      <c r="A36" s="61"/>
      <c r="B36" s="363" t="s">
        <v>395</v>
      </c>
      <c r="C36" s="192">
        <f>C9+C14+C20</f>
        <v>2139601.8070999999</v>
      </c>
      <c r="D36" s="192">
        <f>D9+D14+D20+D24</f>
        <v>747986.28139999998</v>
      </c>
      <c r="E36" s="192">
        <f>E9+E14+E20+E24</f>
        <v>0</v>
      </c>
      <c r="F36" s="192">
        <f>F9+F14+F20+F24+F30</f>
        <v>3250000</v>
      </c>
      <c r="G36" s="192">
        <f>G35</f>
        <v>0</v>
      </c>
      <c r="H36" s="715">
        <f>H9+H14+H20+H24+H30+H34</f>
        <v>6137588.0884999996</v>
      </c>
    </row>
  </sheetData>
  <mergeCells count="13">
    <mergeCell ref="B4:H4"/>
    <mergeCell ref="B5:H5"/>
    <mergeCell ref="B1:H1"/>
    <mergeCell ref="B2:H2"/>
    <mergeCell ref="B3:H3"/>
    <mergeCell ref="B6:B8"/>
    <mergeCell ref="C6:G6"/>
    <mergeCell ref="H6:H8"/>
    <mergeCell ref="C7:C8"/>
    <mergeCell ref="D7:D8"/>
    <mergeCell ref="E7:E8"/>
    <mergeCell ref="F7:F8"/>
    <mergeCell ref="G7:G8"/>
  </mergeCells>
  <phoneticPr fontId="5" type="noConversion"/>
  <pageMargins left="0.5" right="0.28999999999999998" top="0.3" bottom="0.25" header="0" footer="0"/>
  <pageSetup paperSize="9" orientation="landscape" horizontalDpi="120" verticalDpi="72" r:id="rId1"/>
  <headerFooter alignWithMargins="0">
    <oddHeader>&amp;RPLAN 3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L90"/>
  <sheetViews>
    <sheetView topLeftCell="A19" workbookViewId="0">
      <selection activeCell="I10" sqref="I10"/>
    </sheetView>
  </sheetViews>
  <sheetFormatPr baseColWidth="10" defaultColWidth="11.42578125" defaultRowHeight="12.75"/>
  <cols>
    <col min="1" max="1" width="1.7109375" style="37" customWidth="1"/>
    <col min="2" max="2" width="24.42578125" style="193" customWidth="1"/>
    <col min="3" max="3" width="6" style="193" customWidth="1"/>
    <col min="4" max="4" width="5" style="193" customWidth="1"/>
    <col min="5" max="7" width="10.7109375" style="193" bestFit="1" customWidth="1"/>
    <col min="8" max="8" width="9.85546875" style="193" bestFit="1" customWidth="1"/>
    <col min="9" max="9" width="10.7109375" style="193" bestFit="1" customWidth="1"/>
    <col min="10" max="10" width="10.7109375" style="193" customWidth="1"/>
    <col min="11" max="11" width="10.28515625" style="193" hidden="1" customWidth="1"/>
    <col min="12" max="12" width="11.5703125" style="193" bestFit="1" customWidth="1"/>
    <col min="13" max="16384" width="11.42578125" style="37"/>
  </cols>
  <sheetData>
    <row r="1" spans="2:12">
      <c r="B1" s="1572" t="s">
        <v>388</v>
      </c>
      <c r="C1" s="1572"/>
      <c r="D1" s="1572"/>
      <c r="E1" s="1572"/>
      <c r="F1" s="1572"/>
      <c r="G1" s="1572"/>
      <c r="H1" s="1572"/>
      <c r="I1" s="1572"/>
      <c r="J1" s="1572"/>
      <c r="K1" s="1572"/>
      <c r="L1" s="1572"/>
    </row>
    <row r="2" spans="2:12">
      <c r="B2" s="1565" t="s">
        <v>999</v>
      </c>
      <c r="C2" s="1565"/>
      <c r="D2" s="1565"/>
      <c r="E2" s="1565"/>
      <c r="F2" s="1565"/>
      <c r="G2" s="1565"/>
      <c r="H2" s="1565"/>
      <c r="I2" s="1565"/>
      <c r="J2" s="1565"/>
      <c r="K2" s="1565"/>
      <c r="L2" s="1565"/>
    </row>
    <row r="4" spans="2:12">
      <c r="B4" s="21" t="s">
        <v>9</v>
      </c>
      <c r="C4" s="170"/>
      <c r="D4" s="170"/>
      <c r="E4" s="170"/>
      <c r="F4" s="170"/>
      <c r="G4" s="170"/>
      <c r="H4" s="170"/>
      <c r="I4" s="170"/>
      <c r="J4" s="170"/>
      <c r="K4" s="101"/>
      <c r="L4" s="171"/>
    </row>
    <row r="5" spans="2:12">
      <c r="B5" s="21" t="s">
        <v>1394</v>
      </c>
      <c r="C5" s="170"/>
      <c r="D5" s="170"/>
      <c r="E5" s="170"/>
      <c r="F5" s="170"/>
      <c r="G5" s="170"/>
      <c r="H5" s="170"/>
      <c r="I5" s="170"/>
      <c r="J5" s="170"/>
      <c r="K5" s="101"/>
      <c r="L5" s="171"/>
    </row>
    <row r="6" spans="2:12" ht="13.5" thickBot="1">
      <c r="B6" s="195" t="s">
        <v>998</v>
      </c>
      <c r="C6" s="172"/>
      <c r="D6" s="172"/>
      <c r="E6" s="172"/>
      <c r="F6" s="172"/>
      <c r="G6" s="172"/>
      <c r="H6" s="172"/>
      <c r="I6" s="172"/>
      <c r="J6" s="172"/>
      <c r="K6" s="172"/>
      <c r="L6" s="706"/>
    </row>
    <row r="7" spans="2:12">
      <c r="B7" s="1586" t="s">
        <v>993</v>
      </c>
      <c r="C7" s="1597" t="s">
        <v>409</v>
      </c>
      <c r="D7" s="1597" t="s">
        <v>994</v>
      </c>
      <c r="E7" s="1599" t="s">
        <v>1010</v>
      </c>
      <c r="F7" s="1600"/>
      <c r="G7" s="1600"/>
      <c r="H7" s="1600"/>
      <c r="I7" s="1600"/>
      <c r="J7" s="1600"/>
      <c r="K7" s="1601"/>
      <c r="L7" s="1589" t="s">
        <v>410</v>
      </c>
    </row>
    <row r="8" spans="2:12">
      <c r="B8" s="1587"/>
      <c r="C8" s="1576"/>
      <c r="D8" s="1576"/>
      <c r="E8" s="1602">
        <v>51</v>
      </c>
      <c r="F8" s="1594">
        <v>54</v>
      </c>
      <c r="G8" s="1592">
        <v>55</v>
      </c>
      <c r="H8" s="1594">
        <v>56</v>
      </c>
      <c r="I8" s="1594">
        <v>61</v>
      </c>
      <c r="J8" s="1594">
        <v>71</v>
      </c>
      <c r="K8" s="1595">
        <v>72</v>
      </c>
      <c r="L8" s="1590"/>
    </row>
    <row r="9" spans="2:12" ht="13.5" thickBot="1">
      <c r="B9" s="1588"/>
      <c r="C9" s="1598"/>
      <c r="D9" s="1598"/>
      <c r="E9" s="1603"/>
      <c r="F9" s="1593"/>
      <c r="G9" s="1593"/>
      <c r="H9" s="1593"/>
      <c r="I9" s="1593"/>
      <c r="J9" s="1593"/>
      <c r="K9" s="1596"/>
      <c r="L9" s="1591"/>
    </row>
    <row r="10" spans="2:12" ht="34.5">
      <c r="B10" s="707" t="s">
        <v>1188</v>
      </c>
      <c r="C10" s="196"/>
      <c r="D10" s="102">
        <v>1</v>
      </c>
      <c r="E10" s="238">
        <f>SUM(E11:E13)</f>
        <v>390214.41110000003</v>
      </c>
      <c r="F10" s="238">
        <f>SUM(F11:F13)</f>
        <v>122320.35</v>
      </c>
      <c r="G10" s="238">
        <f>SUM(G11:G13)</f>
        <v>0</v>
      </c>
      <c r="H10" s="238">
        <f>SUM(H11:H19)</f>
        <v>13658.04</v>
      </c>
      <c r="I10" s="914">
        <f>SUM(I11:I13)</f>
        <v>0</v>
      </c>
      <c r="J10" s="238"/>
      <c r="K10" s="237">
        <f>SUM(K11:K19)</f>
        <v>0</v>
      </c>
      <c r="L10" s="710">
        <f>SUM(E10:K10)</f>
        <v>526192.80110000004</v>
      </c>
    </row>
    <row r="11" spans="2:12" s="703" customFormat="1">
      <c r="B11" s="708" t="s">
        <v>911</v>
      </c>
      <c r="C11" s="196"/>
      <c r="D11" s="102">
        <v>1</v>
      </c>
      <c r="E11" s="544">
        <f>'Plan 5'!E12</f>
        <v>138340.12400000001</v>
      </c>
      <c r="F11" s="544">
        <f>'Plan 5'!E35</f>
        <v>0</v>
      </c>
      <c r="G11" s="545"/>
      <c r="H11" s="544">
        <f>'Plan 5'!E116</f>
        <v>13658.04</v>
      </c>
      <c r="I11" s="543"/>
      <c r="J11" s="544"/>
      <c r="K11" s="544">
        <f>'Plan 5'!E133</f>
        <v>0</v>
      </c>
      <c r="L11" s="709">
        <f>SUM(E11:K11)</f>
        <v>151998.16400000002</v>
      </c>
    </row>
    <row r="12" spans="2:12" s="703" customFormat="1">
      <c r="B12" s="708" t="s">
        <v>995</v>
      </c>
      <c r="C12" s="196"/>
      <c r="D12" s="102">
        <v>1</v>
      </c>
      <c r="E12" s="544">
        <f>'Plan 5'!F12</f>
        <v>166692.92909999998</v>
      </c>
      <c r="F12" s="544">
        <f>'Plan 5'!F35</f>
        <v>0</v>
      </c>
      <c r="G12" s="545"/>
      <c r="H12" s="544"/>
      <c r="I12" s="543"/>
      <c r="J12" s="544"/>
      <c r="K12" s="544"/>
      <c r="L12" s="709">
        <f>SUM(E12:K12)</f>
        <v>166692.92909999998</v>
      </c>
    </row>
    <row r="13" spans="2:12" s="703" customFormat="1">
      <c r="B13" s="708" t="s">
        <v>996</v>
      </c>
      <c r="C13" s="196"/>
      <c r="D13" s="102">
        <v>1</v>
      </c>
      <c r="E13" s="544">
        <f>'Plan 5'!G12</f>
        <v>85181.358000000022</v>
      </c>
      <c r="F13" s="544">
        <f>'Plan 5'!G35</f>
        <v>122320.35</v>
      </c>
      <c r="G13" s="545"/>
      <c r="H13" s="544"/>
      <c r="I13" s="543"/>
      <c r="J13" s="544"/>
      <c r="K13" s="544"/>
      <c r="L13" s="709">
        <f>SUM(E13:K13)</f>
        <v>207501.70800000004</v>
      </c>
    </row>
    <row r="14" spans="2:12" s="703" customFormat="1">
      <c r="B14" s="708"/>
      <c r="C14" s="196"/>
      <c r="D14" s="102"/>
      <c r="E14" s="544"/>
      <c r="F14" s="544"/>
      <c r="G14" s="545"/>
      <c r="H14" s="544"/>
      <c r="I14" s="543"/>
      <c r="J14" s="544"/>
      <c r="K14" s="544"/>
      <c r="L14" s="709"/>
    </row>
    <row r="15" spans="2:12" s="703" customFormat="1" ht="34.5">
      <c r="B15" s="707" t="s">
        <v>1189</v>
      </c>
      <c r="C15" s="196"/>
      <c r="D15" s="102">
        <v>1</v>
      </c>
      <c r="E15" s="238">
        <f t="shared" ref="E15:K15" si="0">SUM(E16:E19)</f>
        <v>130219.64</v>
      </c>
      <c r="F15" s="238">
        <f t="shared" si="0"/>
        <v>0</v>
      </c>
      <c r="G15" s="238">
        <f t="shared" si="0"/>
        <v>494169.26</v>
      </c>
      <c r="H15" s="238">
        <f t="shared" si="0"/>
        <v>0</v>
      </c>
      <c r="I15" s="695">
        <f t="shared" si="0"/>
        <v>665189.78599999996</v>
      </c>
      <c r="J15" s="238">
        <f t="shared" si="0"/>
        <v>323830.32</v>
      </c>
      <c r="K15" s="238">
        <f t="shared" si="0"/>
        <v>0</v>
      </c>
      <c r="L15" s="709">
        <f>SUM(E15:K15)</f>
        <v>1613409.0060000001</v>
      </c>
    </row>
    <row r="16" spans="2:12" s="703" customFormat="1">
      <c r="B16" s="708" t="s">
        <v>1000</v>
      </c>
      <c r="C16" s="196"/>
      <c r="D16" s="102">
        <v>1</v>
      </c>
      <c r="E16" s="544"/>
      <c r="F16" s="544"/>
      <c r="G16" s="545"/>
      <c r="H16" s="544"/>
      <c r="I16" s="543">
        <f>'Plan 5'!E438</f>
        <v>78928.926000000007</v>
      </c>
      <c r="J16" s="544"/>
      <c r="K16" s="544"/>
      <c r="L16" s="709">
        <f>SUM(E16:K16)</f>
        <v>78928.926000000007</v>
      </c>
    </row>
    <row r="17" spans="2:12" s="703" customFormat="1">
      <c r="B17" s="708" t="s">
        <v>1001</v>
      </c>
      <c r="C17" s="196"/>
      <c r="D17" s="102">
        <v>1</v>
      </c>
      <c r="E17" s="544">
        <f>'Plan 5'!F334</f>
        <v>130219.64</v>
      </c>
      <c r="F17" s="544">
        <f>'Plan 5'!F351</f>
        <v>0</v>
      </c>
      <c r="G17" s="545"/>
      <c r="H17" s="544"/>
      <c r="I17" s="543">
        <f>'Plan 5'!F438</f>
        <v>410260.86</v>
      </c>
      <c r="J17" s="544"/>
      <c r="K17" s="544"/>
      <c r="L17" s="709">
        <f>SUM(E17:K17)</f>
        <v>540480.5</v>
      </c>
    </row>
    <row r="18" spans="2:12" s="703" customFormat="1">
      <c r="B18" s="708" t="s">
        <v>1002</v>
      </c>
      <c r="C18" s="196"/>
      <c r="D18" s="102">
        <v>1</v>
      </c>
      <c r="E18" s="544"/>
      <c r="F18" s="544"/>
      <c r="G18" s="545">
        <f>'Plan 5'!G419</f>
        <v>494169.26</v>
      </c>
      <c r="H18" s="544"/>
      <c r="I18" s="543"/>
      <c r="J18" s="544">
        <f>'Plan 5'!G456</f>
        <v>323830.32</v>
      </c>
      <c r="K18" s="544"/>
      <c r="L18" s="709">
        <f>SUM(E18:K18)</f>
        <v>817999.58000000007</v>
      </c>
    </row>
    <row r="19" spans="2:12" s="703" customFormat="1">
      <c r="B19" s="708" t="s">
        <v>1003</v>
      </c>
      <c r="C19" s="196"/>
      <c r="D19" s="102">
        <v>1</v>
      </c>
      <c r="E19" s="544">
        <f>'Plan 5'!H334</f>
        <v>0</v>
      </c>
      <c r="F19" s="544">
        <f>'Plan 5'!H351</f>
        <v>0</v>
      </c>
      <c r="G19" s="545"/>
      <c r="H19" s="544"/>
      <c r="I19" s="543">
        <f>'Plan 5'!H447</f>
        <v>176000</v>
      </c>
      <c r="J19" s="544"/>
      <c r="K19" s="544"/>
      <c r="L19" s="709">
        <f>SUM(E19:K19)</f>
        <v>176000</v>
      </c>
    </row>
    <row r="20" spans="2:12" s="703" customFormat="1" hidden="1">
      <c r="B20" s="708"/>
      <c r="C20" s="196"/>
      <c r="D20" s="102"/>
      <c r="E20" s="544"/>
      <c r="F20" s="544"/>
      <c r="G20" s="545"/>
      <c r="H20" s="544"/>
      <c r="I20" s="543"/>
      <c r="J20" s="544"/>
      <c r="K20" s="544"/>
      <c r="L20" s="709"/>
    </row>
    <row r="21" spans="2:12" s="705" customFormat="1" ht="34.5" hidden="1">
      <c r="B21" s="707" t="s">
        <v>1190</v>
      </c>
      <c r="C21" s="197"/>
      <c r="D21" s="102">
        <v>1</v>
      </c>
      <c r="E21" s="704"/>
      <c r="F21" s="704"/>
      <c r="G21" s="267"/>
      <c r="H21" s="704"/>
      <c r="I21" s="612">
        <f>SUM(I22:I23)</f>
        <v>0</v>
      </c>
      <c r="J21" s="704"/>
      <c r="K21" s="704"/>
      <c r="L21" s="710">
        <f>SUM(E21:K21)</f>
        <v>0</v>
      </c>
    </row>
    <row r="22" spans="2:12" s="703" customFormat="1" hidden="1">
      <c r="B22" s="708" t="s">
        <v>986</v>
      </c>
      <c r="C22" s="196"/>
      <c r="D22" s="102">
        <v>1</v>
      </c>
      <c r="E22" s="544"/>
      <c r="F22" s="544"/>
      <c r="G22" s="545"/>
      <c r="H22" s="544"/>
      <c r="I22" s="545">
        <f>'Plan 5'!E495</f>
        <v>0</v>
      </c>
      <c r="J22" s="544"/>
      <c r="K22" s="544"/>
      <c r="L22" s="709">
        <f>SUM(E22:K22)</f>
        <v>0</v>
      </c>
    </row>
    <row r="23" spans="2:12" s="703" customFormat="1" hidden="1">
      <c r="B23" s="708" t="s">
        <v>1009</v>
      </c>
      <c r="C23" s="196"/>
      <c r="D23" s="102">
        <v>1</v>
      </c>
      <c r="E23" s="544"/>
      <c r="F23" s="544"/>
      <c r="G23" s="545"/>
      <c r="H23" s="544"/>
      <c r="I23" s="545">
        <f>'Plan 5'!F495</f>
        <v>0</v>
      </c>
      <c r="J23" s="544"/>
      <c r="K23" s="544"/>
      <c r="L23" s="709">
        <f>SUM(E23:K23)</f>
        <v>0</v>
      </c>
    </row>
    <row r="24" spans="2:12" s="703" customFormat="1">
      <c r="B24" s="708"/>
      <c r="C24" s="196"/>
      <c r="D24" s="102"/>
      <c r="E24" s="544"/>
      <c r="F24" s="544"/>
      <c r="G24" s="545"/>
      <c r="H24" s="544"/>
      <c r="I24" s="545"/>
      <c r="J24" s="544"/>
      <c r="K24" s="544"/>
      <c r="L24" s="709"/>
    </row>
    <row r="25" spans="2:12" ht="23.25">
      <c r="B25" s="707" t="s">
        <v>1191</v>
      </c>
      <c r="C25" s="196"/>
      <c r="D25" s="102">
        <v>2</v>
      </c>
      <c r="E25" s="238">
        <f>SUM(E26:E28)</f>
        <v>348525.4314</v>
      </c>
      <c r="F25" s="238">
        <f>SUM(F26:F28)</f>
        <v>275450</v>
      </c>
      <c r="G25" s="238">
        <f>SUM(G26:G28)</f>
        <v>2700</v>
      </c>
      <c r="H25" s="238">
        <f>SUM(H26:H28)</f>
        <v>15047.67</v>
      </c>
      <c r="I25" s="914">
        <f>SUM(I26:I29)</f>
        <v>106263.18</v>
      </c>
      <c r="J25" s="238"/>
      <c r="K25" s="237">
        <f>SUM(K28:K37)</f>
        <v>0</v>
      </c>
      <c r="L25" s="710">
        <f>SUM(E25:K25)</f>
        <v>747986.28139999998</v>
      </c>
    </row>
    <row r="26" spans="2:12" s="36" customFormat="1">
      <c r="B26" s="711" t="s">
        <v>912</v>
      </c>
      <c r="C26" s="216"/>
      <c r="D26" s="885">
        <v>2</v>
      </c>
      <c r="E26" s="237">
        <f>'Plan 5'!E186</f>
        <v>57868</v>
      </c>
      <c r="F26" s="544">
        <f>'Plan 5'!E207</f>
        <v>38400</v>
      </c>
      <c r="G26" s="544">
        <f>'Plan 5'!E278</f>
        <v>2700</v>
      </c>
      <c r="H26" s="544">
        <f>'Plan 5'!E283</f>
        <v>15047.67</v>
      </c>
      <c r="I26" s="586">
        <f>'Plan 5'!E291</f>
        <v>106263.18</v>
      </c>
      <c r="J26" s="544"/>
      <c r="K26" s="237"/>
      <c r="L26" s="709">
        <f>SUM(E26:K26)</f>
        <v>220278.84999999998</v>
      </c>
    </row>
    <row r="27" spans="2:12" s="36" customFormat="1">
      <c r="B27" s="711" t="s">
        <v>1011</v>
      </c>
      <c r="C27" s="216"/>
      <c r="D27" s="885">
        <v>2</v>
      </c>
      <c r="E27" s="237">
        <f>'Plan 5'!F186</f>
        <v>0</v>
      </c>
      <c r="F27" s="544">
        <f>'Plan 5'!F207</f>
        <v>15750</v>
      </c>
      <c r="G27" s="544">
        <f>'Plan 5'!G40</f>
        <v>0</v>
      </c>
      <c r="H27" s="544">
        <f>'Plan 5'!H40</f>
        <v>0</v>
      </c>
      <c r="I27" s="586">
        <f>'Plan 5'!F291</f>
        <v>0</v>
      </c>
      <c r="J27" s="544"/>
      <c r="K27" s="237"/>
      <c r="L27" s="709">
        <f>SUM(E27:K27)</f>
        <v>15750</v>
      </c>
    </row>
    <row r="28" spans="2:12" s="36" customFormat="1">
      <c r="B28" s="711" t="s">
        <v>1012</v>
      </c>
      <c r="C28" s="216"/>
      <c r="D28" s="885">
        <v>2</v>
      </c>
      <c r="E28" s="237">
        <f>'Plan 5'!G186</f>
        <v>290657.4314</v>
      </c>
      <c r="F28" s="544">
        <f>'Plan 5'!G207</f>
        <v>221300</v>
      </c>
      <c r="G28" s="544">
        <f>'Plan 5'!H40</f>
        <v>0</v>
      </c>
      <c r="H28" s="544">
        <f>'Plan 5'!I40</f>
        <v>0</v>
      </c>
      <c r="I28" s="586">
        <f>'Plan 5'!G294</f>
        <v>0</v>
      </c>
      <c r="J28" s="544"/>
      <c r="K28" s="237"/>
      <c r="L28" s="709">
        <f>SUM(E28:K28)</f>
        <v>511957.4314</v>
      </c>
    </row>
    <row r="29" spans="2:12" s="703" customFormat="1">
      <c r="B29" s="708" t="s">
        <v>997</v>
      </c>
      <c r="C29" s="196"/>
      <c r="D29" s="102">
        <v>2</v>
      </c>
      <c r="E29" s="544"/>
      <c r="F29" s="544"/>
      <c r="G29" s="545"/>
      <c r="H29" s="544"/>
      <c r="I29" s="545">
        <f>'Plan 5'!H291</f>
        <v>0</v>
      </c>
      <c r="J29" s="544"/>
      <c r="K29" s="544"/>
      <c r="L29" s="709">
        <f>SUM(E29:K29)</f>
        <v>0</v>
      </c>
    </row>
    <row r="30" spans="2:12">
      <c r="B30" s="708"/>
      <c r="C30" s="196"/>
      <c r="D30" s="102"/>
      <c r="E30" s="544"/>
      <c r="F30" s="544"/>
      <c r="G30" s="545"/>
      <c r="H30" s="544"/>
      <c r="I30" s="545"/>
      <c r="J30" s="544"/>
      <c r="K30" s="544"/>
      <c r="L30" s="915"/>
    </row>
    <row r="31" spans="2:12" ht="23.25">
      <c r="B31" s="707" t="s">
        <v>1192</v>
      </c>
      <c r="C31" s="196"/>
      <c r="D31" s="102">
        <v>4</v>
      </c>
      <c r="E31" s="238"/>
      <c r="F31" s="238"/>
      <c r="G31" s="238">
        <f>SUM(G32:G37)</f>
        <v>0</v>
      </c>
      <c r="H31" s="238">
        <f>SUM(H32:H37)</f>
        <v>0</v>
      </c>
      <c r="I31" s="914">
        <f>SUM(I32:I37)</f>
        <v>3250000</v>
      </c>
      <c r="J31" s="238">
        <f>SUM(J32:J37)</f>
        <v>0</v>
      </c>
      <c r="K31" s="238">
        <f>SUM(K32:K37)</f>
        <v>0</v>
      </c>
      <c r="L31" s="710">
        <f>SUM(E31:K31)</f>
        <v>3250000</v>
      </c>
    </row>
    <row r="32" spans="2:12" s="35" customFormat="1" ht="13.5" hidden="1">
      <c r="B32" s="711" t="s">
        <v>1023</v>
      </c>
      <c r="C32" s="196"/>
      <c r="D32" s="102">
        <v>4</v>
      </c>
      <c r="E32" s="544"/>
      <c r="F32" s="544"/>
      <c r="G32" s="545"/>
      <c r="H32" s="544"/>
      <c r="I32" s="545">
        <f>'Plan 5'!G495</f>
        <v>0</v>
      </c>
      <c r="J32" s="544"/>
      <c r="K32" s="544"/>
      <c r="L32" s="709">
        <f>SUM(E32:K32)</f>
        <v>0</v>
      </c>
    </row>
    <row r="33" spans="2:12" s="35" customFormat="1" ht="13.5">
      <c r="B33" s="711" t="s">
        <v>1024</v>
      </c>
      <c r="C33" s="196"/>
      <c r="D33" s="102">
        <v>4</v>
      </c>
      <c r="E33" s="544"/>
      <c r="F33" s="544"/>
      <c r="G33" s="545"/>
      <c r="H33" s="544"/>
      <c r="I33" s="545">
        <f>'Plan 5'!H495</f>
        <v>3250000</v>
      </c>
      <c r="J33" s="544"/>
      <c r="K33" s="544"/>
      <c r="L33" s="709">
        <f>SUM(E33:K33)</f>
        <v>3250000</v>
      </c>
    </row>
    <row r="34" spans="2:12" s="35" customFormat="1" ht="13.5" hidden="1">
      <c r="B34" s="711"/>
      <c r="C34" s="196"/>
      <c r="D34" s="102"/>
      <c r="E34" s="544"/>
      <c r="F34" s="544"/>
      <c r="G34" s="545"/>
      <c r="H34" s="544"/>
      <c r="I34" s="545"/>
      <c r="J34" s="544"/>
      <c r="K34" s="544"/>
      <c r="L34" s="709"/>
    </row>
    <row r="35" spans="2:12" s="445" customFormat="1" ht="23.25" hidden="1">
      <c r="B35" s="707" t="s">
        <v>1193</v>
      </c>
      <c r="C35" s="197"/>
      <c r="D35" s="890"/>
      <c r="E35" s="704">
        <f>E36</f>
        <v>0</v>
      </c>
      <c r="F35" s="704">
        <f>F36</f>
        <v>0</v>
      </c>
      <c r="G35" s="267"/>
      <c r="H35" s="704"/>
      <c r="I35" s="267"/>
      <c r="J35" s="704"/>
      <c r="K35" s="704"/>
      <c r="L35" s="710">
        <f>SUM(E35:K35)</f>
        <v>0</v>
      </c>
    </row>
    <row r="36" spans="2:12" s="35" customFormat="1" ht="25.5" hidden="1">
      <c r="B36" s="921" t="s">
        <v>1194</v>
      </c>
      <c r="C36" s="196"/>
      <c r="D36" s="102">
        <v>5</v>
      </c>
      <c r="E36" s="544">
        <f>'Plan 5'!G552</f>
        <v>0</v>
      </c>
      <c r="F36" s="544">
        <f>'Plan 5'!G556</f>
        <v>0</v>
      </c>
      <c r="G36" s="545"/>
      <c r="H36" s="544"/>
      <c r="I36" s="545"/>
      <c r="J36" s="544"/>
      <c r="K36" s="544"/>
      <c r="L36" s="709">
        <f>SUM(E36:K36)</f>
        <v>0</v>
      </c>
    </row>
    <row r="37" spans="2:12" hidden="1">
      <c r="B37" s="708"/>
      <c r="C37" s="196"/>
      <c r="D37" s="102"/>
      <c r="E37" s="544"/>
      <c r="F37" s="916"/>
      <c r="G37" s="545"/>
      <c r="H37" s="916"/>
      <c r="I37" s="545"/>
      <c r="J37" s="916"/>
      <c r="K37" s="544"/>
      <c r="L37" s="915"/>
    </row>
    <row r="38" spans="2:12" s="445" customFormat="1" ht="13.5" thickBot="1">
      <c r="B38" s="917" t="s">
        <v>395</v>
      </c>
      <c r="C38" s="918"/>
      <c r="D38" s="918"/>
      <c r="E38" s="919">
        <f>SUM(E10+E15+E21+E25+E31+E35)</f>
        <v>868959.48250000004</v>
      </c>
      <c r="F38" s="919">
        <f>SUM(F10+F15+F21+F25+F31+F35)</f>
        <v>397770.35</v>
      </c>
      <c r="G38" s="919">
        <f>SUM(G10+G15+G21+G25+G31)</f>
        <v>496869.26</v>
      </c>
      <c r="H38" s="919">
        <f>SUM(H10+H15+H21+H25+H31)</f>
        <v>28705.71</v>
      </c>
      <c r="I38" s="919">
        <f>SUM(I10+I15+I21+I25+I31)</f>
        <v>4021452.966</v>
      </c>
      <c r="J38" s="919">
        <f>SUM(J10+J15+J21+J25+J31)</f>
        <v>323830.32</v>
      </c>
      <c r="K38" s="919">
        <f>SUM(K10+K15+K21+K25+K31)</f>
        <v>0</v>
      </c>
      <c r="L38" s="920">
        <f>SUM(L10+L15+L21+L25+L31+L35)</f>
        <v>6137588.0884999996</v>
      </c>
    </row>
    <row r="39" spans="2:12">
      <c r="B39" s="199"/>
      <c r="E39" s="178"/>
      <c r="F39" s="178"/>
      <c r="G39" s="178"/>
      <c r="H39" s="178"/>
      <c r="I39" s="178"/>
      <c r="J39" s="178"/>
      <c r="K39" s="178"/>
      <c r="L39" s="177"/>
    </row>
    <row r="40" spans="2:12">
      <c r="B40" s="199"/>
      <c r="E40" s="178"/>
      <c r="F40" s="178"/>
      <c r="G40" s="178"/>
      <c r="H40" s="178"/>
      <c r="I40" s="178"/>
      <c r="J40" s="178"/>
      <c r="K40" s="178"/>
      <c r="L40" s="177"/>
    </row>
    <row r="41" spans="2:12">
      <c r="B41" s="199"/>
      <c r="E41" s="178"/>
      <c r="F41" s="178"/>
      <c r="G41" s="178"/>
      <c r="H41" s="178"/>
      <c r="I41" s="178"/>
      <c r="J41" s="178"/>
      <c r="K41" s="178"/>
      <c r="L41" s="177"/>
    </row>
    <row r="42" spans="2:12">
      <c r="B42" s="199"/>
      <c r="E42" s="178"/>
      <c r="F42" s="178"/>
      <c r="G42" s="178"/>
      <c r="H42" s="178"/>
      <c r="I42" s="178"/>
      <c r="J42" s="178"/>
      <c r="K42" s="178"/>
      <c r="L42" s="177"/>
    </row>
    <row r="48" spans="2:12" hidden="1">
      <c r="E48" s="178" t="e">
        <f>E11+#REF!+#REF!+#REF!+#REF!+#REF!</f>
        <v>#REF!</v>
      </c>
      <c r="F48" s="178" t="e">
        <f>#REF!+#REF!+#REF!+#REF!+#REF!</f>
        <v>#REF!</v>
      </c>
      <c r="G48" s="178" t="e">
        <f>#REF!+#REF!</f>
        <v>#REF!</v>
      </c>
      <c r="H48" s="178" t="e">
        <f>H11+#REF!</f>
        <v>#REF!</v>
      </c>
      <c r="I48" s="545" t="e">
        <f>#REF!+#REF!+#REF!</f>
        <v>#REF!</v>
      </c>
      <c r="J48" s="545"/>
      <c r="K48" s="1568" t="e">
        <f>#REF!+#REF!</f>
        <v>#REF!</v>
      </c>
      <c r="L48" s="1568"/>
    </row>
    <row r="49" spans="2:12" hidden="1"/>
    <row r="50" spans="2:12" hidden="1"/>
    <row r="51" spans="2:12" hidden="1"/>
    <row r="52" spans="2:12" hidden="1">
      <c r="B52" s="1572" t="s">
        <v>388</v>
      </c>
      <c r="C52" s="1572"/>
      <c r="D52" s="1572"/>
      <c r="E52" s="1572"/>
      <c r="F52" s="1572"/>
      <c r="G52" s="1572"/>
      <c r="H52" s="1572"/>
      <c r="I52" s="1572"/>
      <c r="J52" s="1572"/>
      <c r="K52" s="1572"/>
      <c r="L52" s="1572"/>
    </row>
    <row r="53" spans="2:12" hidden="1">
      <c r="B53" s="1565" t="s">
        <v>447</v>
      </c>
      <c r="C53" s="1565"/>
      <c r="D53" s="1565"/>
      <c r="E53" s="1565"/>
      <c r="F53" s="1565"/>
      <c r="G53" s="1565"/>
      <c r="H53" s="1565"/>
      <c r="I53" s="1565"/>
      <c r="J53" s="1565"/>
      <c r="K53" s="1565"/>
      <c r="L53" s="1565"/>
    </row>
    <row r="54" spans="2:12" hidden="1"/>
    <row r="55" spans="2:12" hidden="1">
      <c r="B55" s="193" t="e">
        <f>#REF!</f>
        <v>#REF!</v>
      </c>
    </row>
    <row r="56" spans="2:12" hidden="1">
      <c r="B56" s="21" t="e">
        <f>#REF!</f>
        <v>#REF!</v>
      </c>
      <c r="C56" s="170"/>
      <c r="D56" s="170"/>
      <c r="E56" s="170"/>
      <c r="F56" s="170"/>
      <c r="G56" s="170"/>
      <c r="H56" s="170"/>
      <c r="I56" s="170"/>
      <c r="J56" s="170"/>
      <c r="K56" s="101"/>
      <c r="L56" s="171"/>
    </row>
    <row r="57" spans="2:12" hidden="1">
      <c r="B57" s="21" t="s">
        <v>755</v>
      </c>
      <c r="C57" s="170"/>
      <c r="D57" s="170"/>
      <c r="E57" s="170"/>
      <c r="F57" s="170"/>
      <c r="G57" s="170"/>
      <c r="H57" s="170"/>
      <c r="I57" s="170"/>
      <c r="J57" s="170"/>
      <c r="K57" s="170"/>
      <c r="L57" s="171"/>
    </row>
    <row r="58" spans="2:12" hidden="1">
      <c r="B58" s="195"/>
      <c r="C58" s="170"/>
      <c r="D58" s="170"/>
      <c r="E58" s="170"/>
      <c r="F58" s="170"/>
      <c r="G58" s="170"/>
      <c r="H58" s="170"/>
      <c r="I58" s="170"/>
      <c r="J58" s="170"/>
      <c r="K58" s="170"/>
      <c r="L58" s="171"/>
    </row>
    <row r="59" spans="2:12" hidden="1">
      <c r="B59" s="195"/>
      <c r="C59" s="172"/>
      <c r="D59" s="172"/>
      <c r="E59" s="172"/>
      <c r="F59" s="172"/>
      <c r="G59" s="172"/>
      <c r="H59" s="172"/>
      <c r="I59" s="172"/>
      <c r="J59" s="172"/>
      <c r="K59" s="172"/>
      <c r="L59" s="171"/>
    </row>
    <row r="60" spans="2:12" hidden="1">
      <c r="B60" s="1573" t="s">
        <v>401</v>
      </c>
      <c r="C60" s="1575" t="s">
        <v>409</v>
      </c>
      <c r="D60" s="1575" t="s">
        <v>411</v>
      </c>
      <c r="E60" s="1580"/>
      <c r="F60" s="1581"/>
      <c r="G60" s="1581"/>
      <c r="H60" s="1581"/>
      <c r="I60" s="1581"/>
      <c r="J60" s="1581"/>
      <c r="K60" s="1581"/>
      <c r="L60" s="1582" t="s">
        <v>410</v>
      </c>
    </row>
    <row r="61" spans="2:12" ht="12.75" hidden="1" customHeight="1">
      <c r="B61" s="1574"/>
      <c r="C61" s="1576"/>
      <c r="D61" s="1578"/>
      <c r="E61" s="1584">
        <v>51</v>
      </c>
      <c r="F61" s="1569">
        <v>54</v>
      </c>
      <c r="G61" s="1571">
        <v>55</v>
      </c>
      <c r="H61" s="1569">
        <v>56</v>
      </c>
      <c r="I61" s="1569">
        <v>61</v>
      </c>
      <c r="J61" s="622"/>
      <c r="K61" s="1569">
        <v>72</v>
      </c>
      <c r="L61" s="1583"/>
    </row>
    <row r="62" spans="2:12" ht="12.75" hidden="1" customHeight="1">
      <c r="B62" s="1574"/>
      <c r="C62" s="1577"/>
      <c r="D62" s="1579"/>
      <c r="E62" s="1585"/>
      <c r="F62" s="1570"/>
      <c r="G62" s="1571"/>
      <c r="H62" s="1570"/>
      <c r="I62" s="1570"/>
      <c r="J62" s="623"/>
      <c r="K62" s="1570"/>
      <c r="L62" s="1583"/>
    </row>
    <row r="63" spans="2:12" hidden="1">
      <c r="B63" s="173"/>
      <c r="C63" s="173"/>
      <c r="D63" s="174"/>
      <c r="E63" s="175"/>
      <c r="F63" s="175"/>
      <c r="G63" s="175"/>
      <c r="H63" s="175"/>
      <c r="I63" s="175"/>
      <c r="J63" s="175"/>
      <c r="K63" s="175"/>
      <c r="L63" s="175"/>
    </row>
    <row r="64" spans="2:12" hidden="1">
      <c r="B64" s="201" t="s">
        <v>531</v>
      </c>
      <c r="C64" s="176"/>
      <c r="D64" s="184"/>
      <c r="E64" s="179"/>
      <c r="F64" s="179"/>
      <c r="G64" s="179"/>
      <c r="H64" s="178"/>
      <c r="I64" s="179"/>
      <c r="J64" s="179"/>
      <c r="K64" s="179"/>
      <c r="L64" s="179"/>
    </row>
    <row r="65" spans="2:12" hidden="1">
      <c r="B65" s="196"/>
      <c r="C65" s="176"/>
      <c r="D65" s="184"/>
      <c r="E65" s="179"/>
      <c r="F65" s="179"/>
      <c r="G65" s="179"/>
      <c r="H65" s="178"/>
      <c r="I65" s="179"/>
      <c r="J65" s="179"/>
      <c r="K65" s="179"/>
      <c r="L65" s="179">
        <f>I65</f>
        <v>0</v>
      </c>
    </row>
    <row r="66" spans="2:12" hidden="1">
      <c r="B66" s="176"/>
      <c r="C66" s="176"/>
      <c r="D66" s="184"/>
      <c r="E66" s="179"/>
      <c r="F66" s="179"/>
      <c r="G66" s="179"/>
      <c r="H66" s="178"/>
      <c r="I66" s="179"/>
      <c r="J66" s="179"/>
      <c r="K66" s="179"/>
      <c r="L66" s="179"/>
    </row>
    <row r="67" spans="2:12" hidden="1">
      <c r="B67" s="196"/>
      <c r="C67" s="176"/>
      <c r="D67" s="184"/>
      <c r="E67" s="179"/>
      <c r="F67" s="179"/>
      <c r="G67" s="179"/>
      <c r="H67" s="178"/>
      <c r="I67" s="179"/>
      <c r="J67" s="179"/>
      <c r="K67" s="179"/>
      <c r="L67" s="179"/>
    </row>
    <row r="68" spans="2:12" hidden="1">
      <c r="B68" s="200" t="s">
        <v>532</v>
      </c>
      <c r="C68" s="180"/>
      <c r="D68" s="184">
        <v>4</v>
      </c>
      <c r="E68" s="181"/>
      <c r="F68" s="181"/>
      <c r="G68" s="181"/>
      <c r="H68" s="182"/>
      <c r="I68" s="194"/>
      <c r="J68" s="194"/>
      <c r="K68" s="181"/>
      <c r="L68" s="181">
        <f>I68</f>
        <v>0</v>
      </c>
    </row>
    <row r="69" spans="2:12" hidden="1">
      <c r="B69" s="180"/>
      <c r="C69" s="180"/>
      <c r="D69" s="184"/>
      <c r="E69" s="181"/>
      <c r="F69" s="181"/>
      <c r="G69" s="181"/>
      <c r="H69" s="182"/>
      <c r="I69" s="181"/>
      <c r="J69" s="181"/>
      <c r="K69" s="181"/>
      <c r="L69" s="181"/>
    </row>
    <row r="70" spans="2:12" hidden="1">
      <c r="B70" s="176"/>
      <c r="C70" s="176"/>
      <c r="D70" s="184"/>
      <c r="E70" s="179"/>
      <c r="F70" s="179"/>
      <c r="G70" s="179"/>
      <c r="H70" s="178"/>
      <c r="I70" s="179"/>
      <c r="J70" s="179"/>
      <c r="K70" s="179"/>
      <c r="L70" s="179"/>
    </row>
    <row r="71" spans="2:12" hidden="1">
      <c r="B71" s="176"/>
      <c r="C71" s="176"/>
      <c r="D71" s="184"/>
      <c r="E71" s="179"/>
      <c r="F71" s="179"/>
      <c r="G71" s="179"/>
      <c r="H71" s="178"/>
      <c r="I71" s="179"/>
      <c r="J71" s="179"/>
      <c r="K71" s="179"/>
      <c r="L71" s="179"/>
    </row>
    <row r="72" spans="2:12" hidden="1">
      <c r="B72" s="196"/>
      <c r="C72" s="176"/>
      <c r="D72" s="184"/>
      <c r="E72" s="179"/>
      <c r="F72" s="179"/>
      <c r="G72" s="179"/>
      <c r="H72" s="178"/>
      <c r="I72" s="179"/>
      <c r="J72" s="179"/>
      <c r="K72" s="179"/>
      <c r="L72" s="179"/>
    </row>
    <row r="73" spans="2:12" hidden="1">
      <c r="B73" s="198"/>
      <c r="C73" s="176"/>
      <c r="D73" s="184"/>
      <c r="E73" s="179"/>
      <c r="F73" s="179"/>
      <c r="G73" s="179"/>
      <c r="H73" s="178"/>
      <c r="I73" s="179"/>
      <c r="J73" s="179"/>
      <c r="K73" s="179"/>
      <c r="L73" s="179"/>
    </row>
    <row r="74" spans="2:12" hidden="1">
      <c r="B74" s="176"/>
      <c r="C74" s="176"/>
      <c r="D74" s="184"/>
      <c r="E74" s="179"/>
      <c r="F74" s="179"/>
      <c r="G74" s="179"/>
      <c r="H74" s="178"/>
      <c r="I74" s="179"/>
      <c r="J74" s="179"/>
      <c r="K74" s="179"/>
      <c r="L74" s="179"/>
    </row>
    <row r="75" spans="2:12" hidden="1">
      <c r="B75" s="196"/>
      <c r="C75" s="176"/>
      <c r="D75" s="184"/>
      <c r="E75" s="179"/>
      <c r="F75" s="179"/>
      <c r="G75" s="179"/>
      <c r="H75" s="179"/>
      <c r="I75" s="179"/>
      <c r="J75" s="178"/>
      <c r="K75" s="178"/>
      <c r="L75" s="183"/>
    </row>
    <row r="76" spans="2:12" hidden="1">
      <c r="B76" s="198"/>
      <c r="C76" s="176"/>
      <c r="D76" s="184"/>
      <c r="E76" s="179"/>
      <c r="F76" s="179"/>
      <c r="G76" s="179"/>
      <c r="H76" s="179"/>
      <c r="I76" s="179"/>
      <c r="J76" s="178"/>
      <c r="K76" s="178"/>
      <c r="L76" s="183"/>
    </row>
    <row r="77" spans="2:12" hidden="1">
      <c r="B77" s="198"/>
      <c r="C77" s="176"/>
      <c r="D77" s="184"/>
      <c r="E77" s="179"/>
      <c r="F77" s="179"/>
      <c r="G77" s="179"/>
      <c r="H77" s="178"/>
      <c r="I77" s="179"/>
      <c r="J77" s="179"/>
      <c r="K77" s="179"/>
      <c r="L77" s="179"/>
    </row>
    <row r="78" spans="2:12" hidden="1">
      <c r="B78" s="198"/>
      <c r="C78" s="176"/>
      <c r="D78" s="184"/>
      <c r="E78" s="179"/>
      <c r="F78" s="179"/>
      <c r="G78" s="179"/>
      <c r="H78" s="179"/>
      <c r="I78" s="179"/>
      <c r="J78" s="178"/>
      <c r="K78" s="178"/>
      <c r="L78" s="183"/>
    </row>
    <row r="79" spans="2:12" hidden="1">
      <c r="B79" s="70"/>
      <c r="C79" s="176"/>
      <c r="D79" s="184"/>
      <c r="E79" s="179"/>
      <c r="F79" s="179"/>
      <c r="G79" s="179"/>
      <c r="H79" s="179"/>
      <c r="I79" s="179"/>
      <c r="J79" s="178"/>
      <c r="K79" s="178"/>
      <c r="L79" s="183"/>
    </row>
    <row r="80" spans="2:12" hidden="1">
      <c r="B80" s="70"/>
      <c r="C80" s="176"/>
      <c r="D80" s="184"/>
      <c r="E80" s="179"/>
      <c r="F80" s="179"/>
      <c r="G80" s="179"/>
      <c r="H80" s="179"/>
      <c r="I80" s="179"/>
      <c r="J80" s="178"/>
      <c r="K80" s="178"/>
      <c r="L80" s="183"/>
    </row>
    <row r="81" spans="2:12" hidden="1">
      <c r="B81" s="70"/>
      <c r="C81" s="176"/>
      <c r="D81" s="184"/>
      <c r="E81" s="179"/>
      <c r="F81" s="179"/>
      <c r="G81" s="179"/>
      <c r="H81" s="179"/>
      <c r="I81" s="179"/>
      <c r="J81" s="178"/>
      <c r="K81" s="178"/>
      <c r="L81" s="183"/>
    </row>
    <row r="82" spans="2:12" hidden="1">
      <c r="B82" s="70"/>
      <c r="C82" s="176"/>
      <c r="D82" s="184"/>
      <c r="E82" s="179"/>
      <c r="F82" s="179"/>
      <c r="G82" s="179"/>
      <c r="H82" s="179"/>
      <c r="I82" s="179"/>
      <c r="J82" s="178"/>
      <c r="K82" s="178"/>
      <c r="L82" s="183"/>
    </row>
    <row r="83" spans="2:12" hidden="1">
      <c r="B83" s="70"/>
      <c r="C83" s="176"/>
      <c r="D83" s="184"/>
      <c r="E83" s="179"/>
      <c r="F83" s="179"/>
      <c r="G83" s="179"/>
      <c r="H83" s="179"/>
      <c r="I83" s="179"/>
      <c r="J83" s="178"/>
      <c r="K83" s="178"/>
      <c r="L83" s="183"/>
    </row>
    <row r="84" spans="2:12" hidden="1">
      <c r="B84" s="198"/>
      <c r="C84" s="176"/>
      <c r="D84" s="184"/>
      <c r="E84" s="179"/>
      <c r="F84" s="179"/>
      <c r="G84" s="179"/>
      <c r="H84" s="179"/>
      <c r="I84" s="179"/>
      <c r="J84" s="178"/>
      <c r="K84" s="178"/>
      <c r="L84" s="183"/>
    </row>
    <row r="85" spans="2:12" hidden="1">
      <c r="B85" s="198"/>
      <c r="C85" s="185"/>
      <c r="D85" s="186"/>
      <c r="E85" s="187"/>
      <c r="F85" s="187"/>
      <c r="G85" s="187"/>
      <c r="H85" s="187"/>
      <c r="I85" s="187"/>
      <c r="J85" s="178"/>
      <c r="K85" s="178"/>
      <c r="L85" s="188"/>
    </row>
    <row r="86" spans="2:12" hidden="1">
      <c r="B86" s="28" t="s">
        <v>395</v>
      </c>
      <c r="C86" s="189"/>
      <c r="D86" s="189"/>
      <c r="E86" s="190"/>
      <c r="F86" s="190"/>
      <c r="G86" s="190"/>
      <c r="H86" s="190"/>
      <c r="I86" s="190">
        <f>I68</f>
        <v>0</v>
      </c>
      <c r="J86" s="191"/>
      <c r="K86" s="191"/>
      <c r="L86" s="190">
        <f>SUM(L63:L85)</f>
        <v>0</v>
      </c>
    </row>
    <row r="87" spans="2:12" hidden="1"/>
    <row r="88" spans="2:12" hidden="1"/>
    <row r="89" spans="2:12" hidden="1">
      <c r="G89" s="1568" t="e">
        <f>#REF!+#REF!+#REF!+L38</f>
        <v>#REF!</v>
      </c>
      <c r="H89" s="1568"/>
    </row>
    <row r="90" spans="2:12" hidden="1"/>
  </sheetData>
  <mergeCells count="29">
    <mergeCell ref="B1:L1"/>
    <mergeCell ref="B2:L2"/>
    <mergeCell ref="B7:B9"/>
    <mergeCell ref="L7:L9"/>
    <mergeCell ref="G8:G9"/>
    <mergeCell ref="J8:J9"/>
    <mergeCell ref="K8:K9"/>
    <mergeCell ref="I8:I9"/>
    <mergeCell ref="C7:C9"/>
    <mergeCell ref="D7:D9"/>
    <mergeCell ref="E7:K7"/>
    <mergeCell ref="E8:E9"/>
    <mergeCell ref="F8:F9"/>
    <mergeCell ref="H8:H9"/>
    <mergeCell ref="G89:H89"/>
    <mergeCell ref="K48:L48"/>
    <mergeCell ref="F61:F62"/>
    <mergeCell ref="G61:G62"/>
    <mergeCell ref="H61:H62"/>
    <mergeCell ref="K61:K62"/>
    <mergeCell ref="B52:L52"/>
    <mergeCell ref="I61:I62"/>
    <mergeCell ref="B53:L53"/>
    <mergeCell ref="B60:B62"/>
    <mergeCell ref="C60:C62"/>
    <mergeCell ref="D60:D62"/>
    <mergeCell ref="E60:K60"/>
    <mergeCell ref="L60:L62"/>
    <mergeCell ref="E61:E62"/>
  </mergeCells>
  <phoneticPr fontId="5" type="noConversion"/>
  <pageMargins left="1.38" right="0.17" top="0.16" bottom="0.2" header="0" footer="0"/>
  <pageSetup paperSize="9" orientation="landscape" horizontalDpi="120" verticalDpi="72" r:id="rId1"/>
  <headerFooter alignWithMargins="0">
    <oddHeader>&amp;RPLAN  4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I575"/>
  <sheetViews>
    <sheetView topLeftCell="A277" workbookViewId="0">
      <selection activeCell="E298" sqref="E298"/>
    </sheetView>
  </sheetViews>
  <sheetFormatPr baseColWidth="10" defaultColWidth="11.42578125" defaultRowHeight="12.75"/>
  <cols>
    <col min="1" max="1" width="1.85546875" style="202" customWidth="1"/>
    <col min="2" max="2" width="7.5703125" style="202" customWidth="1"/>
    <col min="3" max="3" width="37.7109375" style="202" customWidth="1"/>
    <col min="4" max="4" width="5.140625" style="202" customWidth="1"/>
    <col min="5" max="5" width="15.42578125" style="639" customWidth="1"/>
    <col min="6" max="7" width="15.42578125" style="641" customWidth="1"/>
    <col min="8" max="8" width="15" style="202" customWidth="1"/>
    <col min="9" max="9" width="22.7109375" style="202" customWidth="1"/>
    <col min="10" max="16384" width="11.42578125" style="36"/>
  </cols>
  <sheetData>
    <row r="1" spans="1:9">
      <c r="B1" s="1604" t="s">
        <v>950</v>
      </c>
      <c r="C1" s="1604"/>
      <c r="D1" s="1604"/>
      <c r="E1" s="1604"/>
      <c r="F1" s="1604"/>
      <c r="G1" s="1604"/>
      <c r="H1" s="1604"/>
      <c r="I1" s="1604"/>
    </row>
    <row r="2" spans="1:9">
      <c r="B2" s="1604" t="s">
        <v>336</v>
      </c>
      <c r="C2" s="1604"/>
      <c r="D2" s="1604"/>
      <c r="E2" s="1604"/>
      <c r="F2" s="1604"/>
      <c r="G2" s="1604"/>
      <c r="H2" s="1604"/>
      <c r="I2" s="1604"/>
    </row>
    <row r="3" spans="1:9" ht="13.5" customHeight="1">
      <c r="B3" s="1605" t="s">
        <v>742</v>
      </c>
      <c r="C3" s="1605"/>
      <c r="D3" s="1605"/>
      <c r="E3" s="1605"/>
      <c r="F3" s="1605"/>
      <c r="G3" s="1605"/>
      <c r="H3" s="1605"/>
      <c r="I3" s="1605"/>
    </row>
    <row r="4" spans="1:9">
      <c r="B4" s="1606" t="s">
        <v>1393</v>
      </c>
      <c r="C4" s="1607"/>
      <c r="D4" s="1607"/>
      <c r="E4" s="1607"/>
      <c r="F4" s="1607"/>
      <c r="G4" s="1607"/>
      <c r="H4" s="1607"/>
      <c r="I4" s="1608"/>
    </row>
    <row r="5" spans="1:9">
      <c r="B5" s="203" t="s">
        <v>337</v>
      </c>
      <c r="C5" s="204"/>
      <c r="D5" s="204"/>
      <c r="E5" s="633"/>
      <c r="F5" s="634"/>
      <c r="G5" s="635"/>
      <c r="H5" s="205"/>
      <c r="I5" s="206"/>
    </row>
    <row r="6" spans="1:9">
      <c r="B6" s="207" t="s">
        <v>338</v>
      </c>
      <c r="C6" s="206"/>
      <c r="D6" s="208"/>
      <c r="E6" s="1609" t="s">
        <v>362</v>
      </c>
      <c r="F6" s="1610"/>
      <c r="G6" s="1611"/>
      <c r="H6" s="1612" t="s">
        <v>804</v>
      </c>
      <c r="I6" s="1627" t="s">
        <v>370</v>
      </c>
    </row>
    <row r="7" spans="1:9" ht="13.5" customHeight="1">
      <c r="B7" s="1615" t="s">
        <v>947</v>
      </c>
      <c r="C7" s="1616"/>
      <c r="D7" s="1613" t="s">
        <v>371</v>
      </c>
      <c r="E7" s="1621" t="s">
        <v>946</v>
      </c>
      <c r="F7" s="1621" t="s">
        <v>948</v>
      </c>
      <c r="G7" s="1621" t="s">
        <v>949</v>
      </c>
      <c r="H7" s="1613"/>
      <c r="I7" s="1628"/>
    </row>
    <row r="8" spans="1:9" ht="21" customHeight="1">
      <c r="B8" s="1617"/>
      <c r="C8" s="1618"/>
      <c r="D8" s="1613"/>
      <c r="E8" s="1630"/>
      <c r="F8" s="1630"/>
      <c r="G8" s="1630"/>
      <c r="H8" s="1613"/>
      <c r="I8" s="1628"/>
    </row>
    <row r="9" spans="1:9">
      <c r="B9" s="1625" t="s">
        <v>340</v>
      </c>
      <c r="C9" s="1626"/>
      <c r="D9" s="1614"/>
      <c r="E9" s="683" t="s">
        <v>834</v>
      </c>
      <c r="F9" s="683" t="s">
        <v>838</v>
      </c>
      <c r="G9" s="683" t="s">
        <v>842</v>
      </c>
      <c r="H9" s="1614"/>
      <c r="I9" s="1629"/>
    </row>
    <row r="10" spans="1:9" ht="12.75" hidden="1" customHeight="1">
      <c r="B10" s="212"/>
      <c r="C10" s="208"/>
      <c r="D10" s="208"/>
      <c r="E10" s="636"/>
      <c r="F10" s="637"/>
      <c r="G10" s="638"/>
      <c r="H10" s="208"/>
      <c r="I10" s="214"/>
    </row>
    <row r="11" spans="1:9" ht="12.75" hidden="1" customHeight="1">
      <c r="B11" s="215"/>
      <c r="C11" s="216"/>
      <c r="D11" s="216"/>
      <c r="F11" s="640"/>
      <c r="H11" s="216"/>
      <c r="I11" s="218"/>
    </row>
    <row r="12" spans="1:9" s="632" customFormat="1" ht="13.5">
      <c r="A12" s="232"/>
      <c r="B12" s="219">
        <v>51</v>
      </c>
      <c r="C12" s="220" t="s">
        <v>341</v>
      </c>
      <c r="D12" s="220"/>
      <c r="E12" s="642">
        <f>E13+E24+E26</f>
        <v>138340.12400000001</v>
      </c>
      <c r="F12" s="643">
        <f>F13+F24+F28+F32+F26+F18+F30+F22</f>
        <v>166692.92909999998</v>
      </c>
      <c r="G12" s="643">
        <f>G13+G24+G28+G32+G26+G18+G30+G22</f>
        <v>85181.358000000022</v>
      </c>
      <c r="H12" s="630">
        <f>SUM(E12:G12)</f>
        <v>390214.41110000003</v>
      </c>
      <c r="I12" s="631"/>
    </row>
    <row r="13" spans="1:9" s="632" customFormat="1" ht="12.75" customHeight="1">
      <c r="A13" s="232"/>
      <c r="B13" s="219">
        <v>511</v>
      </c>
      <c r="C13" s="220" t="s">
        <v>342</v>
      </c>
      <c r="D13" s="220"/>
      <c r="E13" s="642">
        <f>E14+E16+E22+E30</f>
        <v>124502.48000000001</v>
      </c>
      <c r="F13" s="643">
        <f>SUM(F14:F17)</f>
        <v>147218.57699999999</v>
      </c>
      <c r="G13" s="643">
        <f>SUM(G14:G17)</f>
        <v>75212.400000000009</v>
      </c>
      <c r="H13" s="630">
        <f>SUM(E13:G13)</f>
        <v>346933.45700000005</v>
      </c>
      <c r="I13" s="631"/>
    </row>
    <row r="14" spans="1:9" ht="12" customHeight="1">
      <c r="B14" s="222">
        <v>51101</v>
      </c>
      <c r="C14" s="216" t="s">
        <v>14</v>
      </c>
      <c r="D14" s="216"/>
      <c r="E14" s="639">
        <f>'desagregacion de ctas.'!E6</f>
        <v>114868.8</v>
      </c>
      <c r="F14" s="640">
        <f>'desagregacion de ctas.'!G6</f>
        <v>138522.62</v>
      </c>
      <c r="G14" s="639">
        <f>'desagregacion de ctas.'!I6</f>
        <v>69957.600000000006</v>
      </c>
      <c r="H14" s="237">
        <f>SUM(E14:G14)</f>
        <v>323349.02</v>
      </c>
      <c r="I14" s="218"/>
    </row>
    <row r="15" spans="1:9" ht="12" hidden="1" customHeight="1">
      <c r="B15" s="222">
        <v>51102</v>
      </c>
      <c r="C15" s="216" t="s">
        <v>69</v>
      </c>
      <c r="D15" s="216"/>
      <c r="F15" s="640">
        <f>'desagregacion de ctas.'!D7</f>
        <v>0</v>
      </c>
      <c r="G15" s="644"/>
      <c r="H15" s="237">
        <f>SUM(E15:G15)</f>
        <v>0</v>
      </c>
      <c r="I15" s="218"/>
    </row>
    <row r="16" spans="1:9" ht="12" customHeight="1">
      <c r="B16" s="222">
        <v>51103</v>
      </c>
      <c r="C16" s="216" t="s">
        <v>15</v>
      </c>
      <c r="D16" s="216"/>
      <c r="E16" s="639">
        <f>'desagregacion de ctas.'!E8</f>
        <v>7033.68</v>
      </c>
      <c r="F16" s="640">
        <f>'desagregacion de ctas.'!G8</f>
        <v>8695.9570000000003</v>
      </c>
      <c r="G16" s="644">
        <f>'desagregacion de ctas.'!I8</f>
        <v>5254.8</v>
      </c>
      <c r="H16" s="237">
        <f>SUM(E16:G16)</f>
        <v>20984.437000000002</v>
      </c>
      <c r="I16" s="218"/>
    </row>
    <row r="17" spans="1:9" ht="12" hidden="1" customHeight="1">
      <c r="B17" s="222">
        <v>51105</v>
      </c>
      <c r="C17" s="216" t="s">
        <v>11</v>
      </c>
      <c r="D17" s="216"/>
      <c r="F17" s="640"/>
      <c r="G17" s="644"/>
      <c r="H17" s="216"/>
      <c r="I17" s="218"/>
    </row>
    <row r="18" spans="1:9" hidden="1">
      <c r="B18" s="221">
        <v>512</v>
      </c>
      <c r="C18" s="223" t="s">
        <v>345</v>
      </c>
      <c r="D18" s="216"/>
      <c r="F18" s="645">
        <f>SUM(F19:F21)</f>
        <v>0</v>
      </c>
      <c r="G18" s="644"/>
      <c r="H18" s="216"/>
      <c r="I18" s="218"/>
    </row>
    <row r="19" spans="1:9" ht="12" hidden="1" customHeight="1">
      <c r="B19" s="222">
        <v>51201</v>
      </c>
      <c r="C19" s="216" t="s">
        <v>56</v>
      </c>
      <c r="D19" s="216"/>
      <c r="F19" s="640"/>
      <c r="G19" s="644"/>
      <c r="H19" s="216"/>
      <c r="I19" s="218"/>
    </row>
    <row r="20" spans="1:9" ht="12" hidden="1" customHeight="1">
      <c r="B20" s="222">
        <v>51202</v>
      </c>
      <c r="C20" s="216" t="s">
        <v>69</v>
      </c>
      <c r="D20" s="216"/>
      <c r="F20" s="640">
        <f>'desagregacion de ctas.'!D13</f>
        <v>0</v>
      </c>
      <c r="G20" s="644"/>
      <c r="H20" s="216"/>
      <c r="I20" s="218"/>
    </row>
    <row r="21" spans="1:9" ht="12" hidden="1" customHeight="1">
      <c r="B21" s="222">
        <v>51203</v>
      </c>
      <c r="C21" s="216" t="s">
        <v>15</v>
      </c>
      <c r="D21" s="216"/>
      <c r="F21" s="640"/>
      <c r="G21" s="644"/>
      <c r="H21" s="216"/>
      <c r="I21" s="218"/>
    </row>
    <row r="22" spans="1:9" hidden="1">
      <c r="B22" s="221">
        <v>513</v>
      </c>
      <c r="C22" s="223" t="s">
        <v>176</v>
      </c>
      <c r="D22" s="216"/>
      <c r="E22" s="378">
        <f>E23</f>
        <v>0</v>
      </c>
      <c r="F22" s="645">
        <f>F23</f>
        <v>0</v>
      </c>
      <c r="G22" s="644"/>
      <c r="H22" s="216"/>
      <c r="I22" s="218"/>
    </row>
    <row r="23" spans="1:9" hidden="1">
      <c r="B23" s="222">
        <v>51301</v>
      </c>
      <c r="C23" s="216" t="s">
        <v>176</v>
      </c>
      <c r="D23" s="216"/>
      <c r="E23" s="639">
        <f>'desagregacion de ctas.'!E15</f>
        <v>0</v>
      </c>
      <c r="F23" s="646">
        <f>'desagregacion de ctas.'!D15</f>
        <v>0</v>
      </c>
      <c r="G23" s="640"/>
      <c r="H23" s="216"/>
      <c r="I23" s="218"/>
    </row>
    <row r="24" spans="1:9" s="632" customFormat="1" ht="13.5">
      <c r="A24" s="232"/>
      <c r="B24" s="219">
        <v>514</v>
      </c>
      <c r="C24" s="220" t="s">
        <v>343</v>
      </c>
      <c r="D24" s="220"/>
      <c r="E24" s="642">
        <f>E25</f>
        <v>6084</v>
      </c>
      <c r="F24" s="643">
        <f>F25</f>
        <v>10168.659</v>
      </c>
      <c r="G24" s="643">
        <f>G25</f>
        <v>5246.8200000000006</v>
      </c>
      <c r="H24" s="630">
        <f t="shared" ref="H24:H35" si="0">SUM(E24:G24)</f>
        <v>21499.478999999999</v>
      </c>
      <c r="I24" s="631"/>
    </row>
    <row r="25" spans="1:9">
      <c r="B25" s="222">
        <v>51401</v>
      </c>
      <c r="C25" s="216" t="s">
        <v>344</v>
      </c>
      <c r="D25" s="216"/>
      <c r="E25" s="639">
        <f>'desagregacion de ctas.'!E16</f>
        <v>6084</v>
      </c>
      <c r="F25" s="640">
        <f>'desagregacion de ctas.'!G16</f>
        <v>10168.659</v>
      </c>
      <c r="G25" s="644">
        <f>'desagregacion de ctas.'!I16</f>
        <v>5246.8200000000006</v>
      </c>
      <c r="H25" s="237">
        <f t="shared" si="0"/>
        <v>21499.478999999999</v>
      </c>
      <c r="I25" s="218"/>
    </row>
    <row r="26" spans="1:9" s="632" customFormat="1" ht="13.5">
      <c r="A26" s="232"/>
      <c r="B26" s="219">
        <v>515</v>
      </c>
      <c r="C26" s="220" t="s">
        <v>346</v>
      </c>
      <c r="D26" s="220"/>
      <c r="E26" s="642">
        <f>E27</f>
        <v>7753.6439999999993</v>
      </c>
      <c r="F26" s="643">
        <f>F27</f>
        <v>9305.6931000000004</v>
      </c>
      <c r="G26" s="643">
        <f>G27</f>
        <v>4722.1380000000008</v>
      </c>
      <c r="H26" s="630">
        <f t="shared" si="0"/>
        <v>21781.475100000003</v>
      </c>
      <c r="I26" s="631"/>
    </row>
    <row r="27" spans="1:9">
      <c r="B27" s="222">
        <v>51501</v>
      </c>
      <c r="C27" s="216" t="s">
        <v>344</v>
      </c>
      <c r="D27" s="216"/>
      <c r="E27" s="639">
        <f>'desagregacion de ctas.'!E17</f>
        <v>7753.6439999999993</v>
      </c>
      <c r="F27" s="640">
        <f>'desagregacion de ctas.'!G17</f>
        <v>9305.6931000000004</v>
      </c>
      <c r="G27" s="644">
        <f>'desagregacion de ctas.'!I17</f>
        <v>4722.1380000000008</v>
      </c>
      <c r="H27" s="237">
        <f t="shared" si="0"/>
        <v>21781.475100000003</v>
      </c>
      <c r="I27" s="218"/>
    </row>
    <row r="28" spans="1:9" hidden="1">
      <c r="B28" s="221">
        <v>516</v>
      </c>
      <c r="C28" s="216" t="s">
        <v>57</v>
      </c>
      <c r="D28" s="216"/>
      <c r="F28" s="645">
        <f>F29</f>
        <v>0</v>
      </c>
      <c r="G28" s="644"/>
      <c r="H28" s="237">
        <f t="shared" si="0"/>
        <v>0</v>
      </c>
      <c r="I28" s="218"/>
    </row>
    <row r="29" spans="1:9" hidden="1">
      <c r="B29" s="222">
        <v>51602</v>
      </c>
      <c r="C29" s="216" t="s">
        <v>58</v>
      </c>
      <c r="D29" s="216"/>
      <c r="F29" s="640"/>
      <c r="G29" s="644"/>
      <c r="H29" s="237">
        <f t="shared" si="0"/>
        <v>0</v>
      </c>
      <c r="I29" s="218"/>
    </row>
    <row r="30" spans="1:9" s="297" customFormat="1">
      <c r="A30" s="230"/>
      <c r="B30" s="221">
        <v>517</v>
      </c>
      <c r="C30" s="223" t="s">
        <v>281</v>
      </c>
      <c r="D30" s="223"/>
      <c r="E30" s="378">
        <f>E31</f>
        <v>2600</v>
      </c>
      <c r="F30" s="645">
        <f>F31</f>
        <v>0</v>
      </c>
      <c r="G30" s="659"/>
      <c r="H30" s="238">
        <f t="shared" si="0"/>
        <v>2600</v>
      </c>
      <c r="I30" s="296"/>
    </row>
    <row r="31" spans="1:9">
      <c r="B31" s="222">
        <v>51701</v>
      </c>
      <c r="C31" s="216" t="s">
        <v>282</v>
      </c>
      <c r="D31" s="216"/>
      <c r="E31" s="639">
        <f>'desagregacion de ctas.'!E20</f>
        <v>2600</v>
      </c>
      <c r="F31" s="640"/>
      <c r="G31" s="644"/>
      <c r="H31" s="237">
        <f t="shared" si="0"/>
        <v>2600</v>
      </c>
      <c r="I31" s="218"/>
    </row>
    <row r="32" spans="1:9" hidden="1">
      <c r="B32" s="221">
        <v>519</v>
      </c>
      <c r="C32" s="223" t="s">
        <v>347</v>
      </c>
      <c r="D32" s="216"/>
      <c r="F32" s="645">
        <f>F33+F34</f>
        <v>0</v>
      </c>
      <c r="G32" s="644"/>
      <c r="H32" s="237">
        <f t="shared" si="0"/>
        <v>0</v>
      </c>
      <c r="I32" s="218"/>
    </row>
    <row r="33" spans="1:9" hidden="1">
      <c r="B33" s="222">
        <v>51901</v>
      </c>
      <c r="C33" s="216" t="s">
        <v>12</v>
      </c>
      <c r="D33" s="216"/>
      <c r="F33" s="640"/>
      <c r="G33" s="644"/>
      <c r="H33" s="237">
        <f t="shared" si="0"/>
        <v>0</v>
      </c>
      <c r="I33" s="218"/>
    </row>
    <row r="34" spans="1:9" hidden="1">
      <c r="B34" s="222">
        <v>51902</v>
      </c>
      <c r="C34" s="216" t="s">
        <v>413</v>
      </c>
      <c r="D34" s="216"/>
      <c r="F34" s="640">
        <f>'desagregacion de ctas.'!D22</f>
        <v>0</v>
      </c>
      <c r="G34" s="644"/>
      <c r="H34" s="237">
        <f t="shared" si="0"/>
        <v>0</v>
      </c>
      <c r="I34" s="218"/>
    </row>
    <row r="35" spans="1:9" s="632" customFormat="1" ht="13.5">
      <c r="A35" s="232"/>
      <c r="B35" s="219">
        <v>54</v>
      </c>
      <c r="C35" s="220" t="s">
        <v>348</v>
      </c>
      <c r="D35" s="220"/>
      <c r="E35" s="643">
        <f>E36+E65+E71+E85</f>
        <v>0</v>
      </c>
      <c r="F35" s="643">
        <f>F36+F65+F71+F85+F90</f>
        <v>0</v>
      </c>
      <c r="G35" s="643">
        <f>G36+G65+G71+G85+G90</f>
        <v>122320.35</v>
      </c>
      <c r="H35" s="630">
        <f t="shared" si="0"/>
        <v>122320.35</v>
      </c>
      <c r="I35" s="631"/>
    </row>
    <row r="36" spans="1:9" s="632" customFormat="1" ht="13.5">
      <c r="A36" s="232"/>
      <c r="B36" s="219">
        <v>541</v>
      </c>
      <c r="C36" s="220" t="s">
        <v>349</v>
      </c>
      <c r="D36" s="220"/>
      <c r="E36" s="642">
        <f>SUM(E37:E49,E63:E64)</f>
        <v>0</v>
      </c>
      <c r="F36" s="643">
        <f>SUM(F37:F64)</f>
        <v>0</v>
      </c>
      <c r="G36" s="643">
        <f>SUM(G37:G64)</f>
        <v>6500</v>
      </c>
      <c r="H36" s="630">
        <f>SUM(E36:G36)</f>
        <v>6500</v>
      </c>
      <c r="I36" s="631"/>
    </row>
    <row r="37" spans="1:9" ht="12" hidden="1" customHeight="1">
      <c r="B37" s="222">
        <v>54101</v>
      </c>
      <c r="C37" s="224" t="s">
        <v>694</v>
      </c>
      <c r="D37" s="216"/>
      <c r="F37" s="640"/>
      <c r="G37" s="644"/>
      <c r="H37" s="216"/>
      <c r="I37" s="218"/>
    </row>
    <row r="38" spans="1:9" ht="12" hidden="1" customHeight="1">
      <c r="B38" s="222">
        <v>54103</v>
      </c>
      <c r="C38" s="224" t="s">
        <v>283</v>
      </c>
      <c r="D38" s="216"/>
      <c r="F38" s="640"/>
      <c r="G38" s="644"/>
      <c r="H38" s="216"/>
      <c r="I38" s="218"/>
    </row>
    <row r="39" spans="1:9" ht="12" hidden="1" customHeight="1">
      <c r="B39" s="222">
        <v>54104</v>
      </c>
      <c r="C39" s="216" t="s">
        <v>350</v>
      </c>
      <c r="D39" s="216"/>
      <c r="F39" s="640"/>
      <c r="G39" s="644"/>
      <c r="H39" s="216"/>
      <c r="I39" s="218"/>
    </row>
    <row r="40" spans="1:9" ht="12" hidden="1" customHeight="1">
      <c r="B40" s="222">
        <v>54105</v>
      </c>
      <c r="C40" s="216" t="s">
        <v>124</v>
      </c>
      <c r="D40" s="216"/>
      <c r="F40" s="640"/>
      <c r="G40" s="644"/>
      <c r="H40" s="216"/>
      <c r="I40" s="218"/>
    </row>
    <row r="41" spans="1:9" ht="12" hidden="1" customHeight="1">
      <c r="B41" s="222">
        <v>54106</v>
      </c>
      <c r="C41" s="216" t="s">
        <v>284</v>
      </c>
      <c r="D41" s="216"/>
      <c r="F41" s="640"/>
      <c r="G41" s="644"/>
      <c r="H41" s="216"/>
      <c r="I41" s="218"/>
    </row>
    <row r="42" spans="1:9" ht="12" hidden="1" customHeight="1">
      <c r="B42" s="222">
        <v>54107</v>
      </c>
      <c r="C42" s="216" t="s">
        <v>691</v>
      </c>
      <c r="D42" s="216"/>
      <c r="F42" s="640"/>
      <c r="G42" s="644"/>
      <c r="H42" s="216"/>
      <c r="I42" s="218"/>
    </row>
    <row r="43" spans="1:9" ht="12" hidden="1" customHeight="1">
      <c r="B43" s="222">
        <v>54108</v>
      </c>
      <c r="C43" s="216" t="s">
        <v>644</v>
      </c>
      <c r="D43" s="216"/>
      <c r="F43" s="640"/>
      <c r="G43" s="644"/>
      <c r="H43" s="216"/>
      <c r="I43" s="218"/>
    </row>
    <row r="44" spans="1:9" ht="12" hidden="1" customHeight="1">
      <c r="B44" s="222">
        <v>54109</v>
      </c>
      <c r="C44" s="216" t="s">
        <v>242</v>
      </c>
      <c r="D44" s="216"/>
      <c r="F44" s="640"/>
      <c r="G44" s="644"/>
      <c r="H44" s="216"/>
      <c r="I44" s="218"/>
    </row>
    <row r="45" spans="1:9" ht="12" hidden="1" customHeight="1">
      <c r="B45" s="222">
        <v>54110</v>
      </c>
      <c r="C45" s="216" t="s">
        <v>352</v>
      </c>
      <c r="D45" s="216"/>
      <c r="F45" s="640"/>
      <c r="G45" s="644"/>
      <c r="H45" s="216"/>
      <c r="I45" s="218"/>
    </row>
    <row r="46" spans="1:9" ht="12" hidden="1" customHeight="1">
      <c r="B46" s="222">
        <v>54111</v>
      </c>
      <c r="C46" s="216" t="s">
        <v>692</v>
      </c>
      <c r="D46" s="216"/>
      <c r="F46" s="640"/>
      <c r="G46" s="644"/>
      <c r="H46" s="216"/>
      <c r="I46" s="218"/>
    </row>
    <row r="47" spans="1:9" ht="12" hidden="1" customHeight="1">
      <c r="B47" s="222">
        <v>54112</v>
      </c>
      <c r="C47" s="216" t="s">
        <v>693</v>
      </c>
      <c r="D47" s="216"/>
      <c r="F47" s="640"/>
      <c r="G47" s="644"/>
      <c r="H47" s="216"/>
      <c r="I47" s="218"/>
    </row>
    <row r="48" spans="1:9" ht="12" hidden="1" customHeight="1">
      <c r="B48" s="222">
        <v>54114</v>
      </c>
      <c r="C48" s="216" t="s">
        <v>285</v>
      </c>
      <c r="D48" s="216"/>
      <c r="F48" s="640"/>
      <c r="G48" s="644"/>
      <c r="H48" s="216"/>
      <c r="I48" s="218"/>
    </row>
    <row r="49" spans="2:9" ht="12" hidden="1" customHeight="1">
      <c r="B49" s="225">
        <v>54115</v>
      </c>
      <c r="C49" s="226" t="s">
        <v>439</v>
      </c>
      <c r="D49" s="226"/>
      <c r="E49" s="647"/>
      <c r="F49" s="648"/>
      <c r="G49" s="649"/>
      <c r="H49" s="226"/>
      <c r="I49" s="227"/>
    </row>
    <row r="50" spans="2:9" hidden="1">
      <c r="B50" s="1604" t="s">
        <v>335</v>
      </c>
      <c r="C50" s="1604"/>
      <c r="D50" s="1604"/>
      <c r="E50" s="1604"/>
      <c r="F50" s="1604"/>
      <c r="G50" s="1604"/>
      <c r="H50" s="1604"/>
      <c r="I50" s="1604"/>
    </row>
    <row r="51" spans="2:9" hidden="1">
      <c r="B51" s="1604" t="s">
        <v>336</v>
      </c>
      <c r="C51" s="1604"/>
      <c r="D51" s="1604"/>
      <c r="E51" s="1604"/>
      <c r="F51" s="1604"/>
      <c r="G51" s="1604"/>
      <c r="H51" s="1604"/>
      <c r="I51" s="1604"/>
    </row>
    <row r="52" spans="2:9" hidden="1"/>
    <row r="53" spans="2:9" hidden="1">
      <c r="B53" s="1605" t="s">
        <v>742</v>
      </c>
      <c r="C53" s="1605"/>
      <c r="D53" s="1605"/>
      <c r="E53" s="1605"/>
      <c r="F53" s="1605"/>
      <c r="G53" s="1605"/>
      <c r="H53" s="1605"/>
      <c r="I53" s="1605"/>
    </row>
    <row r="54" spans="2:9" hidden="1">
      <c r="B54" s="1606" t="str">
        <f>B4</f>
        <v>( 2 ) EJERCICICIO FINANCIERO FISCAL : 2017</v>
      </c>
      <c r="C54" s="1607"/>
      <c r="D54" s="1607"/>
      <c r="E54" s="1607"/>
      <c r="F54" s="1607"/>
      <c r="G54" s="1607"/>
      <c r="H54" s="1607"/>
      <c r="I54" s="1608"/>
    </row>
    <row r="55" spans="2:9" hidden="1">
      <c r="B55" s="203" t="s">
        <v>337</v>
      </c>
      <c r="C55" s="204"/>
      <c r="D55" s="204"/>
      <c r="E55" s="633"/>
      <c r="F55" s="634"/>
      <c r="G55" s="635"/>
      <c r="H55" s="205"/>
      <c r="I55" s="206"/>
    </row>
    <row r="56" spans="2:9" hidden="1">
      <c r="B56" s="207" t="s">
        <v>338</v>
      </c>
      <c r="C56" s="206"/>
      <c r="D56" s="208"/>
      <c r="E56" s="1609" t="s">
        <v>362</v>
      </c>
      <c r="F56" s="1610"/>
      <c r="G56" s="1611"/>
      <c r="H56" s="209" t="s">
        <v>368</v>
      </c>
      <c r="I56" s="1627" t="s">
        <v>370</v>
      </c>
    </row>
    <row r="57" spans="2:9" hidden="1">
      <c r="B57" s="1634" t="s">
        <v>339</v>
      </c>
      <c r="C57" s="1635"/>
      <c r="D57" s="1637" t="s">
        <v>371</v>
      </c>
      <c r="E57" s="650" t="s">
        <v>372</v>
      </c>
      <c r="F57" s="651" t="s">
        <v>73</v>
      </c>
      <c r="G57" s="652"/>
      <c r="H57" s="210"/>
      <c r="I57" s="1628"/>
    </row>
    <row r="58" spans="2:9" hidden="1">
      <c r="B58" s="1636"/>
      <c r="C58" s="1604"/>
      <c r="D58" s="1638"/>
      <c r="E58" s="653">
        <f>E8</f>
        <v>0</v>
      </c>
      <c r="F58" s="651" t="s">
        <v>364</v>
      </c>
      <c r="G58" s="654" t="s">
        <v>366</v>
      </c>
      <c r="H58" s="210" t="s">
        <v>369</v>
      </c>
      <c r="I58" s="1628"/>
    </row>
    <row r="59" spans="2:9" hidden="1">
      <c r="B59" s="1640" t="s">
        <v>340</v>
      </c>
      <c r="C59" s="1641"/>
      <c r="D59" s="1639"/>
      <c r="E59" s="655" t="s">
        <v>363</v>
      </c>
      <c r="F59" s="656" t="s">
        <v>365</v>
      </c>
      <c r="G59" s="657" t="s">
        <v>367</v>
      </c>
      <c r="H59" s="211"/>
      <c r="I59" s="1629"/>
    </row>
    <row r="60" spans="2:9" hidden="1">
      <c r="B60" s="208"/>
      <c r="C60" s="213" t="s">
        <v>379</v>
      </c>
      <c r="D60" s="208"/>
      <c r="E60" s="636"/>
      <c r="F60" s="637"/>
      <c r="G60" s="638"/>
      <c r="H60" s="208"/>
      <c r="I60" s="214"/>
    </row>
    <row r="61" spans="2:9" hidden="1">
      <c r="B61" s="216"/>
      <c r="C61" s="202" t="s">
        <v>380</v>
      </c>
      <c r="D61" s="216"/>
      <c r="F61" s="640"/>
      <c r="H61" s="216"/>
      <c r="I61" s="218"/>
    </row>
    <row r="62" spans="2:9" hidden="1">
      <c r="B62" s="228">
        <v>54116</v>
      </c>
      <c r="C62" s="202" t="s">
        <v>695</v>
      </c>
      <c r="D62" s="216"/>
      <c r="F62" s="640">
        <f>'desagregacion de ctas.'!D38</f>
        <v>0</v>
      </c>
      <c r="G62" s="644"/>
      <c r="H62" s="216"/>
      <c r="I62" s="218"/>
    </row>
    <row r="63" spans="2:9">
      <c r="B63" s="228">
        <v>54121</v>
      </c>
      <c r="C63" s="202" t="s">
        <v>440</v>
      </c>
      <c r="D63" s="216"/>
      <c r="F63" s="640">
        <f>'desagregacion de ctas.'!D40</f>
        <v>0</v>
      </c>
      <c r="G63" s="644">
        <f>'desagregacion de ctas.'!I42</f>
        <v>6500</v>
      </c>
      <c r="H63" s="237">
        <f>SUM(E63:G63)</f>
        <v>6500</v>
      </c>
      <c r="I63" s="218"/>
    </row>
    <row r="64" spans="2:9" hidden="1">
      <c r="B64" s="228">
        <v>54199</v>
      </c>
      <c r="C64" s="202" t="s">
        <v>286</v>
      </c>
      <c r="D64" s="216"/>
      <c r="F64" s="640">
        <f>'desagregacion de ctas.'!D43</f>
        <v>0</v>
      </c>
      <c r="G64" s="644"/>
      <c r="H64" s="216"/>
      <c r="I64" s="218"/>
    </row>
    <row r="65" spans="2:9">
      <c r="B65" s="229">
        <v>542</v>
      </c>
      <c r="C65" s="230" t="s">
        <v>353</v>
      </c>
      <c r="D65" s="216"/>
      <c r="E65" s="378">
        <f>SUM(E66:E68)</f>
        <v>0</v>
      </c>
      <c r="F65" s="645">
        <f>SUM(F66:F69)</f>
        <v>0</v>
      </c>
      <c r="G65" s="645">
        <f>SUM(G66:G70)</f>
        <v>115670.35</v>
      </c>
      <c r="H65" s="237">
        <f t="shared" ref="H65:H84" si="1">SUM(E65:G65)</f>
        <v>115670.35</v>
      </c>
      <c r="I65" s="218"/>
    </row>
    <row r="66" spans="2:9">
      <c r="B66" s="228">
        <v>54201</v>
      </c>
      <c r="C66" s="202" t="s">
        <v>195</v>
      </c>
      <c r="D66" s="216"/>
      <c r="E66" s="640">
        <f>'desagregacion de ctas.'!E44</f>
        <v>0</v>
      </c>
      <c r="F66" s="640">
        <f>'desagregacion de ctas.'!G44</f>
        <v>0</v>
      </c>
      <c r="G66" s="644">
        <f>'desagregacion de ctas.'!I44</f>
        <v>8000</v>
      </c>
      <c r="H66" s="237">
        <f t="shared" si="1"/>
        <v>8000</v>
      </c>
      <c r="I66" s="218"/>
    </row>
    <row r="67" spans="2:9" hidden="1">
      <c r="B67" s="228">
        <v>54202</v>
      </c>
      <c r="C67" s="202" t="s">
        <v>16</v>
      </c>
      <c r="D67" s="216"/>
      <c r="F67" s="640"/>
      <c r="G67" s="644"/>
      <c r="H67" s="237">
        <f t="shared" si="1"/>
        <v>0</v>
      </c>
      <c r="I67" s="218"/>
    </row>
    <row r="68" spans="2:9" hidden="1">
      <c r="B68" s="228">
        <v>54203</v>
      </c>
      <c r="C68" s="202" t="s">
        <v>196</v>
      </c>
      <c r="D68" s="216"/>
      <c r="F68" s="640"/>
      <c r="G68" s="644"/>
      <c r="H68" s="237">
        <f t="shared" si="1"/>
        <v>0</v>
      </c>
      <c r="I68" s="218"/>
    </row>
    <row r="69" spans="2:9" hidden="1">
      <c r="B69" s="228">
        <v>54204</v>
      </c>
      <c r="C69" s="202" t="s">
        <v>645</v>
      </c>
      <c r="D69" s="216"/>
      <c r="F69" s="640">
        <f>'desagregacion de ctas.'!D76</f>
        <v>0</v>
      </c>
      <c r="G69" s="644"/>
      <c r="H69" s="237">
        <f t="shared" si="1"/>
        <v>0</v>
      </c>
      <c r="I69" s="218"/>
    </row>
    <row r="70" spans="2:9">
      <c r="B70" s="228">
        <v>54205</v>
      </c>
      <c r="C70" s="202" t="s">
        <v>951</v>
      </c>
      <c r="D70" s="216"/>
      <c r="F70" s="640"/>
      <c r="G70" s="644">
        <f>'desagregacion de ctas.'!I77</f>
        <v>107670.35</v>
      </c>
      <c r="H70" s="237">
        <f t="shared" si="1"/>
        <v>107670.35</v>
      </c>
      <c r="I70" s="218"/>
    </row>
    <row r="71" spans="2:9">
      <c r="B71" s="229">
        <v>543</v>
      </c>
      <c r="C71" s="230" t="s">
        <v>646</v>
      </c>
      <c r="D71" s="216"/>
      <c r="E71" s="658">
        <f>SUM(E72:E84)</f>
        <v>0</v>
      </c>
      <c r="F71" s="645">
        <f>SUM(F72:F84)</f>
        <v>0</v>
      </c>
      <c r="G71" s="645">
        <f>SUM(G72:G84)</f>
        <v>150</v>
      </c>
      <c r="H71" s="237">
        <f t="shared" si="1"/>
        <v>150</v>
      </c>
      <c r="I71" s="218"/>
    </row>
    <row r="72" spans="2:9" hidden="1">
      <c r="B72" s="228">
        <v>54301</v>
      </c>
      <c r="C72" s="202" t="s">
        <v>647</v>
      </c>
      <c r="D72" s="216"/>
      <c r="E72" s="378"/>
      <c r="F72" s="640"/>
      <c r="G72" s="644"/>
      <c r="H72" s="237">
        <f t="shared" si="1"/>
        <v>0</v>
      </c>
      <c r="I72" s="218"/>
    </row>
    <row r="73" spans="2:9" hidden="1">
      <c r="B73" s="228">
        <v>54302</v>
      </c>
      <c r="C73" s="202" t="s">
        <v>648</v>
      </c>
      <c r="D73" s="216"/>
      <c r="E73" s="378"/>
      <c r="F73" s="640"/>
      <c r="G73" s="644"/>
      <c r="H73" s="237">
        <f t="shared" si="1"/>
        <v>0</v>
      </c>
      <c r="I73" s="218"/>
    </row>
    <row r="74" spans="2:9" hidden="1">
      <c r="B74" s="228">
        <v>54303</v>
      </c>
      <c r="C74" s="202" t="s">
        <v>649</v>
      </c>
      <c r="D74" s="216"/>
      <c r="E74" s="378"/>
      <c r="F74" s="640"/>
      <c r="G74" s="644"/>
      <c r="H74" s="237">
        <f t="shared" si="1"/>
        <v>0</v>
      </c>
      <c r="I74" s="218"/>
    </row>
    <row r="75" spans="2:9" hidden="1">
      <c r="B75" s="228">
        <v>54304</v>
      </c>
      <c r="C75" s="202" t="s">
        <v>44</v>
      </c>
      <c r="D75" s="216"/>
      <c r="E75" s="378"/>
      <c r="F75" s="640"/>
      <c r="G75" s="644"/>
      <c r="H75" s="237">
        <f t="shared" si="1"/>
        <v>0</v>
      </c>
      <c r="I75" s="218"/>
    </row>
    <row r="76" spans="2:9" hidden="1">
      <c r="B76" s="228">
        <v>54305</v>
      </c>
      <c r="C76" s="202" t="s">
        <v>71</v>
      </c>
      <c r="D76" s="216"/>
      <c r="F76" s="640"/>
      <c r="G76" s="644"/>
      <c r="H76" s="237">
        <f t="shared" si="1"/>
        <v>0</v>
      </c>
      <c r="I76" s="218"/>
    </row>
    <row r="77" spans="2:9" hidden="1">
      <c r="B77" s="228">
        <v>54308</v>
      </c>
      <c r="C77" s="202" t="s">
        <v>243</v>
      </c>
      <c r="D77" s="216"/>
      <c r="F77" s="640"/>
      <c r="G77" s="644"/>
      <c r="H77" s="237">
        <f t="shared" si="1"/>
        <v>0</v>
      </c>
      <c r="I77" s="218"/>
    </row>
    <row r="78" spans="2:9" hidden="1">
      <c r="B78" s="228">
        <v>54310</v>
      </c>
      <c r="C78" s="202" t="s">
        <v>696</v>
      </c>
      <c r="D78" s="216"/>
      <c r="F78" s="640"/>
      <c r="G78" s="644"/>
      <c r="H78" s="237">
        <f t="shared" si="1"/>
        <v>0</v>
      </c>
      <c r="I78" s="218"/>
    </row>
    <row r="79" spans="2:9" hidden="1">
      <c r="B79" s="228">
        <v>54311</v>
      </c>
      <c r="C79" s="202" t="s">
        <v>650</v>
      </c>
      <c r="D79" s="216"/>
      <c r="F79" s="640"/>
      <c r="G79" s="644"/>
      <c r="H79" s="237">
        <f t="shared" si="1"/>
        <v>0</v>
      </c>
      <c r="I79" s="218"/>
    </row>
    <row r="80" spans="2:9" hidden="1">
      <c r="B80" s="228">
        <v>54313</v>
      </c>
      <c r="C80" s="202" t="s">
        <v>197</v>
      </c>
      <c r="D80" s="216"/>
      <c r="F80" s="640"/>
      <c r="G80" s="644"/>
      <c r="H80" s="237">
        <f t="shared" si="1"/>
        <v>0</v>
      </c>
      <c r="I80" s="218"/>
    </row>
    <row r="81" spans="2:9" hidden="1">
      <c r="B81" s="228">
        <v>54314</v>
      </c>
      <c r="C81" s="202" t="s">
        <v>360</v>
      </c>
      <c r="D81" s="216"/>
      <c r="F81" s="640"/>
      <c r="G81" s="644"/>
      <c r="H81" s="237">
        <f t="shared" si="1"/>
        <v>0</v>
      </c>
      <c r="I81" s="218"/>
    </row>
    <row r="82" spans="2:9" hidden="1">
      <c r="B82" s="228">
        <v>54316</v>
      </c>
      <c r="C82" s="202" t="s">
        <v>697</v>
      </c>
      <c r="D82" s="216"/>
      <c r="F82" s="640"/>
      <c r="G82" s="644"/>
      <c r="H82" s="237">
        <f t="shared" si="1"/>
        <v>0</v>
      </c>
      <c r="I82" s="218"/>
    </row>
    <row r="83" spans="2:9" hidden="1">
      <c r="B83" s="228">
        <v>54317</v>
      </c>
      <c r="C83" s="202" t="s">
        <v>698</v>
      </c>
      <c r="D83" s="216"/>
      <c r="E83" s="660"/>
      <c r="F83" s="660"/>
      <c r="G83" s="644"/>
      <c r="H83" s="237">
        <f t="shared" si="1"/>
        <v>0</v>
      </c>
      <c r="I83" s="218"/>
    </row>
    <row r="84" spans="2:9" ht="12.75" customHeight="1">
      <c r="B84" s="228">
        <v>54399</v>
      </c>
      <c r="C84" s="202" t="s">
        <v>651</v>
      </c>
      <c r="D84" s="216"/>
      <c r="E84" s="639">
        <f>'desagregacion de ctas.'!E92</f>
        <v>0</v>
      </c>
      <c r="F84" s="640"/>
      <c r="G84" s="644">
        <f>'desagregacion de ctas.'!I92</f>
        <v>150</v>
      </c>
      <c r="H84" s="237">
        <f t="shared" si="1"/>
        <v>150</v>
      </c>
      <c r="I84" s="218"/>
    </row>
    <row r="85" spans="2:9" hidden="1">
      <c r="B85" s="229">
        <v>544</v>
      </c>
      <c r="C85" s="230" t="s">
        <v>354</v>
      </c>
      <c r="D85" s="216"/>
      <c r="F85" s="645">
        <f>SUM(F86:F89)</f>
        <v>0</v>
      </c>
      <c r="G85" s="659"/>
      <c r="H85" s="216"/>
      <c r="I85" s="218"/>
    </row>
    <row r="86" spans="2:9" hidden="1">
      <c r="B86" s="228">
        <v>54401</v>
      </c>
      <c r="C86" s="202" t="s">
        <v>198</v>
      </c>
      <c r="D86" s="216"/>
      <c r="F86" s="640"/>
      <c r="G86" s="644"/>
      <c r="H86" s="216"/>
      <c r="I86" s="218"/>
    </row>
    <row r="87" spans="2:9" hidden="1">
      <c r="B87" s="228">
        <v>54402</v>
      </c>
      <c r="C87" s="202" t="s">
        <v>652</v>
      </c>
      <c r="D87" s="216"/>
      <c r="F87" s="640"/>
      <c r="G87" s="644"/>
      <c r="H87" s="216"/>
      <c r="I87" s="218"/>
    </row>
    <row r="88" spans="2:9" hidden="1">
      <c r="B88" s="228">
        <v>54403</v>
      </c>
      <c r="C88" s="202" t="s">
        <v>444</v>
      </c>
      <c r="D88" s="216"/>
      <c r="F88" s="640"/>
      <c r="G88" s="644"/>
      <c r="H88" s="216"/>
      <c r="I88" s="218"/>
    </row>
    <row r="89" spans="2:9" hidden="1">
      <c r="B89" s="228">
        <v>54404</v>
      </c>
      <c r="C89" s="202" t="s">
        <v>653</v>
      </c>
      <c r="D89" s="216"/>
      <c r="F89" s="640"/>
      <c r="G89" s="644"/>
      <c r="H89" s="216"/>
      <c r="I89" s="218"/>
    </row>
    <row r="90" spans="2:9" hidden="1">
      <c r="B90" s="229">
        <v>545</v>
      </c>
      <c r="C90" s="230" t="s">
        <v>503</v>
      </c>
      <c r="D90" s="216"/>
      <c r="F90" s="645">
        <f>SUM(F91:F94)</f>
        <v>0</v>
      </c>
      <c r="G90" s="644"/>
      <c r="H90" s="216"/>
      <c r="I90" s="218"/>
    </row>
    <row r="91" spans="2:9" hidden="1">
      <c r="B91" s="228">
        <v>54503</v>
      </c>
      <c r="C91" s="202" t="s">
        <v>515</v>
      </c>
      <c r="D91" s="216"/>
      <c r="F91" s="640"/>
      <c r="G91" s="644"/>
      <c r="H91" s="216"/>
      <c r="I91" s="218"/>
    </row>
    <row r="92" spans="2:9" hidden="1">
      <c r="B92" s="284">
        <v>54505</v>
      </c>
      <c r="C92" s="202" t="s">
        <v>504</v>
      </c>
      <c r="D92" s="216"/>
      <c r="F92" s="640"/>
      <c r="G92" s="644"/>
      <c r="H92" s="216"/>
      <c r="I92" s="218"/>
    </row>
    <row r="93" spans="2:9" hidden="1">
      <c r="B93" s="281">
        <v>54508</v>
      </c>
      <c r="C93" s="282" t="s">
        <v>170</v>
      </c>
      <c r="D93" s="283"/>
      <c r="F93" s="640">
        <f>'desagregacion de ctas.'!D104</f>
        <v>0</v>
      </c>
      <c r="G93" s="644"/>
      <c r="H93" s="216"/>
      <c r="I93" s="218"/>
    </row>
    <row r="94" spans="2:9" hidden="1">
      <c r="B94" s="281">
        <v>54599</v>
      </c>
      <c r="C94" s="282" t="s">
        <v>171</v>
      </c>
      <c r="D94" s="283"/>
      <c r="F94" s="640"/>
      <c r="G94" s="644"/>
      <c r="H94" s="216"/>
      <c r="I94" s="218"/>
    </row>
    <row r="95" spans="2:9" ht="13.5" hidden="1" customHeight="1">
      <c r="B95" s="231">
        <v>55</v>
      </c>
      <c r="C95" s="232" t="s">
        <v>355</v>
      </c>
      <c r="D95" s="216"/>
      <c r="F95" s="645">
        <f>F96+F99</f>
        <v>0</v>
      </c>
      <c r="G95" s="659"/>
      <c r="H95" s="216"/>
      <c r="I95" s="218"/>
    </row>
    <row r="96" spans="2:9" hidden="1">
      <c r="B96" s="229">
        <v>556</v>
      </c>
      <c r="C96" s="230" t="s">
        <v>699</v>
      </c>
      <c r="D96" s="216"/>
      <c r="F96" s="645">
        <f>F98+F97</f>
        <v>0</v>
      </c>
      <c r="G96" s="659"/>
      <c r="H96" s="216"/>
      <c r="I96" s="218"/>
    </row>
    <row r="97" spans="2:9" hidden="1">
      <c r="B97" s="228">
        <v>55602</v>
      </c>
      <c r="C97" s="202" t="s">
        <v>570</v>
      </c>
      <c r="D97" s="216"/>
      <c r="F97" s="640"/>
      <c r="G97" s="659"/>
      <c r="H97" s="215"/>
      <c r="I97" s="216"/>
    </row>
    <row r="98" spans="2:9" hidden="1">
      <c r="B98" s="228">
        <v>55603</v>
      </c>
      <c r="C98" s="202" t="s">
        <v>737</v>
      </c>
      <c r="D98" s="216"/>
      <c r="F98" s="640"/>
      <c r="G98" s="644"/>
      <c r="H98" s="215"/>
      <c r="I98" s="216"/>
    </row>
    <row r="99" spans="2:9" hidden="1">
      <c r="B99" s="229">
        <v>557</v>
      </c>
      <c r="C99" s="230" t="s">
        <v>526</v>
      </c>
      <c r="D99" s="216"/>
      <c r="F99" s="661">
        <f>F100+F101</f>
        <v>0</v>
      </c>
      <c r="G99" s="659"/>
      <c r="H99" s="215"/>
      <c r="I99" s="216"/>
    </row>
    <row r="100" spans="2:9" hidden="1">
      <c r="B100" s="228">
        <v>55703</v>
      </c>
      <c r="C100" s="202" t="s">
        <v>527</v>
      </c>
      <c r="D100" s="216"/>
      <c r="F100" s="662">
        <f>'desagregacion de ctas.'!D114</f>
        <v>0</v>
      </c>
      <c r="G100" s="644"/>
      <c r="H100" s="215"/>
      <c r="I100" s="216"/>
    </row>
    <row r="101" spans="2:9" hidden="1">
      <c r="B101" s="228">
        <v>55799</v>
      </c>
      <c r="C101" s="202" t="s">
        <v>817</v>
      </c>
      <c r="D101" s="216"/>
      <c r="F101" s="662">
        <f>'desagregacion de ctas.'!D115</f>
        <v>0</v>
      </c>
      <c r="G101" s="644"/>
      <c r="H101" s="215"/>
      <c r="I101" s="216"/>
    </row>
    <row r="102" spans="2:9" hidden="1">
      <c r="B102" s="233"/>
      <c r="C102" s="234"/>
      <c r="D102" s="226"/>
      <c r="E102" s="647"/>
      <c r="F102" s="663"/>
      <c r="G102" s="649"/>
      <c r="H102" s="236"/>
      <c r="I102" s="226"/>
    </row>
    <row r="103" spans="2:9" hidden="1">
      <c r="B103" s="235"/>
      <c r="F103" s="644"/>
      <c r="G103" s="644"/>
    </row>
    <row r="104" spans="2:9" hidden="1">
      <c r="B104" s="1604" t="s">
        <v>335</v>
      </c>
      <c r="C104" s="1604"/>
      <c r="D104" s="1604"/>
      <c r="E104" s="1604"/>
      <c r="F104" s="1604"/>
      <c r="G104" s="1604"/>
      <c r="H104" s="1604"/>
      <c r="I104" s="1604"/>
    </row>
    <row r="105" spans="2:9" hidden="1">
      <c r="B105" s="1604" t="s">
        <v>336</v>
      </c>
      <c r="C105" s="1604"/>
      <c r="D105" s="1604"/>
      <c r="E105" s="1604"/>
      <c r="F105" s="1604"/>
      <c r="G105" s="1604"/>
      <c r="H105" s="1604"/>
      <c r="I105" s="1604"/>
    </row>
    <row r="106" spans="2:9" hidden="1"/>
    <row r="107" spans="2:9" ht="12.75" hidden="1" customHeight="1">
      <c r="B107" s="1631" t="s">
        <v>742</v>
      </c>
      <c r="C107" s="1632"/>
      <c r="D107" s="1632"/>
      <c r="E107" s="1632"/>
      <c r="F107" s="1632"/>
      <c r="G107" s="1632"/>
      <c r="H107" s="1632"/>
      <c r="I107" s="1633"/>
    </row>
    <row r="108" spans="2:9" ht="12.75" hidden="1" customHeight="1">
      <c r="B108" s="1606" t="str">
        <f>B4</f>
        <v>( 2 ) EJERCICICIO FINANCIERO FISCAL : 2017</v>
      </c>
      <c r="C108" s="1607"/>
      <c r="D108" s="1607"/>
      <c r="E108" s="1607"/>
      <c r="F108" s="1607"/>
      <c r="G108" s="1607"/>
      <c r="H108" s="1607"/>
      <c r="I108" s="1608"/>
    </row>
    <row r="109" spans="2:9" hidden="1">
      <c r="B109" s="203" t="s">
        <v>337</v>
      </c>
      <c r="C109" s="204"/>
      <c r="D109" s="204"/>
      <c r="E109" s="633"/>
      <c r="F109" s="634"/>
      <c r="G109" s="635"/>
      <c r="H109" s="205"/>
      <c r="I109" s="206"/>
    </row>
    <row r="110" spans="2:9" ht="12.75" hidden="1" customHeight="1">
      <c r="B110" s="207" t="s">
        <v>338</v>
      </c>
      <c r="C110" s="206"/>
      <c r="D110" s="208"/>
      <c r="E110" s="1609" t="s">
        <v>362</v>
      </c>
      <c r="F110" s="1610"/>
      <c r="G110" s="1611"/>
      <c r="H110" s="209" t="s">
        <v>368</v>
      </c>
      <c r="I110" s="1627" t="s">
        <v>370</v>
      </c>
    </row>
    <row r="111" spans="2:9" ht="12.75" hidden="1" customHeight="1">
      <c r="B111" s="1634" t="s">
        <v>339</v>
      </c>
      <c r="C111" s="1643"/>
      <c r="D111" s="1638" t="s">
        <v>371</v>
      </c>
      <c r="E111" s="664" t="s">
        <v>372</v>
      </c>
      <c r="F111" s="651" t="s">
        <v>73</v>
      </c>
      <c r="G111" s="652"/>
      <c r="H111" s="210"/>
      <c r="I111" s="1628"/>
    </row>
    <row r="112" spans="2:9" ht="17.25" hidden="1" customHeight="1">
      <c r="B112" s="1636"/>
      <c r="C112" s="1644"/>
      <c r="D112" s="1638"/>
      <c r="E112" s="665">
        <f>E58</f>
        <v>0</v>
      </c>
      <c r="F112" s="651" t="s">
        <v>364</v>
      </c>
      <c r="G112" s="654" t="s">
        <v>366</v>
      </c>
      <c r="H112" s="210" t="s">
        <v>369</v>
      </c>
      <c r="I112" s="1628"/>
    </row>
    <row r="113" spans="1:9" ht="12.75" hidden="1" customHeight="1">
      <c r="B113" s="1640" t="s">
        <v>340</v>
      </c>
      <c r="C113" s="1642"/>
      <c r="D113" s="1639"/>
      <c r="E113" s="666" t="s">
        <v>363</v>
      </c>
      <c r="F113" s="656" t="s">
        <v>365</v>
      </c>
      <c r="G113" s="657" t="s">
        <v>367</v>
      </c>
      <c r="H113" s="211"/>
      <c r="I113" s="1629"/>
    </row>
    <row r="114" spans="1:9" ht="12.75" hidden="1" customHeight="1">
      <c r="B114" s="212"/>
      <c r="C114" s="208" t="s">
        <v>379</v>
      </c>
      <c r="D114" s="208"/>
      <c r="E114" s="636"/>
      <c r="F114" s="637"/>
      <c r="G114" s="638"/>
      <c r="H114" s="208"/>
      <c r="I114" s="214"/>
    </row>
    <row r="115" spans="1:9" hidden="1">
      <c r="B115" s="215"/>
      <c r="C115" s="216" t="s">
        <v>380</v>
      </c>
      <c r="D115" s="216"/>
      <c r="F115" s="640"/>
      <c r="H115" s="216"/>
      <c r="I115" s="218"/>
    </row>
    <row r="116" spans="1:9" s="632" customFormat="1" ht="13.5">
      <c r="A116" s="232"/>
      <c r="B116" s="231">
        <v>56</v>
      </c>
      <c r="C116" s="232" t="s">
        <v>307</v>
      </c>
      <c r="D116" s="220"/>
      <c r="E116" s="642">
        <f>E117</f>
        <v>13658.04</v>
      </c>
      <c r="F116" s="643">
        <f>F119+F117</f>
        <v>0</v>
      </c>
      <c r="G116" s="643"/>
      <c r="H116" s="630">
        <f t="shared" ref="H116:H139" si="2">SUM(E116:G116)</f>
        <v>13658.04</v>
      </c>
      <c r="I116" s="631"/>
    </row>
    <row r="117" spans="1:9" s="632" customFormat="1" ht="13.5">
      <c r="A117" s="232"/>
      <c r="B117" s="231">
        <v>562</v>
      </c>
      <c r="C117" s="232" t="s">
        <v>271</v>
      </c>
      <c r="D117" s="220"/>
      <c r="E117" s="642">
        <f>E118</f>
        <v>13658.04</v>
      </c>
      <c r="F117" s="643">
        <f>F118</f>
        <v>0</v>
      </c>
      <c r="G117" s="643"/>
      <c r="H117" s="630">
        <f t="shared" si="2"/>
        <v>13658.04</v>
      </c>
      <c r="I117" s="631"/>
    </row>
    <row r="118" spans="1:9">
      <c r="B118" s="228">
        <v>56201</v>
      </c>
      <c r="C118" s="202" t="s">
        <v>291</v>
      </c>
      <c r="D118" s="216"/>
      <c r="E118" s="639">
        <f>'desagregacion de ctas.'!E116</f>
        <v>13658.04</v>
      </c>
      <c r="F118" s="239"/>
      <c r="G118" s="644"/>
      <c r="H118" s="237">
        <f t="shared" si="2"/>
        <v>13658.04</v>
      </c>
      <c r="I118" s="218"/>
    </row>
    <row r="119" spans="1:9" ht="13.5" hidden="1">
      <c r="B119" s="229">
        <v>563</v>
      </c>
      <c r="C119" s="232" t="s">
        <v>272</v>
      </c>
      <c r="D119" s="216"/>
      <c r="F119" s="645">
        <f>F121+F122+F120</f>
        <v>0</v>
      </c>
      <c r="G119" s="659"/>
      <c r="H119" s="237">
        <f t="shared" si="2"/>
        <v>0</v>
      </c>
      <c r="I119" s="218"/>
    </row>
    <row r="120" spans="1:9" ht="13.5" hidden="1" customHeight="1">
      <c r="B120" s="228">
        <v>56303</v>
      </c>
      <c r="C120" s="193" t="s">
        <v>494</v>
      </c>
      <c r="D120" s="216"/>
      <c r="F120" s="640"/>
      <c r="G120" s="644"/>
      <c r="H120" s="237">
        <f t="shared" si="2"/>
        <v>0</v>
      </c>
      <c r="I120" s="218"/>
    </row>
    <row r="121" spans="1:9" ht="13.5" hidden="1" customHeight="1">
      <c r="B121" s="228">
        <v>56304</v>
      </c>
      <c r="C121" s="202" t="s">
        <v>212</v>
      </c>
      <c r="D121" s="216"/>
      <c r="F121" s="640"/>
      <c r="G121" s="644"/>
      <c r="H121" s="237">
        <f t="shared" si="2"/>
        <v>0</v>
      </c>
      <c r="I121" s="218"/>
    </row>
    <row r="122" spans="1:9" ht="0.6" hidden="1" customHeight="1">
      <c r="B122" s="228">
        <v>56305</v>
      </c>
      <c r="C122" s="202" t="s">
        <v>738</v>
      </c>
      <c r="D122" s="216"/>
      <c r="F122" s="640">
        <f>'desagregacion de ctas.'!D119</f>
        <v>0</v>
      </c>
      <c r="G122" s="644"/>
      <c r="H122" s="237">
        <f t="shared" si="2"/>
        <v>0</v>
      </c>
      <c r="I122" s="218"/>
    </row>
    <row r="123" spans="1:9" hidden="1">
      <c r="B123" s="228"/>
      <c r="D123" s="216"/>
      <c r="F123" s="640"/>
      <c r="G123" s="644"/>
      <c r="H123" s="237">
        <f t="shared" si="2"/>
        <v>0</v>
      </c>
      <c r="I123" s="218"/>
    </row>
    <row r="124" spans="1:9" ht="13.5" hidden="1">
      <c r="B124" s="231">
        <v>61</v>
      </c>
      <c r="C124" s="232" t="s">
        <v>361</v>
      </c>
      <c r="D124" s="216"/>
      <c r="F124" s="645">
        <f>F125+F130+F128</f>
        <v>0</v>
      </c>
      <c r="G124" s="644"/>
      <c r="H124" s="237">
        <f t="shared" si="2"/>
        <v>0</v>
      </c>
      <c r="I124" s="218"/>
    </row>
    <row r="125" spans="1:9" ht="13.5" hidden="1">
      <c r="B125" s="229">
        <v>611</v>
      </c>
      <c r="C125" s="232" t="s">
        <v>206</v>
      </c>
      <c r="D125" s="216"/>
      <c r="F125" s="645">
        <f>SUM(F126:F127)</f>
        <v>0</v>
      </c>
      <c r="G125" s="644"/>
      <c r="H125" s="237">
        <f t="shared" si="2"/>
        <v>0</v>
      </c>
      <c r="I125" s="218"/>
    </row>
    <row r="126" spans="1:9" hidden="1">
      <c r="B126" s="228">
        <v>61104</v>
      </c>
      <c r="C126" s="202" t="s">
        <v>213</v>
      </c>
      <c r="D126" s="216"/>
      <c r="F126" s="640">
        <f>'desagregacion de ctas.'!D123</f>
        <v>0</v>
      </c>
      <c r="G126" s="644"/>
      <c r="H126" s="237">
        <f t="shared" si="2"/>
        <v>0</v>
      </c>
      <c r="I126" s="218"/>
    </row>
    <row r="127" spans="1:9" hidden="1">
      <c r="B127" s="228">
        <v>61199</v>
      </c>
      <c r="C127" s="202" t="s">
        <v>259</v>
      </c>
      <c r="D127" s="216"/>
      <c r="F127" s="640"/>
      <c r="G127" s="644"/>
      <c r="H127" s="237">
        <f t="shared" si="2"/>
        <v>0</v>
      </c>
      <c r="I127" s="218"/>
    </row>
    <row r="128" spans="1:9" s="297" customFormat="1" hidden="1">
      <c r="A128" s="230"/>
      <c r="B128" s="229">
        <v>611</v>
      </c>
      <c r="C128" s="230"/>
      <c r="D128" s="223"/>
      <c r="E128" s="378"/>
      <c r="F128" s="645">
        <f>F129</f>
        <v>0</v>
      </c>
      <c r="G128" s="644"/>
      <c r="H128" s="237">
        <f t="shared" si="2"/>
        <v>0</v>
      </c>
      <c r="I128" s="296"/>
    </row>
    <row r="129" spans="1:9" hidden="1">
      <c r="B129" s="228">
        <v>61201</v>
      </c>
      <c r="C129" s="202" t="s">
        <v>72</v>
      </c>
      <c r="D129" s="216"/>
      <c r="F129" s="640">
        <f>'desagregacion de ctas.'!D129</f>
        <v>0</v>
      </c>
      <c r="G129" s="644"/>
      <c r="H129" s="237">
        <f t="shared" si="2"/>
        <v>0</v>
      </c>
      <c r="I129" s="218"/>
    </row>
    <row r="130" spans="1:9" ht="13.5" hidden="1">
      <c r="B130" s="229">
        <v>616</v>
      </c>
      <c r="C130" s="232" t="s">
        <v>270</v>
      </c>
      <c r="D130" s="216"/>
      <c r="F130" s="640">
        <f>F131+F132</f>
        <v>0</v>
      </c>
      <c r="G130" s="644"/>
      <c r="H130" s="237">
        <f t="shared" si="2"/>
        <v>0</v>
      </c>
      <c r="I130" s="218"/>
    </row>
    <row r="131" spans="1:9" hidden="1">
      <c r="B131" s="228">
        <v>61601</v>
      </c>
      <c r="C131" s="202" t="s">
        <v>207</v>
      </c>
      <c r="D131" s="216"/>
      <c r="F131" s="640">
        <f>F132</f>
        <v>0</v>
      </c>
      <c r="G131" s="644"/>
      <c r="H131" s="237">
        <f t="shared" si="2"/>
        <v>0</v>
      </c>
      <c r="I131" s="218"/>
    </row>
    <row r="132" spans="1:9" hidden="1">
      <c r="B132" s="228">
        <v>61699</v>
      </c>
      <c r="C132" s="202" t="s">
        <v>208</v>
      </c>
      <c r="D132" s="216"/>
      <c r="F132" s="640"/>
      <c r="G132" s="644"/>
      <c r="H132" s="237">
        <f t="shared" si="2"/>
        <v>0</v>
      </c>
      <c r="I132" s="218"/>
    </row>
    <row r="133" spans="1:9" s="632" customFormat="1" ht="13.5" hidden="1">
      <c r="A133" s="232"/>
      <c r="B133" s="219">
        <v>72</v>
      </c>
      <c r="C133" s="220" t="s">
        <v>529</v>
      </c>
      <c r="D133" s="220"/>
      <c r="E133" s="642">
        <f>E134</f>
        <v>0</v>
      </c>
      <c r="F133" s="643">
        <f>F134</f>
        <v>0</v>
      </c>
      <c r="G133" s="667"/>
      <c r="H133" s="630">
        <f t="shared" si="2"/>
        <v>0</v>
      </c>
      <c r="I133" s="631"/>
    </row>
    <row r="134" spans="1:9" s="632" customFormat="1" ht="13.5" hidden="1">
      <c r="A134" s="232"/>
      <c r="B134" s="219">
        <v>721</v>
      </c>
      <c r="C134" s="220" t="s">
        <v>530</v>
      </c>
      <c r="D134" s="220"/>
      <c r="E134" s="642">
        <f>E135</f>
        <v>0</v>
      </c>
      <c r="F134" s="643">
        <f>F135</f>
        <v>0</v>
      </c>
      <c r="G134" s="667"/>
      <c r="H134" s="630">
        <f t="shared" si="2"/>
        <v>0</v>
      </c>
      <c r="I134" s="631"/>
    </row>
    <row r="135" spans="1:9" hidden="1">
      <c r="B135" s="222">
        <v>72101</v>
      </c>
      <c r="C135" s="216" t="s">
        <v>530</v>
      </c>
      <c r="D135" s="216"/>
      <c r="E135" s="640">
        <f>'desagregacion de ctas.'!E140</f>
        <v>0</v>
      </c>
      <c r="F135" s="640">
        <f>'desagregacion de ctas.'!D140</f>
        <v>0</v>
      </c>
      <c r="G135" s="644"/>
      <c r="H135" s="237">
        <f t="shared" si="2"/>
        <v>0</v>
      </c>
      <c r="I135" s="218"/>
    </row>
    <row r="136" spans="1:9" hidden="1">
      <c r="B136" s="228"/>
      <c r="D136" s="216"/>
      <c r="F136" s="640"/>
      <c r="H136" s="237">
        <f t="shared" si="2"/>
        <v>0</v>
      </c>
      <c r="I136" s="218"/>
    </row>
    <row r="137" spans="1:9" s="297" customFormat="1" ht="13.5">
      <c r="A137" s="230"/>
      <c r="B137" s="229" t="s">
        <v>373</v>
      </c>
      <c r="C137" s="230" t="s">
        <v>374</v>
      </c>
      <c r="D137" s="223"/>
      <c r="E137" s="388">
        <f>E12+E35+E95+E116+E133</f>
        <v>151998.16400000002</v>
      </c>
      <c r="F137" s="668">
        <f>F35+F12</f>
        <v>166692.92909999998</v>
      </c>
      <c r="G137" s="668">
        <f>G35+G12</f>
        <v>207501.70800000004</v>
      </c>
      <c r="H137" s="238">
        <f t="shared" si="2"/>
        <v>526192.80110000004</v>
      </c>
      <c r="I137" s="296"/>
    </row>
    <row r="138" spans="1:9" s="297" customFormat="1">
      <c r="A138" s="230"/>
      <c r="B138" s="229" t="s">
        <v>373</v>
      </c>
      <c r="C138" s="230" t="s">
        <v>376</v>
      </c>
      <c r="D138" s="223"/>
      <c r="E138" s="378">
        <f>E13+E24+E26+E32+E36+E66+E71+E85+E96+E99+E117+E119+E134+E130</f>
        <v>151998.16400000002</v>
      </c>
      <c r="F138" s="645">
        <f>F65+F26+F24+F13</f>
        <v>166692.92909999998</v>
      </c>
      <c r="G138" s="645">
        <f>G65+G36+G26+G24+G13+G71</f>
        <v>207501.70800000004</v>
      </c>
      <c r="H138" s="238">
        <f t="shared" si="2"/>
        <v>526192.80110000004</v>
      </c>
      <c r="I138" s="296"/>
    </row>
    <row r="139" spans="1:9" s="297" customFormat="1">
      <c r="A139" s="230"/>
      <c r="B139" s="229" t="s">
        <v>373</v>
      </c>
      <c r="C139" s="230" t="s">
        <v>377</v>
      </c>
      <c r="D139" s="223"/>
      <c r="E139" s="378">
        <f>E133+E127+E126+E122+E121+E98+E84+E88+E86+E82+E81+E80+E78+E76+E68+E66+E62+E39+E37+E33+E27+E25+E17+E16+E14+E118+E23+E31</f>
        <v>151998.16400000002</v>
      </c>
      <c r="F139" s="673">
        <f>F66+F27+F25+F16+F14</f>
        <v>166692.92910000001</v>
      </c>
      <c r="G139" s="673">
        <f>G70+G66+G63+G27+G25+G16+G14+G84</f>
        <v>207501.70800000001</v>
      </c>
      <c r="H139" s="238">
        <f t="shared" si="2"/>
        <v>526192.80110000004</v>
      </c>
      <c r="I139" s="296"/>
    </row>
    <row r="140" spans="1:9">
      <c r="B140" s="228"/>
      <c r="D140" s="216"/>
      <c r="F140" s="239"/>
      <c r="H140" s="216"/>
      <c r="I140" s="218"/>
    </row>
    <row r="141" spans="1:9">
      <c r="B141" s="233"/>
      <c r="C141" s="234"/>
      <c r="D141" s="226"/>
      <c r="E141" s="647"/>
      <c r="F141" s="669"/>
      <c r="G141" s="670"/>
      <c r="H141" s="226"/>
      <c r="I141" s="227"/>
    </row>
    <row r="142" spans="1:9">
      <c r="B142" s="235"/>
    </row>
    <row r="143" spans="1:9">
      <c r="B143" s="235"/>
    </row>
    <row r="144" spans="1:9">
      <c r="B144" s="235"/>
    </row>
    <row r="145" spans="2:2">
      <c r="B145" s="235"/>
    </row>
    <row r="146" spans="2:2">
      <c r="B146" s="235"/>
    </row>
    <row r="147" spans="2:2">
      <c r="B147" s="235"/>
    </row>
    <row r="148" spans="2:2">
      <c r="B148" s="235"/>
    </row>
    <row r="149" spans="2:2">
      <c r="B149" s="235"/>
    </row>
    <row r="150" spans="2:2">
      <c r="B150" s="235"/>
    </row>
    <row r="151" spans="2:2">
      <c r="B151" s="235"/>
    </row>
    <row r="152" spans="2:2">
      <c r="B152" s="235"/>
    </row>
    <row r="153" spans="2:2">
      <c r="B153" s="235"/>
    </row>
    <row r="154" spans="2:2">
      <c r="B154" s="235"/>
    </row>
    <row r="155" spans="2:2">
      <c r="B155" s="235"/>
    </row>
    <row r="156" spans="2:2">
      <c r="B156" s="235"/>
    </row>
    <row r="157" spans="2:2">
      <c r="B157" s="235"/>
    </row>
    <row r="158" spans="2:2">
      <c r="B158" s="235"/>
    </row>
    <row r="159" spans="2:2">
      <c r="B159" s="235"/>
    </row>
    <row r="160" spans="2:2">
      <c r="B160" s="235"/>
    </row>
    <row r="161" spans="2:9">
      <c r="B161" s="235"/>
    </row>
    <row r="162" spans="2:9" hidden="1">
      <c r="B162" s="235"/>
    </row>
    <row r="163" spans="2:9" hidden="1">
      <c r="B163" s="235"/>
    </row>
    <row r="164" spans="2:9" hidden="1">
      <c r="B164" s="235"/>
    </row>
    <row r="165" spans="2:9" hidden="1">
      <c r="B165" s="235"/>
    </row>
    <row r="166" spans="2:9" hidden="1">
      <c r="B166" s="235"/>
    </row>
    <row r="167" spans="2:9" hidden="1">
      <c r="B167" s="235"/>
    </row>
    <row r="168" spans="2:9" hidden="1">
      <c r="B168" s="235"/>
    </row>
    <row r="169" spans="2:9" hidden="1">
      <c r="B169" s="235"/>
    </row>
    <row r="170" spans="2:9" hidden="1">
      <c r="B170" s="235"/>
    </row>
    <row r="171" spans="2:9" hidden="1">
      <c r="B171" s="235"/>
    </row>
    <row r="172" spans="2:9">
      <c r="B172" s="235"/>
    </row>
    <row r="173" spans="2:9" hidden="1">
      <c r="B173" s="235"/>
    </row>
    <row r="174" spans="2:9" hidden="1">
      <c r="B174" s="235"/>
    </row>
    <row r="175" spans="2:9">
      <c r="B175" s="1604" t="s">
        <v>950</v>
      </c>
      <c r="C175" s="1604"/>
      <c r="D175" s="1604"/>
      <c r="E175" s="1604"/>
      <c r="F175" s="1604"/>
      <c r="G175" s="1604"/>
      <c r="H175" s="1604"/>
      <c r="I175" s="1604"/>
    </row>
    <row r="176" spans="2:9">
      <c r="B176" s="1604" t="s">
        <v>336</v>
      </c>
      <c r="C176" s="1604"/>
      <c r="D176" s="1604"/>
      <c r="E176" s="1604"/>
      <c r="F176" s="1604"/>
      <c r="G176" s="1604"/>
      <c r="H176" s="1604"/>
      <c r="I176" s="1604"/>
    </row>
    <row r="177" spans="1:9">
      <c r="B177" s="1605" t="s">
        <v>742</v>
      </c>
      <c r="C177" s="1605"/>
      <c r="D177" s="1605"/>
      <c r="E177" s="1605"/>
      <c r="F177" s="1605"/>
      <c r="G177" s="1605"/>
      <c r="H177" s="1605"/>
      <c r="I177" s="1605"/>
    </row>
    <row r="178" spans="1:9">
      <c r="B178" s="1606" t="s">
        <v>1393</v>
      </c>
      <c r="C178" s="1607"/>
      <c r="D178" s="1607"/>
      <c r="E178" s="1607"/>
      <c r="F178" s="1607"/>
      <c r="G178" s="1607"/>
      <c r="H178" s="1607"/>
      <c r="I178" s="1608"/>
    </row>
    <row r="179" spans="1:9">
      <c r="B179" s="616" t="s">
        <v>337</v>
      </c>
      <c r="C179" s="617"/>
      <c r="D179" s="617"/>
      <c r="E179" s="633"/>
      <c r="F179" s="634"/>
      <c r="G179" s="635"/>
      <c r="H179" s="205"/>
      <c r="I179" s="206"/>
    </row>
    <row r="180" spans="1:9" ht="12.75" customHeight="1">
      <c r="B180" s="207" t="s">
        <v>338</v>
      </c>
      <c r="C180" s="206"/>
      <c r="D180" s="208"/>
      <c r="E180" s="1609" t="s">
        <v>362</v>
      </c>
      <c r="F180" s="1610"/>
      <c r="G180" s="1610"/>
      <c r="H180" s="1611"/>
      <c r="I180" s="1612" t="s">
        <v>803</v>
      </c>
    </row>
    <row r="181" spans="1:9" ht="12.75" customHeight="1">
      <c r="B181" s="1615" t="s">
        <v>947</v>
      </c>
      <c r="C181" s="1616"/>
      <c r="D181" s="1613" t="s">
        <v>371</v>
      </c>
      <c r="E181" s="1621" t="s">
        <v>952</v>
      </c>
      <c r="F181" s="1621" t="s">
        <v>953</v>
      </c>
      <c r="G181" s="1621" t="s">
        <v>954</v>
      </c>
      <c r="H181" s="1621" t="s">
        <v>959</v>
      </c>
      <c r="I181" s="1613"/>
    </row>
    <row r="182" spans="1:9" ht="12.75" customHeight="1">
      <c r="B182" s="1617"/>
      <c r="C182" s="1618"/>
      <c r="D182" s="1613"/>
      <c r="E182" s="1630"/>
      <c r="F182" s="1622"/>
      <c r="G182" s="1622"/>
      <c r="H182" s="1622"/>
      <c r="I182" s="1613"/>
    </row>
    <row r="183" spans="1:9" ht="12.75" customHeight="1">
      <c r="B183" s="1625" t="s">
        <v>340</v>
      </c>
      <c r="C183" s="1626"/>
      <c r="D183" s="1614"/>
      <c r="E183" s="683" t="s">
        <v>836</v>
      </c>
      <c r="F183" s="683" t="s">
        <v>841</v>
      </c>
      <c r="G183" s="683" t="s">
        <v>844</v>
      </c>
      <c r="H183" s="683" t="s">
        <v>855</v>
      </c>
      <c r="I183" s="1614"/>
    </row>
    <row r="184" spans="1:9" hidden="1">
      <c r="B184" s="212"/>
      <c r="C184" s="212"/>
      <c r="D184" s="208"/>
      <c r="E184" s="636"/>
      <c r="F184" s="637"/>
      <c r="G184" s="638"/>
      <c r="H184" s="208"/>
      <c r="I184" s="214"/>
    </row>
    <row r="185" spans="1:9" hidden="1">
      <c r="B185" s="215"/>
      <c r="C185" s="215"/>
      <c r="D185" s="216"/>
      <c r="F185" s="640"/>
      <c r="H185" s="216"/>
      <c r="I185" s="218"/>
    </row>
    <row r="186" spans="1:9" s="628" customFormat="1">
      <c r="A186" s="285"/>
      <c r="B186" s="1111">
        <v>51</v>
      </c>
      <c r="C186" s="1108" t="s">
        <v>341</v>
      </c>
      <c r="D186" s="626"/>
      <c r="E186" s="388">
        <f>E187+E194+E196+E198+E200+E202</f>
        <v>57868</v>
      </c>
      <c r="F186" s="668">
        <f>F187+F196+F198+F192+F194</f>
        <v>0</v>
      </c>
      <c r="G186" s="388">
        <f>G187+G192+G196+G198</f>
        <v>290657.4314</v>
      </c>
      <c r="H186" s="684">
        <f>H187+H192+H196+H198</f>
        <v>0</v>
      </c>
      <c r="I186" s="627">
        <f>SUM(E186:H186)</f>
        <v>348525.4314</v>
      </c>
    </row>
    <row r="187" spans="1:9" s="628" customFormat="1">
      <c r="A187" s="285"/>
      <c r="B187" s="1111">
        <v>511</v>
      </c>
      <c r="C187" s="1108" t="s">
        <v>342</v>
      </c>
      <c r="D187" s="626"/>
      <c r="E187" s="388">
        <f>SUM(E188:E191)</f>
        <v>0</v>
      </c>
      <c r="F187" s="668">
        <f>SUM(F188:F190)</f>
        <v>0</v>
      </c>
      <c r="G187" s="388">
        <f>SUM(G188:G191)</f>
        <v>234820.492</v>
      </c>
      <c r="H187" s="626"/>
      <c r="I187" s="678">
        <f t="shared" ref="I187:I230" si="3">SUM(E187:H187)</f>
        <v>234820.492</v>
      </c>
    </row>
    <row r="188" spans="1:9">
      <c r="B188" s="1095">
        <v>51101</v>
      </c>
      <c r="C188" s="215" t="s">
        <v>14</v>
      </c>
      <c r="D188" s="216"/>
      <c r="E188" s="639">
        <f>'desagregacion de ctas.'!D6</f>
        <v>0</v>
      </c>
      <c r="F188" s="640">
        <f>'desagregacion de ctas.'!F6</f>
        <v>0</v>
      </c>
      <c r="G188" s="639">
        <f>'desagregacion de ctas.'!H6</f>
        <v>218017.68</v>
      </c>
      <c r="H188" s="216"/>
      <c r="I188" s="676">
        <f t="shared" si="3"/>
        <v>218017.68</v>
      </c>
    </row>
    <row r="189" spans="1:9">
      <c r="B189" s="1095">
        <v>51103</v>
      </c>
      <c r="C189" s="215" t="s">
        <v>15</v>
      </c>
      <c r="D189" s="216"/>
      <c r="F189" s="640">
        <f>'desagregacion de ctas.'!F8</f>
        <v>0</v>
      </c>
      <c r="G189" s="640">
        <f>'desagregacion de ctas.'!H8</f>
        <v>16802.811999999998</v>
      </c>
      <c r="H189" s="216"/>
      <c r="I189" s="676">
        <f t="shared" si="3"/>
        <v>16802.811999999998</v>
      </c>
    </row>
    <row r="190" spans="1:9" hidden="1">
      <c r="B190" s="1095">
        <v>51103</v>
      </c>
      <c r="C190" s="215" t="s">
        <v>15</v>
      </c>
      <c r="D190" s="216"/>
      <c r="F190" s="640"/>
      <c r="G190" s="644">
        <f>E190+F190</f>
        <v>0</v>
      </c>
      <c r="H190" s="216"/>
      <c r="I190" s="676">
        <f t="shared" si="3"/>
        <v>0</v>
      </c>
    </row>
    <row r="191" spans="1:9">
      <c r="B191" s="1095">
        <v>51105</v>
      </c>
      <c r="C191" s="215" t="s">
        <v>11</v>
      </c>
      <c r="D191" s="216"/>
      <c r="E191" s="639">
        <f>'desagregacion de ctas.'!D10</f>
        <v>0</v>
      </c>
      <c r="F191" s="640"/>
      <c r="G191" s="644"/>
      <c r="H191" s="216"/>
      <c r="I191" s="676">
        <f t="shared" si="3"/>
        <v>0</v>
      </c>
    </row>
    <row r="192" spans="1:9" s="297" customFormat="1">
      <c r="A192" s="230"/>
      <c r="B192" s="221">
        <v>512</v>
      </c>
      <c r="C192" s="1109" t="s">
        <v>345</v>
      </c>
      <c r="D192" s="223"/>
      <c r="E192" s="378"/>
      <c r="F192" s="645">
        <f>F193</f>
        <v>0</v>
      </c>
      <c r="G192" s="659">
        <f>G193</f>
        <v>25000</v>
      </c>
      <c r="H192" s="223"/>
      <c r="I192" s="677">
        <f t="shared" si="3"/>
        <v>25000</v>
      </c>
    </row>
    <row r="193" spans="1:9">
      <c r="B193" s="1095">
        <v>51202</v>
      </c>
      <c r="C193" s="215" t="s">
        <v>26</v>
      </c>
      <c r="D193" s="216"/>
      <c r="F193" s="640">
        <f>'desagregacion de ctas.'!F13</f>
        <v>0</v>
      </c>
      <c r="G193" s="644">
        <f>'desagregacion de ctas.'!H13</f>
        <v>25000</v>
      </c>
      <c r="H193" s="216"/>
      <c r="I193" s="676">
        <f t="shared" si="3"/>
        <v>25000</v>
      </c>
    </row>
    <row r="194" spans="1:9" hidden="1">
      <c r="B194" s="221">
        <v>513</v>
      </c>
      <c r="C194" s="1109" t="s">
        <v>273</v>
      </c>
      <c r="D194" s="216"/>
      <c r="E194" s="378">
        <f>E195</f>
        <v>0</v>
      </c>
      <c r="F194" s="645">
        <f>F195</f>
        <v>0</v>
      </c>
      <c r="G194" s="644">
        <f>E194+F194</f>
        <v>0</v>
      </c>
      <c r="H194" s="216"/>
      <c r="I194" s="676">
        <f t="shared" si="3"/>
        <v>0</v>
      </c>
    </row>
    <row r="195" spans="1:9" ht="15.75" hidden="1">
      <c r="B195" s="1095">
        <v>51301</v>
      </c>
      <c r="C195" s="215" t="s">
        <v>70</v>
      </c>
      <c r="D195" s="216"/>
      <c r="E195" s="639">
        <f>'desagregacion de ctas.'!G15</f>
        <v>0</v>
      </c>
      <c r="F195" s="660">
        <f>'desagregacion de ctas.'!F15</f>
        <v>0</v>
      </c>
      <c r="G195" s="671">
        <f>E195+F195</f>
        <v>0</v>
      </c>
      <c r="H195" s="216"/>
      <c r="I195" s="676">
        <f t="shared" si="3"/>
        <v>0</v>
      </c>
    </row>
    <row r="196" spans="1:9" s="297" customFormat="1">
      <c r="A196" s="230"/>
      <c r="B196" s="221">
        <v>514</v>
      </c>
      <c r="C196" s="1109" t="s">
        <v>343</v>
      </c>
      <c r="D196" s="223"/>
      <c r="E196" s="645">
        <f>E197</f>
        <v>9720</v>
      </c>
      <c r="F196" s="645">
        <f>F197</f>
        <v>0</v>
      </c>
      <c r="G196" s="645">
        <f>G197</f>
        <v>16656.966</v>
      </c>
      <c r="H196" s="223"/>
      <c r="I196" s="677">
        <f t="shared" si="3"/>
        <v>26376.966</v>
      </c>
    </row>
    <row r="197" spans="1:9">
      <c r="B197" s="1095">
        <v>51401</v>
      </c>
      <c r="C197" s="215" t="s">
        <v>344</v>
      </c>
      <c r="D197" s="216"/>
      <c r="E197" s="639">
        <f>'desagregacion de ctas.'!D16</f>
        <v>9720</v>
      </c>
      <c r="F197" s="640">
        <f>'desagregacion de ctas.'!F16</f>
        <v>0</v>
      </c>
      <c r="G197" s="644">
        <f>'desagregacion de ctas.'!H16</f>
        <v>16656.966</v>
      </c>
      <c r="H197" s="216"/>
      <c r="I197" s="676">
        <f t="shared" si="3"/>
        <v>26376.966</v>
      </c>
    </row>
    <row r="198" spans="1:9" s="297" customFormat="1">
      <c r="A198" s="230"/>
      <c r="B198" s="221">
        <v>515</v>
      </c>
      <c r="C198" s="1109" t="s">
        <v>346</v>
      </c>
      <c r="D198" s="223"/>
      <c r="E198" s="645">
        <f>E199</f>
        <v>8748</v>
      </c>
      <c r="F198" s="645">
        <f>F199</f>
        <v>0</v>
      </c>
      <c r="G198" s="645">
        <f>G199</f>
        <v>14179.973399999999</v>
      </c>
      <c r="H198" s="223"/>
      <c r="I198" s="677">
        <f t="shared" si="3"/>
        <v>22927.973399999999</v>
      </c>
    </row>
    <row r="199" spans="1:9">
      <c r="B199" s="1095">
        <v>51501</v>
      </c>
      <c r="C199" s="215" t="s">
        <v>344</v>
      </c>
      <c r="D199" s="216"/>
      <c r="E199" s="639">
        <f>'desagregacion de ctas.'!D17</f>
        <v>8748</v>
      </c>
      <c r="F199" s="640">
        <f>'desagregacion de ctas.'!F17</f>
        <v>0</v>
      </c>
      <c r="G199" s="644">
        <f>'desagregacion de ctas.'!H17</f>
        <v>14179.973399999999</v>
      </c>
      <c r="H199" s="216"/>
      <c r="I199" s="676">
        <f t="shared" si="3"/>
        <v>22927.973399999999</v>
      </c>
    </row>
    <row r="200" spans="1:9" s="297" customFormat="1">
      <c r="A200" s="230"/>
      <c r="B200" s="221">
        <v>516</v>
      </c>
      <c r="C200" s="1109" t="s">
        <v>1136</v>
      </c>
      <c r="D200" s="223"/>
      <c r="E200" s="378">
        <f>E201</f>
        <v>12000</v>
      </c>
      <c r="F200" s="645"/>
      <c r="G200" s="659"/>
      <c r="H200" s="223"/>
      <c r="I200" s="676">
        <f t="shared" si="3"/>
        <v>12000</v>
      </c>
    </row>
    <row r="201" spans="1:9">
      <c r="B201" s="1095">
        <v>51601</v>
      </c>
      <c r="C201" s="215" t="s">
        <v>1137</v>
      </c>
      <c r="D201" s="216"/>
      <c r="E201" s="639">
        <f>'desagregacion de ctas.'!D18</f>
        <v>12000</v>
      </c>
      <c r="F201" s="640"/>
      <c r="G201" s="644"/>
      <c r="H201" s="216"/>
      <c r="I201" s="676">
        <f t="shared" si="3"/>
        <v>12000</v>
      </c>
    </row>
    <row r="202" spans="1:9" s="297" customFormat="1">
      <c r="A202" s="230"/>
      <c r="B202" s="221">
        <v>517</v>
      </c>
      <c r="C202" s="1109" t="s">
        <v>1268</v>
      </c>
      <c r="D202" s="223"/>
      <c r="E202" s="378">
        <f>E203</f>
        <v>27400</v>
      </c>
      <c r="F202" s="645"/>
      <c r="G202" s="659"/>
      <c r="H202" s="223"/>
      <c r="I202" s="677">
        <f t="shared" si="3"/>
        <v>27400</v>
      </c>
    </row>
    <row r="203" spans="1:9">
      <c r="B203" s="1095">
        <v>51701</v>
      </c>
      <c r="C203" s="215" t="s">
        <v>1269</v>
      </c>
      <c r="D203" s="216"/>
      <c r="E203" s="639">
        <f>'desagregacion de ctas.'!D20</f>
        <v>27400</v>
      </c>
      <c r="F203" s="640"/>
      <c r="G203" s="644"/>
      <c r="H203" s="216"/>
      <c r="I203" s="676">
        <f t="shared" si="3"/>
        <v>27400</v>
      </c>
    </row>
    <row r="204" spans="1:9" s="297" customFormat="1" hidden="1">
      <c r="A204" s="230"/>
      <c r="B204" s="221">
        <v>519</v>
      </c>
      <c r="C204" s="1109" t="s">
        <v>347</v>
      </c>
      <c r="D204" s="223"/>
      <c r="E204" s="378"/>
      <c r="F204" s="645"/>
      <c r="G204" s="659">
        <f>E204+F204</f>
        <v>0</v>
      </c>
      <c r="H204" s="223"/>
      <c r="I204" s="676">
        <f t="shared" si="3"/>
        <v>0</v>
      </c>
    </row>
    <row r="205" spans="1:9" hidden="1">
      <c r="B205" s="1095">
        <v>51901</v>
      </c>
      <c r="C205" s="215" t="s">
        <v>12</v>
      </c>
      <c r="D205" s="216"/>
      <c r="F205" s="640"/>
      <c r="G205" s="644">
        <f>E205+F205</f>
        <v>0</v>
      </c>
      <c r="H205" s="216"/>
      <c r="I205" s="676">
        <f t="shared" si="3"/>
        <v>0</v>
      </c>
    </row>
    <row r="206" spans="1:9">
      <c r="B206" s="1095"/>
      <c r="C206" s="215"/>
      <c r="D206" s="216"/>
      <c r="F206" s="640"/>
      <c r="G206" s="644"/>
      <c r="H206" s="216"/>
      <c r="I206" s="676">
        <f t="shared" si="3"/>
        <v>0</v>
      </c>
    </row>
    <row r="207" spans="1:9" s="297" customFormat="1" ht="15.75">
      <c r="A207" s="230"/>
      <c r="B207" s="219">
        <v>54</v>
      </c>
      <c r="C207" s="1110" t="s">
        <v>348</v>
      </c>
      <c r="D207" s="223"/>
      <c r="E207" s="671">
        <f>E208+E227+E269+E258+E274</f>
        <v>38400</v>
      </c>
      <c r="F207" s="671">
        <f>F208+F227+F269+F258+F274</f>
        <v>15750</v>
      </c>
      <c r="G207" s="671">
        <f>G208+G227+G269+G258+G274</f>
        <v>221300</v>
      </c>
      <c r="H207" s="223"/>
      <c r="I207" s="677">
        <f t="shared" si="3"/>
        <v>275450</v>
      </c>
    </row>
    <row r="208" spans="1:9" s="297" customFormat="1" ht="13.5" customHeight="1">
      <c r="A208" s="230"/>
      <c r="B208" s="221">
        <v>541</v>
      </c>
      <c r="C208" s="1109" t="s">
        <v>349</v>
      </c>
      <c r="D208" s="223"/>
      <c r="E208" s="645">
        <f>SUM(E209:E226)</f>
        <v>9300</v>
      </c>
      <c r="F208" s="645">
        <f>SUM(F209:F226)</f>
        <v>15750</v>
      </c>
      <c r="G208" s="645">
        <f>SUM(G209:G226)</f>
        <v>121100</v>
      </c>
      <c r="H208" s="223"/>
      <c r="I208" s="677">
        <f t="shared" si="3"/>
        <v>146150</v>
      </c>
    </row>
    <row r="209" spans="2:9" ht="13.5" customHeight="1">
      <c r="B209" s="615">
        <v>54101</v>
      </c>
      <c r="C209" s="122" t="s">
        <v>121</v>
      </c>
      <c r="D209" s="216"/>
      <c r="E209" s="639">
        <f>'desagregacion de ctas.'!D25</f>
        <v>7000</v>
      </c>
      <c r="F209" s="640"/>
      <c r="G209" s="644"/>
      <c r="H209" s="215"/>
      <c r="I209" s="237">
        <f t="shared" si="3"/>
        <v>7000</v>
      </c>
    </row>
    <row r="210" spans="2:9" ht="13.5" customHeight="1">
      <c r="B210" s="1095">
        <v>54103</v>
      </c>
      <c r="C210" s="122" t="s">
        <v>283</v>
      </c>
      <c r="D210" s="216"/>
      <c r="F210" s="640"/>
      <c r="G210" s="644">
        <f>'desagregacion de ctas.'!H26</f>
        <v>2000</v>
      </c>
      <c r="H210" s="216"/>
      <c r="I210" s="676">
        <f t="shared" si="3"/>
        <v>2000</v>
      </c>
    </row>
    <row r="211" spans="2:9">
      <c r="B211" s="1095">
        <v>54104</v>
      </c>
      <c r="C211" s="215" t="s">
        <v>350</v>
      </c>
      <c r="D211" s="216"/>
      <c r="E211" s="639">
        <f>'desagregacion de ctas.'!D27</f>
        <v>200</v>
      </c>
      <c r="F211" s="640">
        <f>'desagregacion de ctas.'!F27</f>
        <v>3750</v>
      </c>
      <c r="G211" s="644">
        <f>'desagregacion de ctas.'!H27</f>
        <v>7000</v>
      </c>
      <c r="H211" s="216"/>
      <c r="I211" s="676">
        <f t="shared" si="3"/>
        <v>10950</v>
      </c>
    </row>
    <row r="212" spans="2:9" ht="13.5" hidden="1" customHeight="1">
      <c r="B212" s="1095">
        <v>54105</v>
      </c>
      <c r="C212" s="215" t="s">
        <v>351</v>
      </c>
      <c r="D212" s="216"/>
      <c r="F212" s="640"/>
      <c r="G212" s="644">
        <f>E212+F212</f>
        <v>0</v>
      </c>
      <c r="H212" s="216"/>
      <c r="I212" s="676">
        <f t="shared" si="3"/>
        <v>0</v>
      </c>
    </row>
    <row r="213" spans="2:9" ht="13.5" hidden="1" customHeight="1">
      <c r="B213" s="1095">
        <v>54106</v>
      </c>
      <c r="C213" s="215" t="s">
        <v>960</v>
      </c>
      <c r="D213" s="216"/>
      <c r="F213" s="640"/>
      <c r="G213" s="644">
        <f>'desagregacion de ctas.'!H29</f>
        <v>0</v>
      </c>
      <c r="H213" s="216"/>
      <c r="I213" s="676">
        <f t="shared" si="3"/>
        <v>0</v>
      </c>
    </row>
    <row r="214" spans="2:9" ht="13.5" customHeight="1">
      <c r="B214" s="1095">
        <v>54107</v>
      </c>
      <c r="C214" s="215" t="s">
        <v>691</v>
      </c>
      <c r="D214" s="216"/>
      <c r="E214" s="639">
        <f>'desagregacion de ctas.'!D30</f>
        <v>1000</v>
      </c>
      <c r="F214" s="640"/>
      <c r="G214" s="644">
        <f>'desagregacion de ctas.'!H30</f>
        <v>9000</v>
      </c>
      <c r="H214" s="216"/>
      <c r="I214" s="676">
        <f t="shared" si="3"/>
        <v>10000</v>
      </c>
    </row>
    <row r="215" spans="2:9" ht="13.5" customHeight="1">
      <c r="B215" s="1095">
        <v>54108</v>
      </c>
      <c r="C215" s="215" t="s">
        <v>644</v>
      </c>
      <c r="D215" s="216"/>
      <c r="E215" s="639">
        <f>'desagregacion de ctas.'!D31</f>
        <v>100</v>
      </c>
      <c r="F215" s="640">
        <f>'desagregacion de ctas.'!F31</f>
        <v>0</v>
      </c>
      <c r="G215" s="644">
        <f>'desagregacion de ctas.'!H31</f>
        <v>200</v>
      </c>
      <c r="H215" s="216"/>
      <c r="I215" s="676">
        <f t="shared" si="3"/>
        <v>300</v>
      </c>
    </row>
    <row r="216" spans="2:9" ht="13.5" customHeight="1">
      <c r="B216" s="1095">
        <v>54109</v>
      </c>
      <c r="C216" s="215" t="str">
        <f>'desagregacion de ctas.'!C32</f>
        <v>Llantas y neumáticos</v>
      </c>
      <c r="D216" s="216"/>
      <c r="E216" s="639">
        <f>'desagregacion de ctas.'!D32</f>
        <v>1000</v>
      </c>
      <c r="F216" s="640"/>
      <c r="G216" s="644">
        <f>'desagregacion de ctas.'!H32</f>
        <v>2500</v>
      </c>
      <c r="H216" s="216"/>
      <c r="I216" s="676">
        <f t="shared" si="3"/>
        <v>3500</v>
      </c>
    </row>
    <row r="217" spans="2:9" ht="13.5" customHeight="1">
      <c r="B217" s="1095">
        <v>54110</v>
      </c>
      <c r="C217" s="215" t="s">
        <v>128</v>
      </c>
      <c r="D217" s="216"/>
      <c r="F217" s="640"/>
      <c r="G217" s="644">
        <f>'desagregacion de ctas.'!H33</f>
        <v>7000</v>
      </c>
      <c r="H217" s="216"/>
      <c r="I217" s="676">
        <f t="shared" si="3"/>
        <v>7000</v>
      </c>
    </row>
    <row r="218" spans="2:9" ht="13.5" customHeight="1">
      <c r="B218" s="1095">
        <v>54111</v>
      </c>
      <c r="C218" s="215" t="s">
        <v>961</v>
      </c>
      <c r="D218" s="216"/>
      <c r="F218" s="640"/>
      <c r="G218" s="644">
        <f>'desagregacion de ctas.'!H34</f>
        <v>12000</v>
      </c>
      <c r="H218" s="216"/>
      <c r="I218" s="676">
        <f t="shared" si="3"/>
        <v>12000</v>
      </c>
    </row>
    <row r="219" spans="2:9" ht="13.5" customHeight="1">
      <c r="B219" s="1095">
        <v>54112</v>
      </c>
      <c r="C219" s="215" t="s">
        <v>505</v>
      </c>
      <c r="D219" s="216"/>
      <c r="E219" s="639">
        <f>'desagregacion de ctas.'!D35</f>
        <v>0</v>
      </c>
      <c r="F219" s="640"/>
      <c r="G219" s="644">
        <f>'desagregacion de ctas.'!H35</f>
        <v>5500</v>
      </c>
      <c r="H219" s="216"/>
      <c r="I219" s="676">
        <f t="shared" si="3"/>
        <v>5500</v>
      </c>
    </row>
    <row r="220" spans="2:9" ht="13.5" customHeight="1">
      <c r="B220" s="1095">
        <v>54114</v>
      </c>
      <c r="C220" s="215" t="s">
        <v>52</v>
      </c>
      <c r="D220" s="216"/>
      <c r="F220" s="640">
        <f>'desagregacion de ctas.'!F36</f>
        <v>12000</v>
      </c>
      <c r="G220" s="644"/>
      <c r="H220" s="216"/>
      <c r="I220" s="676">
        <f t="shared" si="3"/>
        <v>12000</v>
      </c>
    </row>
    <row r="221" spans="2:9" ht="13.5" hidden="1" customHeight="1">
      <c r="B221" s="1095">
        <v>54115</v>
      </c>
      <c r="C221" s="215" t="s">
        <v>506</v>
      </c>
      <c r="D221" s="216"/>
      <c r="F221" s="640">
        <f>'desagregacion de ctas.'!F37</f>
        <v>0</v>
      </c>
      <c r="G221" s="644">
        <f>'desagregacion de ctas.'!H37</f>
        <v>0</v>
      </c>
      <c r="H221" s="216"/>
      <c r="I221" s="676">
        <f t="shared" si="3"/>
        <v>0</v>
      </c>
    </row>
    <row r="222" spans="2:9" ht="13.5" hidden="1" customHeight="1">
      <c r="B222" s="1095">
        <v>54116</v>
      </c>
      <c r="C222" s="215" t="s">
        <v>690</v>
      </c>
      <c r="D222" s="216"/>
      <c r="F222" s="640">
        <f>'desagregacion de ctas.'!F38</f>
        <v>0</v>
      </c>
      <c r="G222" s="644">
        <f>E222+F222</f>
        <v>0</v>
      </c>
      <c r="H222" s="216"/>
      <c r="I222" s="676">
        <f t="shared" si="3"/>
        <v>0</v>
      </c>
    </row>
    <row r="223" spans="2:9" ht="13.5" hidden="1" customHeight="1">
      <c r="B223" s="1095">
        <v>54117</v>
      </c>
      <c r="C223" s="215" t="s">
        <v>962</v>
      </c>
      <c r="D223" s="216"/>
      <c r="F223" s="640"/>
      <c r="G223" s="644">
        <f>'desagregacion de ctas.'!H39</f>
        <v>0</v>
      </c>
      <c r="H223" s="216"/>
      <c r="I223" s="676">
        <f t="shared" si="3"/>
        <v>0</v>
      </c>
    </row>
    <row r="224" spans="2:9" ht="13.5" customHeight="1">
      <c r="B224" s="1095">
        <v>54118</v>
      </c>
      <c r="C224" s="215" t="s">
        <v>507</v>
      </c>
      <c r="D224" s="216"/>
      <c r="F224" s="640"/>
      <c r="G224" s="644">
        <f>'desagregacion de ctas.'!H40</f>
        <v>1900</v>
      </c>
      <c r="H224" s="216"/>
      <c r="I224" s="676">
        <f t="shared" si="3"/>
        <v>1900</v>
      </c>
    </row>
    <row r="225" spans="1:9" ht="13.5" customHeight="1">
      <c r="B225" s="1095">
        <v>54119</v>
      </c>
      <c r="C225" s="215" t="s">
        <v>64</v>
      </c>
      <c r="D225" s="216"/>
      <c r="F225" s="640">
        <f>'desagregacion de ctas.'!F41</f>
        <v>0</v>
      </c>
      <c r="G225" s="644">
        <f>'desagregacion de ctas.'!H41</f>
        <v>8000</v>
      </c>
      <c r="H225" s="216"/>
      <c r="I225" s="676">
        <f t="shared" si="3"/>
        <v>8000</v>
      </c>
    </row>
    <row r="226" spans="1:9" ht="13.5" customHeight="1">
      <c r="B226" s="1095">
        <v>54199</v>
      </c>
      <c r="C226" s="215" t="s">
        <v>50</v>
      </c>
      <c r="D226" s="216"/>
      <c r="F226" s="640">
        <f>'desagregacion de ctas.'!F43</f>
        <v>0</v>
      </c>
      <c r="G226" s="644">
        <f>'desagregacion de ctas.'!H43</f>
        <v>66000</v>
      </c>
      <c r="H226" s="216"/>
      <c r="I226" s="676">
        <f t="shared" si="3"/>
        <v>66000</v>
      </c>
    </row>
    <row r="227" spans="1:9" s="297" customFormat="1">
      <c r="A227" s="230"/>
      <c r="B227" s="221">
        <v>542</v>
      </c>
      <c r="C227" s="1109" t="s">
        <v>353</v>
      </c>
      <c r="D227" s="223"/>
      <c r="E227" s="645">
        <f>SUM(E228:E231)</f>
        <v>0</v>
      </c>
      <c r="F227" s="645">
        <f>SUM(F228:F231)</f>
        <v>0</v>
      </c>
      <c r="G227" s="645">
        <f>SUM(G228:G231)</f>
        <v>13000</v>
      </c>
      <c r="H227" s="223"/>
      <c r="I227" s="677">
        <f t="shared" si="3"/>
        <v>13000</v>
      </c>
    </row>
    <row r="228" spans="1:9" ht="15.75" hidden="1">
      <c r="B228" s="1095">
        <v>54201</v>
      </c>
      <c r="C228" s="215" t="s">
        <v>195</v>
      </c>
      <c r="D228" s="216"/>
      <c r="E228" s="640"/>
      <c r="F228" s="640">
        <f>'desagregacion de ctas.'!F44</f>
        <v>0</v>
      </c>
      <c r="G228" s="672">
        <f>E228+F228</f>
        <v>0</v>
      </c>
      <c r="H228" s="216"/>
      <c r="I228" s="676">
        <f t="shared" si="3"/>
        <v>0</v>
      </c>
    </row>
    <row r="229" spans="1:9" hidden="1">
      <c r="B229" s="1095">
        <v>54202</v>
      </c>
      <c r="C229" s="215" t="s">
        <v>508</v>
      </c>
      <c r="D229" s="216"/>
      <c r="F229" s="640"/>
      <c r="G229" s="644">
        <f>E229+F229</f>
        <v>0</v>
      </c>
      <c r="H229" s="216"/>
      <c r="I229" s="676">
        <f t="shared" si="3"/>
        <v>0</v>
      </c>
    </row>
    <row r="230" spans="1:9">
      <c r="B230" s="1095">
        <v>54203</v>
      </c>
      <c r="C230" s="215" t="s">
        <v>196</v>
      </c>
      <c r="D230" s="216"/>
      <c r="E230" s="639">
        <f>'desagregacion de ctas.'!D46</f>
        <v>0</v>
      </c>
      <c r="F230" s="640">
        <f>'desagregacion de ctas.'!F46</f>
        <v>0</v>
      </c>
      <c r="G230" s="644">
        <f>'desagregacion de ctas.'!H46</f>
        <v>13000</v>
      </c>
      <c r="H230" s="216"/>
      <c r="I230" s="676">
        <f t="shared" si="3"/>
        <v>13000</v>
      </c>
    </row>
    <row r="231" spans="1:9">
      <c r="B231" s="1096"/>
      <c r="C231" s="236"/>
      <c r="D231" s="226"/>
      <c r="E231" s="647"/>
      <c r="F231" s="648"/>
      <c r="G231" s="649"/>
      <c r="H231" s="226"/>
      <c r="I231" s="679"/>
    </row>
    <row r="232" spans="1:9">
      <c r="B232" s="235"/>
      <c r="F232" s="644"/>
      <c r="G232" s="644"/>
      <c r="I232" s="217"/>
    </row>
    <row r="233" spans="1:9">
      <c r="B233" s="235"/>
      <c r="F233" s="644"/>
      <c r="G233" s="644"/>
      <c r="I233" s="217"/>
    </row>
    <row r="234" spans="1:9">
      <c r="B234" s="235"/>
      <c r="F234" s="644"/>
      <c r="G234" s="644"/>
      <c r="I234" s="217"/>
    </row>
    <row r="235" spans="1:9">
      <c r="B235" s="235"/>
      <c r="F235" s="644"/>
      <c r="G235" s="644"/>
      <c r="I235" s="217"/>
    </row>
    <row r="236" spans="1:9">
      <c r="B236" s="235"/>
      <c r="F236" s="644"/>
      <c r="G236" s="644"/>
      <c r="I236" s="217"/>
    </row>
    <row r="237" spans="1:9">
      <c r="B237" s="235"/>
      <c r="F237" s="644"/>
      <c r="G237" s="644"/>
      <c r="I237" s="217"/>
    </row>
    <row r="238" spans="1:9">
      <c r="B238" s="235"/>
      <c r="F238" s="644"/>
      <c r="G238" s="644"/>
      <c r="I238" s="217"/>
    </row>
    <row r="239" spans="1:9">
      <c r="B239" s="235"/>
      <c r="F239" s="644"/>
      <c r="G239" s="644"/>
      <c r="I239" s="217"/>
    </row>
    <row r="240" spans="1:9">
      <c r="B240" s="235"/>
      <c r="F240" s="644"/>
      <c r="G240" s="644"/>
      <c r="I240" s="217"/>
    </row>
    <row r="241" spans="2:9">
      <c r="B241" s="235"/>
      <c r="F241" s="644"/>
      <c r="G241" s="644"/>
      <c r="I241" s="217"/>
    </row>
    <row r="242" spans="2:9">
      <c r="B242" s="235"/>
      <c r="F242" s="644"/>
      <c r="G242" s="644"/>
      <c r="I242" s="217"/>
    </row>
    <row r="243" spans="2:9">
      <c r="B243" s="235"/>
      <c r="F243" s="644"/>
      <c r="G243" s="644"/>
      <c r="I243" s="217"/>
    </row>
    <row r="244" spans="2:9" ht="15.75">
      <c r="B244" s="263"/>
      <c r="C244" s="230"/>
      <c r="F244" s="659"/>
      <c r="G244" s="672"/>
    </row>
    <row r="245" spans="2:9" ht="18" hidden="1" customHeight="1">
      <c r="B245" s="263"/>
      <c r="C245" s="230"/>
      <c r="F245" s="659"/>
      <c r="G245" s="672"/>
    </row>
    <row r="246" spans="2:9" ht="18" hidden="1" customHeight="1">
      <c r="B246" s="263"/>
      <c r="C246" s="230"/>
      <c r="F246" s="659"/>
      <c r="G246" s="672"/>
    </row>
    <row r="247" spans="2:9">
      <c r="B247" s="1604" t="s">
        <v>950</v>
      </c>
      <c r="C247" s="1604"/>
      <c r="D247" s="1604"/>
      <c r="E247" s="1604"/>
      <c r="F247" s="1604"/>
      <c r="G247" s="1604"/>
      <c r="H247" s="1604"/>
      <c r="I247" s="1604"/>
    </row>
    <row r="248" spans="2:9">
      <c r="B248" s="1604" t="s">
        <v>336</v>
      </c>
      <c r="C248" s="1604"/>
      <c r="D248" s="1604"/>
      <c r="E248" s="1604"/>
      <c r="F248" s="1604"/>
      <c r="G248" s="1604"/>
      <c r="H248" s="1604"/>
      <c r="I248" s="1604"/>
    </row>
    <row r="249" spans="2:9">
      <c r="B249" s="1605" t="s">
        <v>742</v>
      </c>
      <c r="C249" s="1605"/>
      <c r="D249" s="1605"/>
      <c r="E249" s="1605"/>
      <c r="F249" s="1605"/>
      <c r="G249" s="1605"/>
      <c r="H249" s="1605"/>
      <c r="I249" s="1605"/>
    </row>
    <row r="250" spans="2:9">
      <c r="B250" s="1606" t="s">
        <v>1393</v>
      </c>
      <c r="C250" s="1607"/>
      <c r="D250" s="1607"/>
      <c r="E250" s="1607"/>
      <c r="F250" s="1607"/>
      <c r="G250" s="1607"/>
      <c r="H250" s="1607"/>
      <c r="I250" s="1608"/>
    </row>
    <row r="251" spans="2:9">
      <c r="B251" s="616" t="s">
        <v>337</v>
      </c>
      <c r="C251" s="617"/>
      <c r="D251" s="617"/>
      <c r="E251" s="633"/>
      <c r="F251" s="634"/>
      <c r="G251" s="635"/>
      <c r="H251" s="205"/>
      <c r="I251" s="206"/>
    </row>
    <row r="252" spans="2:9" ht="12.75" customHeight="1">
      <c r="B252" s="207" t="s">
        <v>338</v>
      </c>
      <c r="C252" s="206"/>
      <c r="D252" s="208"/>
      <c r="E252" s="1609" t="s">
        <v>362</v>
      </c>
      <c r="F252" s="1610"/>
      <c r="G252" s="1610"/>
      <c r="H252" s="1611"/>
      <c r="I252" s="1612" t="s">
        <v>803</v>
      </c>
    </row>
    <row r="253" spans="2:9">
      <c r="B253" s="1615" t="s">
        <v>947</v>
      </c>
      <c r="C253" s="1616"/>
      <c r="D253" s="1613" t="s">
        <v>371</v>
      </c>
      <c r="E253" s="1621" t="s">
        <v>952</v>
      </c>
      <c r="F253" s="1621" t="s">
        <v>953</v>
      </c>
      <c r="G253" s="1621" t="s">
        <v>954</v>
      </c>
      <c r="H253" s="1621" t="s">
        <v>959</v>
      </c>
      <c r="I253" s="1613"/>
    </row>
    <row r="254" spans="2:9">
      <c r="B254" s="1617"/>
      <c r="C254" s="1618"/>
      <c r="D254" s="1613"/>
      <c r="E254" s="1630"/>
      <c r="F254" s="1622"/>
      <c r="G254" s="1622"/>
      <c r="H254" s="1622"/>
      <c r="I254" s="1613"/>
    </row>
    <row r="255" spans="2:9">
      <c r="B255" s="1625" t="s">
        <v>340</v>
      </c>
      <c r="C255" s="1626"/>
      <c r="D255" s="1614"/>
      <c r="E255" s="683" t="s">
        <v>836</v>
      </c>
      <c r="F255" s="683" t="s">
        <v>841</v>
      </c>
      <c r="G255" s="683" t="s">
        <v>844</v>
      </c>
      <c r="H255" s="683" t="s">
        <v>855</v>
      </c>
      <c r="I255" s="1614"/>
    </row>
    <row r="256" spans="2:9" hidden="1">
      <c r="B256" s="208"/>
      <c r="C256" s="213"/>
      <c r="D256" s="208"/>
      <c r="E256" s="636"/>
      <c r="F256" s="637"/>
      <c r="G256" s="638"/>
      <c r="H256" s="208"/>
      <c r="I256" s="214"/>
    </row>
    <row r="257" spans="1:9" hidden="1">
      <c r="B257" s="216"/>
      <c r="D257" s="216"/>
      <c r="F257" s="640"/>
      <c r="H257" s="216"/>
      <c r="I257" s="218"/>
    </row>
    <row r="258" spans="1:9" s="297" customFormat="1" ht="12.6" customHeight="1">
      <c r="A258" s="230"/>
      <c r="B258" s="229">
        <v>543</v>
      </c>
      <c r="C258" s="230" t="s">
        <v>509</v>
      </c>
      <c r="D258" s="223"/>
      <c r="E258" s="675">
        <f>SUM(E259:E267)</f>
        <v>26500</v>
      </c>
      <c r="F258" s="685">
        <f>SUM(F259:F267)</f>
        <v>0</v>
      </c>
      <c r="G258" s="685">
        <f>SUM(G259:G267)</f>
        <v>86000</v>
      </c>
      <c r="H258" s="230"/>
      <c r="I258" s="687">
        <f t="shared" ref="I258:I305" si="4">SUM(E258:H258)</f>
        <v>112500</v>
      </c>
    </row>
    <row r="259" spans="1:9" ht="12.6" customHeight="1">
      <c r="B259" s="228">
        <v>54301</v>
      </c>
      <c r="C259" s="202" t="s">
        <v>510</v>
      </c>
      <c r="D259" s="216"/>
      <c r="E259" s="639">
        <f>'desagregacion de ctas.'!D78</f>
        <v>0</v>
      </c>
      <c r="F259" s="640">
        <f>'desagregacion de ctas.'!F78</f>
        <v>0</v>
      </c>
      <c r="G259" s="640">
        <f>'desagregacion de ctas.'!H78</f>
        <v>10000</v>
      </c>
      <c r="I259" s="237">
        <f t="shared" si="4"/>
        <v>10000</v>
      </c>
    </row>
    <row r="260" spans="1:9" ht="12.6" hidden="1" customHeight="1">
      <c r="B260" s="228">
        <v>54302</v>
      </c>
      <c r="C260" s="202" t="s">
        <v>955</v>
      </c>
      <c r="D260" s="216"/>
      <c r="E260" s="639">
        <f>'desagregacion de ctas.'!D79</f>
        <v>0</v>
      </c>
      <c r="F260" s="640"/>
      <c r="G260" s="640"/>
      <c r="I260" s="237">
        <f t="shared" si="4"/>
        <v>0</v>
      </c>
    </row>
    <row r="261" spans="1:9" ht="12.6" customHeight="1">
      <c r="B261" s="228">
        <v>54304</v>
      </c>
      <c r="C261" s="202" t="s">
        <v>44</v>
      </c>
      <c r="D261" s="216"/>
      <c r="E261" s="639">
        <f>'desagregacion de ctas.'!D81</f>
        <v>0</v>
      </c>
      <c r="F261" s="640"/>
      <c r="G261" s="640">
        <f>'desagregacion de ctas.'!H81</f>
        <v>10000</v>
      </c>
      <c r="I261" s="237">
        <f t="shared" si="4"/>
        <v>10000</v>
      </c>
    </row>
    <row r="262" spans="1:9" ht="12.6" customHeight="1">
      <c r="B262" s="228">
        <v>54305</v>
      </c>
      <c r="C262" s="202" t="s">
        <v>956</v>
      </c>
      <c r="D262" s="216"/>
      <c r="E262" s="639">
        <f>'desagregacion de ctas.'!D82</f>
        <v>6000</v>
      </c>
      <c r="F262" s="640"/>
      <c r="G262" s="640"/>
      <c r="I262" s="237">
        <f t="shared" si="4"/>
        <v>6000</v>
      </c>
    </row>
    <row r="263" spans="1:9" ht="12.6" customHeight="1">
      <c r="B263" s="228">
        <v>54310</v>
      </c>
      <c r="C263" s="202" t="s">
        <v>511</v>
      </c>
      <c r="D263" s="216"/>
      <c r="E263" s="639">
        <f>'desagregacion de ctas.'!D83</f>
        <v>12000</v>
      </c>
      <c r="F263" s="640"/>
      <c r="G263" s="640"/>
      <c r="I263" s="237">
        <f t="shared" si="4"/>
        <v>12000</v>
      </c>
    </row>
    <row r="264" spans="1:9" ht="12.6" customHeight="1">
      <c r="B264" s="228">
        <v>54313</v>
      </c>
      <c r="C264" s="202" t="s">
        <v>512</v>
      </c>
      <c r="D264" s="216"/>
      <c r="E264" s="639">
        <f>'desagregacion de ctas.'!D86</f>
        <v>1000</v>
      </c>
      <c r="F264" s="640"/>
      <c r="G264" s="640"/>
      <c r="I264" s="237">
        <f t="shared" si="4"/>
        <v>1000</v>
      </c>
    </row>
    <row r="265" spans="1:9" ht="12.6" customHeight="1">
      <c r="B265" s="228">
        <v>54314</v>
      </c>
      <c r="C265" s="202" t="s">
        <v>360</v>
      </c>
      <c r="D265" s="216"/>
      <c r="E265" s="639">
        <f>'desagregacion de ctas.'!D87</f>
        <v>7000</v>
      </c>
      <c r="F265" s="640"/>
      <c r="G265" s="640"/>
      <c r="I265" s="237">
        <f t="shared" si="4"/>
        <v>7000</v>
      </c>
    </row>
    <row r="266" spans="1:9" ht="12.6" hidden="1" customHeight="1">
      <c r="B266" s="228">
        <v>54317</v>
      </c>
      <c r="C266" s="202" t="s">
        <v>157</v>
      </c>
      <c r="D266" s="216"/>
      <c r="E266" s="639">
        <f>'desagregacion de ctas.'!D90</f>
        <v>0</v>
      </c>
      <c r="F266" s="640">
        <f>'desagregacion de ctas.'!F92</f>
        <v>0</v>
      </c>
      <c r="G266" s="640"/>
      <c r="I266" s="237">
        <f t="shared" si="4"/>
        <v>0</v>
      </c>
    </row>
    <row r="267" spans="1:9" ht="12.6" customHeight="1">
      <c r="B267" s="228">
        <v>54399</v>
      </c>
      <c r="C267" s="202" t="s">
        <v>513</v>
      </c>
      <c r="D267" s="216"/>
      <c r="E267" s="639">
        <f>'desagregacion de ctas.'!D92</f>
        <v>500</v>
      </c>
      <c r="F267" s="640"/>
      <c r="G267" s="640">
        <f>'desagregacion de ctas.'!H92</f>
        <v>66000</v>
      </c>
      <c r="I267" s="237">
        <f t="shared" si="4"/>
        <v>66500</v>
      </c>
    </row>
    <row r="268" spans="1:9" ht="12.6" hidden="1" customHeight="1">
      <c r="B268" s="283"/>
      <c r="C268" s="36"/>
      <c r="D268" s="216"/>
      <c r="F268" s="640"/>
      <c r="G268" s="640"/>
      <c r="I268" s="237"/>
    </row>
    <row r="269" spans="1:9" s="297" customFormat="1" ht="12.6" customHeight="1">
      <c r="A269" s="230"/>
      <c r="B269" s="229">
        <v>544</v>
      </c>
      <c r="C269" s="230" t="s">
        <v>354</v>
      </c>
      <c r="D269" s="223"/>
      <c r="E269" s="675">
        <f>SUM(E270:E273)</f>
        <v>100</v>
      </c>
      <c r="F269" s="645">
        <f>SUM(F270:F273)</f>
        <v>0</v>
      </c>
      <c r="G269" s="645">
        <f>SUM(G270:G273)</f>
        <v>1200</v>
      </c>
      <c r="H269" s="230"/>
      <c r="I269" s="238">
        <f t="shared" si="4"/>
        <v>1300</v>
      </c>
    </row>
    <row r="270" spans="1:9" ht="12.6" customHeight="1">
      <c r="B270" s="228">
        <v>54401</v>
      </c>
      <c r="C270" s="202" t="s">
        <v>1038</v>
      </c>
      <c r="D270" s="216"/>
      <c r="E270" s="639">
        <f>'desagregacion de ctas.'!D93</f>
        <v>100</v>
      </c>
      <c r="F270" s="640">
        <f>'desagregacion de ctas.'!F93</f>
        <v>0</v>
      </c>
      <c r="G270" s="640">
        <f>'desagregacion de ctas.'!H93</f>
        <v>200</v>
      </c>
      <c r="I270" s="237">
        <f t="shared" si="4"/>
        <v>300</v>
      </c>
    </row>
    <row r="271" spans="1:9" ht="12.6" hidden="1" customHeight="1">
      <c r="B271" s="228">
        <v>54402</v>
      </c>
      <c r="C271" s="202" t="s">
        <v>1039</v>
      </c>
      <c r="D271" s="216"/>
      <c r="E271" s="639">
        <f>'desagregacion de ctas.'!D94</f>
        <v>0</v>
      </c>
      <c r="F271" s="640"/>
      <c r="G271" s="640"/>
      <c r="I271" s="237">
        <f t="shared" si="4"/>
        <v>0</v>
      </c>
    </row>
    <row r="272" spans="1:9" ht="12.6" customHeight="1">
      <c r="B272" s="228">
        <v>54403</v>
      </c>
      <c r="C272" s="202" t="s">
        <v>1040</v>
      </c>
      <c r="D272" s="216"/>
      <c r="E272" s="639">
        <f>'desagregacion de ctas.'!D95</f>
        <v>0</v>
      </c>
      <c r="F272" s="640">
        <f>'desagregacion de ctas.'!F95</f>
        <v>0</v>
      </c>
      <c r="G272" s="640">
        <f>'desagregacion de ctas.'!H95</f>
        <v>1000</v>
      </c>
      <c r="I272" s="237">
        <f t="shared" si="4"/>
        <v>1000</v>
      </c>
    </row>
    <row r="273" spans="1:9" ht="12.6" hidden="1" customHeight="1">
      <c r="B273" s="228">
        <v>54404</v>
      </c>
      <c r="C273" s="202" t="s">
        <v>1041</v>
      </c>
      <c r="D273" s="216"/>
      <c r="E273" s="639">
        <f>'desagregacion de ctas.'!D96</f>
        <v>0</v>
      </c>
      <c r="F273" s="640"/>
      <c r="G273" s="640"/>
      <c r="I273" s="237">
        <f t="shared" si="4"/>
        <v>0</v>
      </c>
    </row>
    <row r="274" spans="1:9" s="297" customFormat="1" ht="12.6" customHeight="1">
      <c r="A274" s="230"/>
      <c r="B274" s="229">
        <v>545</v>
      </c>
      <c r="C274" s="230" t="s">
        <v>514</v>
      </c>
      <c r="D274" s="223"/>
      <c r="E274" s="675">
        <f>SUM(E275:E277)</f>
        <v>2500</v>
      </c>
      <c r="F274" s="645">
        <f>F275</f>
        <v>0</v>
      </c>
      <c r="G274" s="645">
        <f>G275</f>
        <v>0</v>
      </c>
      <c r="H274" s="230"/>
      <c r="I274" s="238">
        <f t="shared" si="4"/>
        <v>2500</v>
      </c>
    </row>
    <row r="275" spans="1:9" ht="12.6" hidden="1" customHeight="1">
      <c r="B275" s="228">
        <v>54503</v>
      </c>
      <c r="C275" s="202" t="s">
        <v>515</v>
      </c>
      <c r="D275" s="216"/>
      <c r="E275" s="639">
        <f>'desagregacion de ctas.'!D101</f>
        <v>0</v>
      </c>
      <c r="F275" s="640"/>
      <c r="G275" s="640">
        <f>'desagregacion de ctas.'!H99</f>
        <v>0</v>
      </c>
      <c r="I275" s="238">
        <f t="shared" si="4"/>
        <v>0</v>
      </c>
    </row>
    <row r="276" spans="1:9" ht="12.6" hidden="1" customHeight="1">
      <c r="B276" s="228">
        <v>54505</v>
      </c>
      <c r="C276" s="202" t="str">
        <f>'desagregacion de ctas.'!C101</f>
        <v>Servicios de capacitación</v>
      </c>
      <c r="D276" s="216"/>
      <c r="E276" s="639">
        <f>'desagregacion de ctas.'!D101</f>
        <v>0</v>
      </c>
      <c r="F276" s="640"/>
      <c r="G276" s="640"/>
      <c r="I276" s="238">
        <f t="shared" si="4"/>
        <v>0</v>
      </c>
    </row>
    <row r="277" spans="1:9" ht="12.6" customHeight="1">
      <c r="B277" s="228">
        <v>54599</v>
      </c>
      <c r="C277" s="202" t="s">
        <v>1270</v>
      </c>
      <c r="D277" s="216"/>
      <c r="E277" s="639">
        <f>'desagregacion de ctas.'!D105</f>
        <v>2500</v>
      </c>
      <c r="F277" s="640"/>
      <c r="G277" s="640"/>
      <c r="I277" s="238">
        <f t="shared" si="4"/>
        <v>2500</v>
      </c>
    </row>
    <row r="278" spans="1:9" s="297" customFormat="1" ht="12.6" customHeight="1">
      <c r="A278" s="230"/>
      <c r="B278" s="231">
        <v>55</v>
      </c>
      <c r="C278" s="232" t="s">
        <v>355</v>
      </c>
      <c r="D278" s="223"/>
      <c r="E278" s="378">
        <f>E279</f>
        <v>2700</v>
      </c>
      <c r="F278" s="673">
        <f>F279</f>
        <v>0</v>
      </c>
      <c r="G278" s="673">
        <f>G279</f>
        <v>0</v>
      </c>
      <c r="H278" s="230"/>
      <c r="I278" s="238">
        <f t="shared" si="4"/>
        <v>2700</v>
      </c>
    </row>
    <row r="279" spans="1:9" s="297" customFormat="1" ht="12.6" customHeight="1">
      <c r="A279" s="230"/>
      <c r="B279" s="229">
        <v>556</v>
      </c>
      <c r="C279" s="230" t="s">
        <v>699</v>
      </c>
      <c r="D279" s="223"/>
      <c r="E279" s="378">
        <f>SUM(E280:E281)</f>
        <v>2700</v>
      </c>
      <c r="F279" s="673">
        <f>SUM(F280:F281)</f>
        <v>0</v>
      </c>
      <c r="G279" s="673">
        <f>SUM(G280:G281)</f>
        <v>0</v>
      </c>
      <c r="H279" s="230"/>
      <c r="I279" s="238">
        <f t="shared" si="4"/>
        <v>2700</v>
      </c>
    </row>
    <row r="280" spans="1:9" ht="12.6" customHeight="1">
      <c r="B280" s="228">
        <v>55602</v>
      </c>
      <c r="C280" s="202" t="s">
        <v>570</v>
      </c>
      <c r="D280" s="216"/>
      <c r="E280" s="639">
        <f>'desagregacion de ctas.'!D112</f>
        <v>2400</v>
      </c>
      <c r="F280" s="640"/>
      <c r="G280" s="640"/>
      <c r="I280" s="237">
        <f t="shared" si="4"/>
        <v>2400</v>
      </c>
    </row>
    <row r="281" spans="1:9" ht="12.6" customHeight="1">
      <c r="B281" s="228">
        <v>55603</v>
      </c>
      <c r="C281" s="202" t="s">
        <v>737</v>
      </c>
      <c r="D281" s="216"/>
      <c r="E281" s="639">
        <f>'desagregacion de ctas.'!D113</f>
        <v>300</v>
      </c>
      <c r="F281" s="640"/>
      <c r="G281" s="640"/>
      <c r="I281" s="237">
        <f t="shared" si="4"/>
        <v>300</v>
      </c>
    </row>
    <row r="282" spans="1:9" ht="12.6" hidden="1" customHeight="1">
      <c r="B282" s="228"/>
      <c r="D282" s="216"/>
      <c r="F282" s="640"/>
      <c r="G282" s="640"/>
      <c r="I282" s="237"/>
    </row>
    <row r="283" spans="1:9" s="297" customFormat="1" ht="12.6" customHeight="1">
      <c r="A283" s="230"/>
      <c r="B283" s="231">
        <v>56</v>
      </c>
      <c r="C283" s="232" t="s">
        <v>307</v>
      </c>
      <c r="D283" s="223"/>
      <c r="E283" s="378">
        <f>E284+E286</f>
        <v>15047.67</v>
      </c>
      <c r="F283" s="673">
        <f>F284+F286</f>
        <v>0</v>
      </c>
      <c r="G283" s="673">
        <f>G284+G286</f>
        <v>0</v>
      </c>
      <c r="H283" s="230"/>
      <c r="I283" s="238">
        <f t="shared" si="4"/>
        <v>15047.67</v>
      </c>
    </row>
    <row r="284" spans="1:9" s="297" customFormat="1" ht="12.6" customHeight="1">
      <c r="A284" s="230"/>
      <c r="B284" s="231">
        <v>562</v>
      </c>
      <c r="C284" s="232" t="s">
        <v>271</v>
      </c>
      <c r="D284" s="223"/>
      <c r="E284" s="378">
        <f>E285</f>
        <v>7047.67</v>
      </c>
      <c r="F284" s="645"/>
      <c r="G284" s="645"/>
      <c r="H284" s="230"/>
      <c r="I284" s="238">
        <f t="shared" si="4"/>
        <v>7047.67</v>
      </c>
    </row>
    <row r="285" spans="1:9" ht="12.6" customHeight="1">
      <c r="B285" s="228">
        <v>56201</v>
      </c>
      <c r="C285" s="202" t="s">
        <v>291</v>
      </c>
      <c r="D285" s="216"/>
      <c r="E285" s="639">
        <f>'desagregacion de ctas.'!D116</f>
        <v>7047.67</v>
      </c>
      <c r="F285" s="640"/>
      <c r="G285" s="640"/>
      <c r="I285" s="237">
        <f t="shared" si="4"/>
        <v>7047.67</v>
      </c>
    </row>
    <row r="286" spans="1:9" s="297" customFormat="1" ht="12.6" customHeight="1">
      <c r="A286" s="230"/>
      <c r="B286" s="229">
        <v>563</v>
      </c>
      <c r="C286" s="232" t="s">
        <v>272</v>
      </c>
      <c r="D286" s="223"/>
      <c r="E286" s="378">
        <f>SUM(E287:E289)</f>
        <v>8000</v>
      </c>
      <c r="F286" s="645"/>
      <c r="G286" s="645"/>
      <c r="H286" s="230"/>
      <c r="I286" s="238">
        <f t="shared" si="4"/>
        <v>8000</v>
      </c>
    </row>
    <row r="287" spans="1:9" ht="12.6" hidden="1" customHeight="1">
      <c r="B287" s="228">
        <v>56303</v>
      </c>
      <c r="C287" s="202" t="s">
        <v>494</v>
      </c>
      <c r="D287" s="216"/>
      <c r="F287" s="640"/>
      <c r="G287" s="640"/>
      <c r="I287" s="237">
        <f t="shared" si="4"/>
        <v>0</v>
      </c>
    </row>
    <row r="288" spans="1:9" ht="12.6" customHeight="1">
      <c r="B288" s="228">
        <v>56304</v>
      </c>
      <c r="C288" s="202" t="s">
        <v>212</v>
      </c>
      <c r="D288" s="216"/>
      <c r="E288" s="639">
        <f>'desagregacion de ctas.'!D118</f>
        <v>8000</v>
      </c>
      <c r="F288" s="640"/>
      <c r="G288" s="640"/>
      <c r="I288" s="237">
        <f t="shared" si="4"/>
        <v>8000</v>
      </c>
    </row>
    <row r="289" spans="1:9" ht="12.6" hidden="1" customHeight="1">
      <c r="B289" s="228">
        <v>56305</v>
      </c>
      <c r="C289" s="202" t="s">
        <v>738</v>
      </c>
      <c r="D289" s="216"/>
      <c r="F289" s="640"/>
      <c r="G289" s="640"/>
      <c r="I289" s="237">
        <f t="shared" si="4"/>
        <v>0</v>
      </c>
    </row>
    <row r="290" spans="1:9" ht="12.6" customHeight="1">
      <c r="B290" s="228"/>
      <c r="D290" s="216"/>
      <c r="F290" s="640"/>
      <c r="G290" s="640"/>
      <c r="I290" s="237"/>
    </row>
    <row r="291" spans="1:9" s="628" customFormat="1" ht="12.6" customHeight="1">
      <c r="A291" s="285"/>
      <c r="B291" s="629">
        <v>61</v>
      </c>
      <c r="C291" s="285" t="s">
        <v>361</v>
      </c>
      <c r="D291" s="626"/>
      <c r="E291" s="388">
        <f>E292+E295+E297</f>
        <v>106263.18</v>
      </c>
      <c r="F291" s="681">
        <f>F292+F295+F297</f>
        <v>0</v>
      </c>
      <c r="G291" s="681">
        <f>G292+G295+G297</f>
        <v>0</v>
      </c>
      <c r="H291" s="388"/>
      <c r="I291" s="627">
        <f t="shared" si="4"/>
        <v>106263.18</v>
      </c>
    </row>
    <row r="292" spans="1:9" s="628" customFormat="1" ht="12.6" customHeight="1">
      <c r="A292" s="285"/>
      <c r="B292" s="629">
        <v>611</v>
      </c>
      <c r="C292" s="285" t="s">
        <v>206</v>
      </c>
      <c r="D292" s="626"/>
      <c r="E292" s="388">
        <f>SUM(E293:E294)</f>
        <v>1000</v>
      </c>
      <c r="F292" s="681">
        <f>SUM(F293:F294)</f>
        <v>0</v>
      </c>
      <c r="G292" s="681">
        <f>SUM(G293:G294)</f>
        <v>0</v>
      </c>
      <c r="H292" s="388">
        <f>SUM(H293:H294)</f>
        <v>0</v>
      </c>
      <c r="I292" s="627">
        <f t="shared" si="4"/>
        <v>1000</v>
      </c>
    </row>
    <row r="293" spans="1:9" ht="12.6" hidden="1" customHeight="1">
      <c r="B293" s="228">
        <v>61104</v>
      </c>
      <c r="C293" s="202" t="s">
        <v>213</v>
      </c>
      <c r="D293" s="216"/>
      <c r="F293" s="640"/>
      <c r="G293" s="640"/>
      <c r="H293" s="217"/>
      <c r="I293" s="237">
        <f t="shared" si="4"/>
        <v>0</v>
      </c>
    </row>
    <row r="294" spans="1:9" ht="12.6" customHeight="1">
      <c r="B294" s="228">
        <v>61199</v>
      </c>
      <c r="C294" s="202" t="s">
        <v>259</v>
      </c>
      <c r="D294" s="216"/>
      <c r="E294" s="639">
        <f>'desagregacion de ctas.'!D128</f>
        <v>1000</v>
      </c>
      <c r="F294" s="640">
        <f>'desagregacion de ctas.'!F128</f>
        <v>0</v>
      </c>
      <c r="G294" s="640">
        <f>'desagregacion de ctas.'!H128</f>
        <v>0</v>
      </c>
      <c r="H294" s="217"/>
      <c r="I294" s="237">
        <f t="shared" si="4"/>
        <v>1000</v>
      </c>
    </row>
    <row r="295" spans="1:9" ht="12.6" hidden="1" customHeight="1">
      <c r="B295" s="229">
        <v>611</v>
      </c>
      <c r="C295" s="230"/>
      <c r="D295" s="216"/>
      <c r="F295" s="640"/>
      <c r="G295" s="640"/>
      <c r="H295" s="217"/>
      <c r="I295" s="237">
        <f t="shared" si="4"/>
        <v>0</v>
      </c>
    </row>
    <row r="296" spans="1:9" ht="12.6" hidden="1" customHeight="1">
      <c r="B296" s="228">
        <v>61201</v>
      </c>
      <c r="C296" s="202" t="s">
        <v>72</v>
      </c>
      <c r="D296" s="216"/>
      <c r="F296" s="640"/>
      <c r="G296" s="640"/>
      <c r="H296" s="217"/>
      <c r="I296" s="237">
        <f t="shared" si="4"/>
        <v>0</v>
      </c>
    </row>
    <row r="297" spans="1:9" s="297" customFormat="1" ht="12.6" customHeight="1">
      <c r="A297" s="230"/>
      <c r="B297" s="229">
        <v>616</v>
      </c>
      <c r="C297" s="232" t="s">
        <v>270</v>
      </c>
      <c r="D297" s="223"/>
      <c r="E297" s="378">
        <f>E299+E298</f>
        <v>105263.18</v>
      </c>
      <c r="F297" s="645"/>
      <c r="G297" s="645"/>
      <c r="H297" s="686"/>
      <c r="I297" s="238">
        <f t="shared" si="4"/>
        <v>105263.18</v>
      </c>
    </row>
    <row r="298" spans="1:9" ht="12.6" customHeight="1">
      <c r="B298" s="228">
        <v>61602</v>
      </c>
      <c r="C298" s="202" t="s">
        <v>991</v>
      </c>
      <c r="D298" s="216"/>
      <c r="E298" s="639">
        <f>'desagregacion de ctas.'!D137</f>
        <v>60000</v>
      </c>
      <c r="F298" s="640"/>
      <c r="G298" s="640"/>
      <c r="H298" s="217"/>
      <c r="I298" s="237">
        <f t="shared" si="4"/>
        <v>60000</v>
      </c>
    </row>
    <row r="299" spans="1:9" ht="12.6" customHeight="1">
      <c r="B299" s="228">
        <v>61699</v>
      </c>
      <c r="C299" s="202" t="s">
        <v>208</v>
      </c>
      <c r="D299" s="216"/>
      <c r="E299" s="639">
        <f>'desagregacion de ctas.'!D138</f>
        <v>45263.18</v>
      </c>
      <c r="F299" s="640"/>
      <c r="G299" s="640"/>
      <c r="H299" s="217"/>
      <c r="I299" s="237">
        <f t="shared" si="4"/>
        <v>45263.18</v>
      </c>
    </row>
    <row r="300" spans="1:9" ht="12.6" hidden="1" customHeight="1">
      <c r="B300" s="615"/>
      <c r="D300" s="216"/>
      <c r="F300" s="640"/>
      <c r="G300" s="640"/>
      <c r="H300" s="217"/>
      <c r="I300" s="237">
        <f t="shared" si="4"/>
        <v>0</v>
      </c>
    </row>
    <row r="301" spans="1:9" ht="12.6" hidden="1" customHeight="1">
      <c r="B301" s="615"/>
      <c r="D301" s="216"/>
      <c r="F301" s="640"/>
      <c r="G301" s="640"/>
      <c r="H301" s="217"/>
      <c r="I301" s="237">
        <f t="shared" si="4"/>
        <v>0</v>
      </c>
    </row>
    <row r="302" spans="1:9" ht="12.6" hidden="1" customHeight="1">
      <c r="B302" s="219">
        <v>72</v>
      </c>
      <c r="C302" s="220" t="s">
        <v>529</v>
      </c>
      <c r="D302" s="216"/>
      <c r="F302" s="640"/>
      <c r="G302" s="640"/>
      <c r="H302" s="217"/>
      <c r="I302" s="237">
        <f t="shared" si="4"/>
        <v>0</v>
      </c>
    </row>
    <row r="303" spans="1:9" ht="12.6" hidden="1" customHeight="1">
      <c r="B303" s="219">
        <v>721</v>
      </c>
      <c r="C303" s="220" t="s">
        <v>530</v>
      </c>
      <c r="D303" s="216"/>
      <c r="F303" s="640"/>
      <c r="G303" s="640"/>
      <c r="H303" s="217"/>
      <c r="I303" s="237">
        <f t="shared" si="4"/>
        <v>0</v>
      </c>
    </row>
    <row r="304" spans="1:9" ht="12.6" hidden="1" customHeight="1">
      <c r="B304" s="615">
        <v>72101</v>
      </c>
      <c r="C304" s="216" t="s">
        <v>530</v>
      </c>
      <c r="D304" s="216"/>
      <c r="F304" s="640"/>
      <c r="G304" s="640"/>
      <c r="I304" s="237">
        <f t="shared" si="4"/>
        <v>0</v>
      </c>
    </row>
    <row r="305" spans="1:9" ht="12.6" customHeight="1">
      <c r="B305" s="615"/>
      <c r="C305" s="216"/>
      <c r="D305" s="216"/>
      <c r="F305" s="640"/>
      <c r="G305" s="640"/>
      <c r="I305" s="237">
        <f t="shared" si="4"/>
        <v>0</v>
      </c>
    </row>
    <row r="306" spans="1:9" s="628" customFormat="1" ht="12.6" customHeight="1">
      <c r="A306" s="285"/>
      <c r="B306" s="629" t="s">
        <v>373</v>
      </c>
      <c r="C306" s="285" t="s">
        <v>381</v>
      </c>
      <c r="D306" s="626"/>
      <c r="E306" s="388">
        <f>E291+E283+E278+E207+E186</f>
        <v>220278.84999999998</v>
      </c>
      <c r="F306" s="668">
        <f>F207+F186+F291</f>
        <v>15750</v>
      </c>
      <c r="G306" s="668">
        <f>G207+G186+G291</f>
        <v>511957.4314</v>
      </c>
      <c r="H306" s="682">
        <f>H207+H17+H2365+H291</f>
        <v>0</v>
      </c>
      <c r="I306" s="668">
        <f>I207+I186+I278+I283+I291</f>
        <v>747986.28139999998</v>
      </c>
    </row>
    <row r="307" spans="1:9" s="628" customFormat="1" ht="12.6" customHeight="1">
      <c r="A307" s="285"/>
      <c r="B307" s="629" t="s">
        <v>373</v>
      </c>
      <c r="C307" s="285" t="s">
        <v>382</v>
      </c>
      <c r="D307" s="626"/>
      <c r="E307" s="388">
        <f>E292+E286+E279+E274+E269+E258+E227+E208+E187+E201+E284+E196+E198+E202+E297</f>
        <v>220278.84999999998</v>
      </c>
      <c r="F307" s="681">
        <f>F187+F192+F196+F198+F208+F227+F269+F292</f>
        <v>15750</v>
      </c>
      <c r="G307" s="681">
        <f>G274+G269+G258+G227+G208+G198+G196+G192+G187+G292</f>
        <v>511957.4314</v>
      </c>
      <c r="H307" s="388">
        <f>H274+H269+H258+H227+H208+H198+H196+H192+H187+H297</f>
        <v>0</v>
      </c>
      <c r="I307" s="627">
        <f>I297+I292+I286+I284+I279+I274+I269+I258+I227+I208+I198+I196+I192+I187+I200+I202</f>
        <v>747986.28139999998</v>
      </c>
    </row>
    <row r="308" spans="1:9" s="628" customFormat="1" ht="12.6" customHeight="1">
      <c r="A308" s="285"/>
      <c r="B308" s="629" t="s">
        <v>373</v>
      </c>
      <c r="C308" s="285" t="s">
        <v>383</v>
      </c>
      <c r="D308" s="626"/>
      <c r="E308" s="388">
        <f>E294+E288+E2+E24804+E280+E275+E273+E272+E271+E270+E267+E266+E265+E264+E263+E262+E261+E260+E259+E230+E219+E216+E215+E214+E211+E209+E191+E285+E201+E276+E281+E197+E199+E203+E277+E299</f>
        <v>160278.85</v>
      </c>
      <c r="F308" s="668">
        <f>F275+F272+F270+F266+F264+F263+F259+F231+F230+F229+F228+F226+F225+F224+F222+F221+F220+F219+F212+F211+F199+F197+F195+F193+F189+F188+F215+F294</f>
        <v>15750</v>
      </c>
      <c r="G308" s="668">
        <f>G275+G272+G270+G267+G261+G259+G230+G226+G225+G224+G223+G222+G221+G220+G219+G218+G217+G216+G215+G214+G213+G212+G211+G210+G209+G199+G197+G193+G189+G188+G294</f>
        <v>511957.43139999994</v>
      </c>
      <c r="H308" s="682">
        <f>H275+H272+H270+H267+H261+H259+H230+H226+H225+H224+H223+H222+H221+H220+H219+H218+H217+H216+H215+H214+H213+H212+H211+H210+H209+H199+H197+H193+H189+H188+H299</f>
        <v>0</v>
      </c>
      <c r="I308" s="668">
        <f>I188+I189+I190+I191+I193+I197+I199+I209+I210+I211+I212+I213+I214+I215+I216+I217+I218+I219+I220+I221+I222+I223+I224+I225+I226+I230+I259+I260+I261+I262+I263+I264+I265+I266+I267+I270+I271+I272+I273+I275+I280+I281+I288+I294+I299+I285+I201+I276+I203+I274</f>
        <v>687986.28140000009</v>
      </c>
    </row>
    <row r="309" spans="1:9" s="297" customFormat="1">
      <c r="A309" s="230"/>
      <c r="B309" s="223"/>
      <c r="C309" s="230"/>
      <c r="D309" s="223"/>
      <c r="E309" s="378"/>
      <c r="F309" s="680"/>
      <c r="G309" s="680"/>
      <c r="H309" s="230"/>
      <c r="I309" s="223"/>
    </row>
    <row r="310" spans="1:9" hidden="1">
      <c r="B310" s="216"/>
      <c r="D310" s="216"/>
      <c r="F310" s="239"/>
      <c r="G310" s="239"/>
      <c r="I310" s="216"/>
    </row>
    <row r="311" spans="1:9" hidden="1">
      <c r="B311" s="216"/>
      <c r="D311" s="216"/>
      <c r="F311" s="239"/>
      <c r="G311" s="239"/>
      <c r="I311" s="216"/>
    </row>
    <row r="312" spans="1:9">
      <c r="B312" s="226"/>
      <c r="C312" s="234"/>
      <c r="D312" s="226"/>
      <c r="E312" s="647"/>
      <c r="F312" s="669"/>
      <c r="G312" s="674"/>
      <c r="H312" s="234"/>
      <c r="I312" s="226"/>
    </row>
    <row r="323" spans="1:9">
      <c r="B323" s="1604" t="s">
        <v>950</v>
      </c>
      <c r="C323" s="1604"/>
      <c r="D323" s="1604"/>
      <c r="E323" s="1604"/>
      <c r="F323" s="1604"/>
      <c r="G323" s="1604"/>
      <c r="H323" s="1604"/>
      <c r="I323" s="1604"/>
    </row>
    <row r="324" spans="1:9">
      <c r="B324" s="1604" t="s">
        <v>336</v>
      </c>
      <c r="C324" s="1604"/>
      <c r="D324" s="1604"/>
      <c r="E324" s="1604"/>
      <c r="F324" s="1604"/>
      <c r="G324" s="1604"/>
      <c r="H324" s="1604"/>
      <c r="I324" s="1604"/>
    </row>
    <row r="325" spans="1:9">
      <c r="B325" s="1605" t="s">
        <v>742</v>
      </c>
      <c r="C325" s="1605"/>
      <c r="D325" s="1605"/>
      <c r="E325" s="1605"/>
      <c r="F325" s="1605"/>
      <c r="G325" s="1605"/>
      <c r="H325" s="1605"/>
      <c r="I325" s="1605"/>
    </row>
    <row r="326" spans="1:9">
      <c r="B326" s="1606" t="s">
        <v>1393</v>
      </c>
      <c r="C326" s="1607"/>
      <c r="D326" s="1607"/>
      <c r="E326" s="1607"/>
      <c r="F326" s="1607"/>
      <c r="G326" s="1607"/>
      <c r="H326" s="1607"/>
      <c r="I326" s="1608"/>
    </row>
    <row r="327" spans="1:9">
      <c r="B327" s="624" t="s">
        <v>984</v>
      </c>
      <c r="C327" s="617"/>
      <c r="D327" s="617"/>
      <c r="E327" s="633"/>
      <c r="F327" s="634"/>
      <c r="G327" s="635"/>
      <c r="H327" s="205"/>
      <c r="I327" s="206"/>
    </row>
    <row r="328" spans="1:9">
      <c r="B328" s="207" t="s">
        <v>338</v>
      </c>
      <c r="C328" s="206"/>
      <c r="D328" s="208"/>
      <c r="E328" s="1609" t="s">
        <v>362</v>
      </c>
      <c r="F328" s="1610"/>
      <c r="G328" s="1610"/>
      <c r="H328" s="1611"/>
      <c r="I328" s="1612" t="s">
        <v>967</v>
      </c>
    </row>
    <row r="329" spans="1:9">
      <c r="B329" s="1615" t="s">
        <v>947</v>
      </c>
      <c r="C329" s="1616"/>
      <c r="D329" s="1613" t="s">
        <v>371</v>
      </c>
      <c r="E329" s="1621" t="s">
        <v>963</v>
      </c>
      <c r="F329" s="1621" t="s">
        <v>964</v>
      </c>
      <c r="G329" s="1621" t="s">
        <v>965</v>
      </c>
      <c r="H329" s="1621" t="s">
        <v>966</v>
      </c>
      <c r="I329" s="1613"/>
    </row>
    <row r="330" spans="1:9">
      <c r="B330" s="1617"/>
      <c r="C330" s="1618"/>
      <c r="D330" s="1613"/>
      <c r="E330" s="1630"/>
      <c r="F330" s="1622"/>
      <c r="G330" s="1622"/>
      <c r="H330" s="1622"/>
      <c r="I330" s="1613"/>
    </row>
    <row r="331" spans="1:9">
      <c r="B331" s="1625" t="s">
        <v>340</v>
      </c>
      <c r="C331" s="1626"/>
      <c r="D331" s="1614"/>
      <c r="E331" s="683" t="s">
        <v>847</v>
      </c>
      <c r="F331" s="683" t="s">
        <v>850</v>
      </c>
      <c r="G331" s="683" t="s">
        <v>863</v>
      </c>
      <c r="H331" s="683" t="s">
        <v>867</v>
      </c>
      <c r="I331" s="1614"/>
    </row>
    <row r="332" spans="1:9" hidden="1">
      <c r="B332" s="208"/>
      <c r="C332" s="213"/>
      <c r="D332" s="208"/>
      <c r="E332" s="636"/>
      <c r="F332" s="637"/>
      <c r="G332" s="638"/>
      <c r="H332" s="208"/>
      <c r="I332" s="214"/>
    </row>
    <row r="333" spans="1:9" hidden="1">
      <c r="B333" s="216"/>
      <c r="D333" s="216"/>
      <c r="F333" s="640"/>
      <c r="H333" s="216"/>
      <c r="I333" s="218"/>
    </row>
    <row r="334" spans="1:9" s="628" customFormat="1">
      <c r="A334" s="285"/>
      <c r="B334" s="629">
        <v>51</v>
      </c>
      <c r="C334" s="285" t="s">
        <v>341</v>
      </c>
      <c r="D334" s="626"/>
      <c r="E334" s="388">
        <f>E335+E342+E344+E346</f>
        <v>0</v>
      </c>
      <c r="F334" s="668">
        <f>F335+F344+F346+F340+F342</f>
        <v>130219.64</v>
      </c>
      <c r="G334" s="388">
        <f>G335+G340+G344+G346</f>
        <v>0</v>
      </c>
      <c r="H334" s="684">
        <f>H335+H340+H344+H346</f>
        <v>0</v>
      </c>
      <c r="I334" s="627">
        <f t="shared" ref="I334:I373" si="5">SUM(E334:H334)</f>
        <v>130219.64</v>
      </c>
    </row>
    <row r="335" spans="1:9" s="628" customFormat="1">
      <c r="A335" s="285"/>
      <c r="B335" s="629">
        <v>511</v>
      </c>
      <c r="C335" s="285" t="s">
        <v>342</v>
      </c>
      <c r="D335" s="626"/>
      <c r="E335" s="388">
        <f>SUM(E336:E339)</f>
        <v>0</v>
      </c>
      <c r="F335" s="668">
        <f>SUM(F336:F339)</f>
        <v>67037</v>
      </c>
      <c r="G335" s="388">
        <f>SUM(G336:G339)</f>
        <v>0</v>
      </c>
      <c r="H335" s="1108"/>
      <c r="I335" s="627">
        <f t="shared" si="5"/>
        <v>67037</v>
      </c>
    </row>
    <row r="336" spans="1:9">
      <c r="B336" s="228">
        <v>51101</v>
      </c>
      <c r="C336" s="202" t="s">
        <v>14</v>
      </c>
      <c r="D336" s="216"/>
      <c r="F336" s="640">
        <f>'desagregacion de ctas.'!F216</f>
        <v>62068</v>
      </c>
      <c r="G336" s="639"/>
      <c r="H336" s="215"/>
      <c r="I336" s="237">
        <f t="shared" si="5"/>
        <v>62068</v>
      </c>
    </row>
    <row r="337" spans="1:9" hidden="1">
      <c r="B337" s="228">
        <v>51102</v>
      </c>
      <c r="C337" s="202" t="s">
        <v>26</v>
      </c>
      <c r="D337" s="216"/>
      <c r="F337" s="640"/>
      <c r="G337" s="640"/>
      <c r="H337" s="215"/>
      <c r="I337" s="237">
        <f t="shared" si="5"/>
        <v>0</v>
      </c>
    </row>
    <row r="338" spans="1:9">
      <c r="B338" s="228">
        <v>51103</v>
      </c>
      <c r="C338" s="202" t="s">
        <v>15</v>
      </c>
      <c r="D338" s="216"/>
      <c r="F338" s="640">
        <f>'desagregacion de ctas.'!F218</f>
        <v>4969</v>
      </c>
      <c r="G338" s="644"/>
      <c r="H338" s="215"/>
      <c r="I338" s="237">
        <f t="shared" si="5"/>
        <v>4969</v>
      </c>
    </row>
    <row r="339" spans="1:9" hidden="1">
      <c r="B339" s="228">
        <v>51105</v>
      </c>
      <c r="C339" s="202" t="s">
        <v>11</v>
      </c>
      <c r="D339" s="216"/>
      <c r="F339" s="640"/>
      <c r="G339" s="644"/>
      <c r="H339" s="215"/>
      <c r="I339" s="237">
        <f t="shared" si="5"/>
        <v>0</v>
      </c>
    </row>
    <row r="340" spans="1:9" s="628" customFormat="1">
      <c r="A340" s="285"/>
      <c r="B340" s="629">
        <v>512</v>
      </c>
      <c r="C340" s="285" t="s">
        <v>345</v>
      </c>
      <c r="D340" s="626"/>
      <c r="E340" s="388"/>
      <c r="F340" s="668">
        <f>F341</f>
        <v>54432</v>
      </c>
      <c r="G340" s="682">
        <f>G341</f>
        <v>0</v>
      </c>
      <c r="H340" s="668">
        <f>H341</f>
        <v>0</v>
      </c>
      <c r="I340" s="627">
        <f t="shared" si="5"/>
        <v>54432</v>
      </c>
    </row>
    <row r="341" spans="1:9">
      <c r="B341" s="228">
        <v>51202</v>
      </c>
      <c r="C341" s="202" t="s">
        <v>26</v>
      </c>
      <c r="D341" s="216"/>
      <c r="F341" s="640">
        <f>'desagregacion de ctas.'!F223</f>
        <v>54432</v>
      </c>
      <c r="G341" s="644"/>
      <c r="H341" s="215">
        <f>'desagregacion de ctas.'!K223</f>
        <v>0</v>
      </c>
      <c r="I341" s="237">
        <f t="shared" si="5"/>
        <v>54432</v>
      </c>
    </row>
    <row r="342" spans="1:9" s="628" customFormat="1" hidden="1">
      <c r="A342" s="285"/>
      <c r="B342" s="629">
        <v>513</v>
      </c>
      <c r="C342" s="285" t="s">
        <v>273</v>
      </c>
      <c r="D342" s="626"/>
      <c r="E342" s="388">
        <f>E343</f>
        <v>0</v>
      </c>
      <c r="F342" s="668">
        <f>F343</f>
        <v>0</v>
      </c>
      <c r="G342" s="682">
        <f>E342+F342</f>
        <v>0</v>
      </c>
      <c r="H342" s="1108"/>
      <c r="I342" s="627">
        <f t="shared" si="5"/>
        <v>0</v>
      </c>
    </row>
    <row r="343" spans="1:9" ht="15.75" hidden="1">
      <c r="B343" s="228">
        <v>51301</v>
      </c>
      <c r="C343" s="202" t="s">
        <v>70</v>
      </c>
      <c r="D343" s="216"/>
      <c r="F343" s="660"/>
      <c r="G343" s="671"/>
      <c r="H343" s="215"/>
      <c r="I343" s="237">
        <f t="shared" si="5"/>
        <v>0</v>
      </c>
    </row>
    <row r="344" spans="1:9" s="628" customFormat="1">
      <c r="A344" s="285"/>
      <c r="B344" s="629">
        <v>514</v>
      </c>
      <c r="C344" s="285" t="s">
        <v>343</v>
      </c>
      <c r="D344" s="626"/>
      <c r="E344" s="668">
        <f>E345</f>
        <v>0</v>
      </c>
      <c r="F344" s="668">
        <f>F345</f>
        <v>5407.5</v>
      </c>
      <c r="G344" s="668">
        <f>G345</f>
        <v>0</v>
      </c>
      <c r="H344" s="1108"/>
      <c r="I344" s="627">
        <f t="shared" si="5"/>
        <v>5407.5</v>
      </c>
    </row>
    <row r="345" spans="1:9">
      <c r="B345" s="228">
        <v>51401</v>
      </c>
      <c r="C345" s="202" t="s">
        <v>344</v>
      </c>
      <c r="D345" s="216"/>
      <c r="F345" s="640">
        <f>'desagregacion de ctas.'!F226</f>
        <v>5407.5</v>
      </c>
      <c r="G345" s="644"/>
      <c r="H345" s="215"/>
      <c r="I345" s="237">
        <f t="shared" si="5"/>
        <v>5407.5</v>
      </c>
    </row>
    <row r="346" spans="1:9" s="628" customFormat="1">
      <c r="A346" s="285"/>
      <c r="B346" s="629">
        <v>515</v>
      </c>
      <c r="C346" s="285" t="s">
        <v>346</v>
      </c>
      <c r="D346" s="626"/>
      <c r="E346" s="668">
        <f>E347</f>
        <v>0</v>
      </c>
      <c r="F346" s="668">
        <f>F347</f>
        <v>3343.1400000000003</v>
      </c>
      <c r="G346" s="668">
        <f>G347</f>
        <v>0</v>
      </c>
      <c r="H346" s="1108"/>
      <c r="I346" s="627">
        <f t="shared" si="5"/>
        <v>3343.1400000000003</v>
      </c>
    </row>
    <row r="347" spans="1:9">
      <c r="B347" s="228">
        <v>51501</v>
      </c>
      <c r="C347" s="202" t="s">
        <v>344</v>
      </c>
      <c r="D347" s="216"/>
      <c r="F347" s="640">
        <f>'desagregacion de ctas.'!F227</f>
        <v>3343.1400000000003</v>
      </c>
      <c r="G347" s="644"/>
      <c r="H347" s="215"/>
      <c r="I347" s="237">
        <f t="shared" si="5"/>
        <v>3343.1400000000003</v>
      </c>
    </row>
    <row r="348" spans="1:9" s="628" customFormat="1" hidden="1">
      <c r="A348" s="285"/>
      <c r="B348" s="629">
        <v>519</v>
      </c>
      <c r="C348" s="285" t="s">
        <v>347</v>
      </c>
      <c r="D348" s="626"/>
      <c r="E348" s="388"/>
      <c r="F348" s="668"/>
      <c r="G348" s="682">
        <f>E348+F348</f>
        <v>0</v>
      </c>
      <c r="H348" s="626"/>
      <c r="I348" s="678">
        <f t="shared" si="5"/>
        <v>0</v>
      </c>
    </row>
    <row r="349" spans="1:9" hidden="1">
      <c r="B349" s="228">
        <v>51901</v>
      </c>
      <c r="C349" s="202" t="s">
        <v>12</v>
      </c>
      <c r="D349" s="216"/>
      <c r="F349" s="640"/>
      <c r="G349" s="644"/>
      <c r="H349" s="216"/>
      <c r="I349" s="676">
        <f t="shared" si="5"/>
        <v>0</v>
      </c>
    </row>
    <row r="350" spans="1:9" hidden="1">
      <c r="B350" s="228"/>
      <c r="D350" s="216"/>
      <c r="F350" s="640"/>
      <c r="G350" s="644"/>
      <c r="H350" s="216"/>
      <c r="I350" s="676">
        <f t="shared" si="5"/>
        <v>0</v>
      </c>
    </row>
    <row r="351" spans="1:9" s="628" customFormat="1" hidden="1">
      <c r="A351" s="285"/>
      <c r="B351" s="629">
        <v>54</v>
      </c>
      <c r="C351" s="285" t="s">
        <v>348</v>
      </c>
      <c r="D351" s="626"/>
      <c r="E351" s="668">
        <f>E352+E371+E408+E397+E413</f>
        <v>0</v>
      </c>
      <c r="F351" s="668">
        <f>F352+F371+F408+F397+F413+F416</f>
        <v>0</v>
      </c>
      <c r="G351" s="668">
        <f>G352+G371+G408+G397+G413</f>
        <v>0</v>
      </c>
      <c r="H351" s="668">
        <f>H352+H371+H408+H397+H413</f>
        <v>0</v>
      </c>
      <c r="I351" s="678">
        <f t="shared" si="5"/>
        <v>0</v>
      </c>
    </row>
    <row r="352" spans="1:9" s="628" customFormat="1" hidden="1">
      <c r="A352" s="285"/>
      <c r="B352" s="629">
        <v>541</v>
      </c>
      <c r="C352" s="285" t="s">
        <v>349</v>
      </c>
      <c r="D352" s="626"/>
      <c r="E352" s="668"/>
      <c r="F352" s="668">
        <f>SUM(F353:F370)</f>
        <v>0</v>
      </c>
      <c r="G352" s="668"/>
      <c r="H352" s="626"/>
      <c r="I352" s="678">
        <f t="shared" si="5"/>
        <v>0</v>
      </c>
    </row>
    <row r="353" spans="2:9" hidden="1">
      <c r="B353" s="615">
        <v>54101</v>
      </c>
      <c r="C353" s="104" t="s">
        <v>121</v>
      </c>
      <c r="D353" s="216"/>
      <c r="F353" s="640"/>
      <c r="G353" s="644"/>
      <c r="H353" s="216"/>
      <c r="I353" s="676">
        <f t="shared" si="5"/>
        <v>0</v>
      </c>
    </row>
    <row r="354" spans="2:9" hidden="1">
      <c r="B354" s="228">
        <v>54103</v>
      </c>
      <c r="C354" s="132" t="s">
        <v>283</v>
      </c>
      <c r="D354" s="216"/>
      <c r="F354" s="640">
        <f>'desagregacion de ctas.'!F235</f>
        <v>0</v>
      </c>
      <c r="G354" s="644"/>
      <c r="H354" s="216"/>
      <c r="I354" s="676">
        <f t="shared" si="5"/>
        <v>0</v>
      </c>
    </row>
    <row r="355" spans="2:9" hidden="1">
      <c r="B355" s="228">
        <v>54104</v>
      </c>
      <c r="C355" s="202" t="s">
        <v>350</v>
      </c>
      <c r="D355" s="216"/>
      <c r="F355" s="640">
        <f>'desagregacion de ctas.'!F236</f>
        <v>0</v>
      </c>
      <c r="G355" s="644"/>
      <c r="H355" s="216"/>
      <c r="I355" s="676">
        <f t="shared" si="5"/>
        <v>0</v>
      </c>
    </row>
    <row r="356" spans="2:9" hidden="1">
      <c r="B356" s="228">
        <v>54105</v>
      </c>
      <c r="C356" s="202" t="s">
        <v>351</v>
      </c>
      <c r="D356" s="216"/>
      <c r="F356" s="640"/>
      <c r="G356" s="644"/>
      <c r="H356" s="216"/>
      <c r="I356" s="676">
        <f t="shared" si="5"/>
        <v>0</v>
      </c>
    </row>
    <row r="357" spans="2:9" hidden="1">
      <c r="B357" s="228">
        <v>54106</v>
      </c>
      <c r="C357" s="202" t="s">
        <v>960</v>
      </c>
      <c r="D357" s="216"/>
      <c r="F357" s="640">
        <f>'desagregacion de ctas.'!F238</f>
        <v>0</v>
      </c>
      <c r="G357" s="644"/>
      <c r="H357" s="216"/>
      <c r="I357" s="676">
        <f t="shared" si="5"/>
        <v>0</v>
      </c>
    </row>
    <row r="358" spans="2:9" hidden="1">
      <c r="B358" s="228">
        <v>54107</v>
      </c>
      <c r="C358" s="202" t="s">
        <v>691</v>
      </c>
      <c r="D358" s="216"/>
      <c r="F358" s="640">
        <f>'desagregacion de ctas.'!F239</f>
        <v>0</v>
      </c>
      <c r="G358" s="644"/>
      <c r="H358" s="216"/>
      <c r="I358" s="676">
        <f t="shared" si="5"/>
        <v>0</v>
      </c>
    </row>
    <row r="359" spans="2:9" hidden="1">
      <c r="B359" s="228">
        <v>54108</v>
      </c>
      <c r="C359" s="202" t="s">
        <v>644</v>
      </c>
      <c r="D359" s="216"/>
      <c r="F359" s="640"/>
      <c r="G359" s="644"/>
      <c r="H359" s="216"/>
      <c r="I359" s="676">
        <f t="shared" si="5"/>
        <v>0</v>
      </c>
    </row>
    <row r="360" spans="2:9" hidden="1">
      <c r="B360" s="228">
        <v>54109</v>
      </c>
      <c r="C360" s="202" t="s">
        <v>971</v>
      </c>
      <c r="D360" s="216"/>
      <c r="F360" s="640">
        <f>'desagregacion de ctas.'!F241</f>
        <v>0</v>
      </c>
      <c r="G360" s="644"/>
      <c r="H360" s="216"/>
      <c r="I360" s="676">
        <f t="shared" si="5"/>
        <v>0</v>
      </c>
    </row>
    <row r="361" spans="2:9" hidden="1">
      <c r="B361" s="228">
        <v>54110</v>
      </c>
      <c r="C361" s="202" t="s">
        <v>128</v>
      </c>
      <c r="D361" s="216"/>
      <c r="F361" s="640">
        <f>'desagregacion de ctas.'!F242</f>
        <v>0</v>
      </c>
      <c r="G361" s="644"/>
      <c r="H361" s="216"/>
      <c r="I361" s="676">
        <f t="shared" si="5"/>
        <v>0</v>
      </c>
    </row>
    <row r="362" spans="2:9" hidden="1">
      <c r="B362" s="228">
        <v>54111</v>
      </c>
      <c r="C362" s="202" t="s">
        <v>961</v>
      </c>
      <c r="D362" s="216"/>
      <c r="F362" s="640">
        <f>'desagregacion de ctas.'!F243</f>
        <v>0</v>
      </c>
      <c r="G362" s="644"/>
      <c r="H362" s="216"/>
      <c r="I362" s="676">
        <f t="shared" si="5"/>
        <v>0</v>
      </c>
    </row>
    <row r="363" spans="2:9" hidden="1">
      <c r="B363" s="228">
        <v>54112</v>
      </c>
      <c r="C363" s="202" t="s">
        <v>505</v>
      </c>
      <c r="D363" s="216"/>
      <c r="F363" s="640">
        <f>'desagregacion de ctas.'!F244</f>
        <v>0</v>
      </c>
      <c r="G363" s="644"/>
      <c r="H363" s="216"/>
      <c r="I363" s="676">
        <f t="shared" si="5"/>
        <v>0</v>
      </c>
    </row>
    <row r="364" spans="2:9" hidden="1">
      <c r="B364" s="228">
        <v>54114</v>
      </c>
      <c r="C364" s="202" t="s">
        <v>52</v>
      </c>
      <c r="D364" s="216"/>
      <c r="F364" s="640"/>
      <c r="G364" s="644"/>
      <c r="H364" s="216"/>
      <c r="I364" s="676">
        <f t="shared" si="5"/>
        <v>0</v>
      </c>
    </row>
    <row r="365" spans="2:9" hidden="1">
      <c r="B365" s="228">
        <v>54115</v>
      </c>
      <c r="C365" s="202" t="s">
        <v>506</v>
      </c>
      <c r="D365" s="216"/>
      <c r="F365" s="640"/>
      <c r="G365" s="644"/>
      <c r="H365" s="216"/>
      <c r="I365" s="676">
        <f t="shared" si="5"/>
        <v>0</v>
      </c>
    </row>
    <row r="366" spans="2:9" hidden="1">
      <c r="B366" s="228">
        <v>54116</v>
      </c>
      <c r="C366" s="202" t="s">
        <v>690</v>
      </c>
      <c r="D366" s="216"/>
      <c r="F366" s="640"/>
      <c r="G366" s="644"/>
      <c r="H366" s="216"/>
      <c r="I366" s="676">
        <f t="shared" si="5"/>
        <v>0</v>
      </c>
    </row>
    <row r="367" spans="2:9" hidden="1">
      <c r="B367" s="228">
        <v>54117</v>
      </c>
      <c r="C367" s="202" t="s">
        <v>962</v>
      </c>
      <c r="D367" s="216"/>
      <c r="F367" s="640"/>
      <c r="G367" s="644"/>
      <c r="H367" s="216"/>
      <c r="I367" s="676">
        <f t="shared" si="5"/>
        <v>0</v>
      </c>
    </row>
    <row r="368" spans="2:9" hidden="1">
      <c r="B368" s="228">
        <v>54118</v>
      </c>
      <c r="C368" s="202" t="s">
        <v>507</v>
      </c>
      <c r="D368" s="216"/>
      <c r="F368" s="640">
        <f>'desagregacion de ctas.'!F249</f>
        <v>0</v>
      </c>
      <c r="G368" s="644"/>
      <c r="H368" s="216"/>
      <c r="I368" s="676">
        <f t="shared" si="5"/>
        <v>0</v>
      </c>
    </row>
    <row r="369" spans="1:9" hidden="1">
      <c r="B369" s="228">
        <v>54119</v>
      </c>
      <c r="C369" s="202" t="s">
        <v>64</v>
      </c>
      <c r="D369" s="216"/>
      <c r="F369" s="640"/>
      <c r="G369" s="644"/>
      <c r="H369" s="216"/>
      <c r="I369" s="676">
        <f t="shared" si="5"/>
        <v>0</v>
      </c>
    </row>
    <row r="370" spans="1:9" hidden="1">
      <c r="B370" s="228">
        <v>54199</v>
      </c>
      <c r="C370" s="202" t="s">
        <v>50</v>
      </c>
      <c r="D370" s="216"/>
      <c r="F370" s="640">
        <f>'desagregacion de ctas.'!F252</f>
        <v>0</v>
      </c>
      <c r="G370" s="644"/>
      <c r="H370" s="216"/>
      <c r="I370" s="676">
        <f t="shared" si="5"/>
        <v>0</v>
      </c>
    </row>
    <row r="371" spans="1:9" s="628" customFormat="1" hidden="1">
      <c r="A371" s="285"/>
      <c r="B371" s="629">
        <v>542</v>
      </c>
      <c r="C371" s="285" t="s">
        <v>353</v>
      </c>
      <c r="D371" s="626"/>
      <c r="E371" s="668">
        <f>SUM(E372:E375)</f>
        <v>0</v>
      </c>
      <c r="F371" s="668">
        <f>SUM(F372:F375)</f>
        <v>0</v>
      </c>
      <c r="G371" s="668">
        <f>SUM(G372:G375)</f>
        <v>0</v>
      </c>
      <c r="H371" s="626"/>
      <c r="I371" s="678">
        <f t="shared" si="5"/>
        <v>0</v>
      </c>
    </row>
    <row r="372" spans="1:9" ht="15.75" hidden="1">
      <c r="B372" s="228">
        <v>54201</v>
      </c>
      <c r="C372" s="202" t="s">
        <v>195</v>
      </c>
      <c r="D372" s="216"/>
      <c r="E372" s="640"/>
      <c r="F372" s="640"/>
      <c r="G372" s="672"/>
      <c r="H372" s="216"/>
      <c r="I372" s="676">
        <f t="shared" si="5"/>
        <v>0</v>
      </c>
    </row>
    <row r="373" spans="1:9" hidden="1">
      <c r="B373" s="228">
        <v>54202</v>
      </c>
      <c r="C373" s="202" t="s">
        <v>508</v>
      </c>
      <c r="D373" s="216"/>
      <c r="F373" s="640"/>
      <c r="G373" s="644"/>
      <c r="H373" s="216"/>
      <c r="I373" s="676">
        <f t="shared" si="5"/>
        <v>0</v>
      </c>
    </row>
    <row r="374" spans="1:9" hidden="1">
      <c r="B374" s="228">
        <v>54203</v>
      </c>
      <c r="C374" s="202" t="s">
        <v>196</v>
      </c>
      <c r="D374" s="216"/>
      <c r="F374" s="640"/>
      <c r="G374" s="644"/>
      <c r="H374" s="216"/>
      <c r="I374" s="676">
        <f>SUM(E374:H374)</f>
        <v>0</v>
      </c>
    </row>
    <row r="375" spans="1:9" hidden="1">
      <c r="B375" s="233"/>
      <c r="C375" s="234"/>
      <c r="D375" s="226"/>
      <c r="E375" s="647"/>
      <c r="F375" s="648"/>
      <c r="G375" s="649"/>
      <c r="H375" s="226"/>
      <c r="I375" s="679"/>
    </row>
    <row r="376" spans="1:9" ht="15.75" hidden="1">
      <c r="B376" s="263"/>
      <c r="C376" s="230"/>
      <c r="F376" s="659"/>
      <c r="G376" s="672"/>
    </row>
    <row r="377" spans="1:9" ht="15.75" hidden="1">
      <c r="B377" s="263"/>
      <c r="C377" s="230"/>
      <c r="F377" s="659"/>
      <c r="G377" s="672"/>
    </row>
    <row r="378" spans="1:9" ht="15.75" hidden="1">
      <c r="B378" s="263"/>
      <c r="C378" s="230"/>
      <c r="F378" s="659"/>
      <c r="G378" s="672"/>
    </row>
    <row r="379" spans="1:9" ht="15.75" hidden="1">
      <c r="B379" s="263"/>
      <c r="C379" s="230"/>
      <c r="F379" s="659"/>
      <c r="G379" s="672"/>
    </row>
    <row r="380" spans="1:9" ht="15.75" hidden="1">
      <c r="B380" s="263"/>
      <c r="C380" s="230"/>
      <c r="F380" s="659"/>
      <c r="G380" s="672"/>
    </row>
    <row r="381" spans="1:9" ht="15.75" hidden="1">
      <c r="B381" s="263"/>
      <c r="C381" s="230"/>
      <c r="F381" s="659"/>
      <c r="G381" s="672"/>
    </row>
    <row r="382" spans="1:9" ht="15.75" hidden="1">
      <c r="B382" s="263"/>
      <c r="C382" s="230"/>
      <c r="F382" s="659"/>
      <c r="G382" s="672"/>
    </row>
    <row r="383" spans="1:9" ht="15.75" hidden="1">
      <c r="B383" s="263"/>
      <c r="C383" s="230"/>
      <c r="F383" s="659"/>
      <c r="G383" s="672"/>
    </row>
    <row r="384" spans="1:9" ht="15.75" hidden="1">
      <c r="B384" s="263"/>
      <c r="C384" s="230"/>
      <c r="F384" s="659"/>
      <c r="G384" s="672"/>
    </row>
    <row r="385" spans="1:9" ht="15.75" hidden="1">
      <c r="B385" s="263"/>
      <c r="C385" s="230"/>
      <c r="F385" s="659"/>
      <c r="G385" s="672"/>
    </row>
    <row r="386" spans="1:9" hidden="1">
      <c r="B386" s="1604" t="s">
        <v>950</v>
      </c>
      <c r="C386" s="1604"/>
      <c r="D386" s="1604"/>
      <c r="E386" s="1604"/>
      <c r="F386" s="1604"/>
      <c r="G386" s="1604"/>
      <c r="H386" s="1604"/>
      <c r="I386" s="1604"/>
    </row>
    <row r="387" spans="1:9" hidden="1">
      <c r="B387" s="1604" t="s">
        <v>336</v>
      </c>
      <c r="C387" s="1604"/>
      <c r="D387" s="1604"/>
      <c r="E387" s="1604"/>
      <c r="F387" s="1604"/>
      <c r="G387" s="1604"/>
      <c r="H387" s="1604"/>
      <c r="I387" s="1604"/>
    </row>
    <row r="388" spans="1:9" hidden="1">
      <c r="B388" s="1605" t="s">
        <v>742</v>
      </c>
      <c r="C388" s="1605"/>
      <c r="D388" s="1605"/>
      <c r="E388" s="1605"/>
      <c r="F388" s="1605"/>
      <c r="G388" s="1605"/>
      <c r="H388" s="1605"/>
      <c r="I388" s="1605"/>
    </row>
    <row r="389" spans="1:9" hidden="1">
      <c r="B389" s="1606" t="s">
        <v>1208</v>
      </c>
      <c r="C389" s="1607"/>
      <c r="D389" s="1607"/>
      <c r="E389" s="1607"/>
      <c r="F389" s="1607"/>
      <c r="G389" s="1607"/>
      <c r="H389" s="1607"/>
      <c r="I389" s="1608"/>
    </row>
    <row r="390" spans="1:9" hidden="1">
      <c r="B390" s="624" t="s">
        <v>983</v>
      </c>
      <c r="C390" s="617"/>
      <c r="D390" s="617"/>
      <c r="E390" s="633"/>
      <c r="F390" s="634"/>
      <c r="G390" s="635"/>
      <c r="H390" s="205"/>
      <c r="I390" s="206"/>
    </row>
    <row r="391" spans="1:9" hidden="1">
      <c r="B391" s="207" t="s">
        <v>338</v>
      </c>
      <c r="C391" s="206"/>
      <c r="D391" s="208"/>
      <c r="E391" s="1609" t="s">
        <v>362</v>
      </c>
      <c r="F391" s="1610"/>
      <c r="G391" s="1610"/>
      <c r="H391" s="1611"/>
      <c r="I391" s="1612" t="s">
        <v>967</v>
      </c>
    </row>
    <row r="392" spans="1:9" ht="12.75" hidden="1" customHeight="1">
      <c r="B392" s="1615" t="s">
        <v>947</v>
      </c>
      <c r="C392" s="1616"/>
      <c r="D392" s="1613" t="s">
        <v>371</v>
      </c>
      <c r="E392" s="1621" t="s">
        <v>963</v>
      </c>
      <c r="F392" s="1621" t="s">
        <v>964</v>
      </c>
      <c r="G392" s="1621" t="s">
        <v>965</v>
      </c>
      <c r="H392" s="1621" t="s">
        <v>966</v>
      </c>
      <c r="I392" s="1613"/>
    </row>
    <row r="393" spans="1:9" hidden="1">
      <c r="B393" s="1617"/>
      <c r="C393" s="1618"/>
      <c r="D393" s="1613"/>
      <c r="E393" s="1630"/>
      <c r="F393" s="1622"/>
      <c r="G393" s="1622"/>
      <c r="H393" s="1622"/>
      <c r="I393" s="1613"/>
    </row>
    <row r="394" spans="1:9" hidden="1">
      <c r="B394" s="1625" t="s">
        <v>340</v>
      </c>
      <c r="C394" s="1626"/>
      <c r="D394" s="1614"/>
      <c r="E394" s="683" t="s">
        <v>847</v>
      </c>
      <c r="F394" s="683" t="s">
        <v>850</v>
      </c>
      <c r="G394" s="683" t="s">
        <v>863</v>
      </c>
      <c r="H394" s="683" t="s">
        <v>867</v>
      </c>
      <c r="I394" s="1614"/>
    </row>
    <row r="395" spans="1:9" hidden="1">
      <c r="B395" s="208"/>
      <c r="C395" s="213"/>
      <c r="D395" s="208"/>
      <c r="E395" s="636"/>
      <c r="F395" s="637"/>
      <c r="G395" s="638"/>
      <c r="H395" s="208"/>
      <c r="I395" s="214"/>
    </row>
    <row r="396" spans="1:9" hidden="1">
      <c r="B396" s="216"/>
      <c r="D396" s="216"/>
      <c r="F396" s="640"/>
      <c r="H396" s="215"/>
      <c r="I396" s="215"/>
    </row>
    <row r="397" spans="1:9" s="628" customFormat="1" hidden="1">
      <c r="A397" s="285"/>
      <c r="B397" s="692">
        <v>543</v>
      </c>
      <c r="C397" s="691" t="s">
        <v>509</v>
      </c>
      <c r="D397" s="626"/>
      <c r="E397" s="693">
        <f>SUM(E398:E406)</f>
        <v>0</v>
      </c>
      <c r="F397" s="697">
        <f>SUM(F398:F406)</f>
        <v>0</v>
      </c>
      <c r="G397" s="693">
        <f>SUM(G398:G406)</f>
        <v>0</v>
      </c>
      <c r="H397" s="697">
        <f>SUM(H398:H406)</f>
        <v>0</v>
      </c>
      <c r="I397" s="694">
        <f t="shared" ref="I397:I437" si="6">SUM(E397:H397)</f>
        <v>0</v>
      </c>
    </row>
    <row r="398" spans="1:9" hidden="1">
      <c r="B398" s="228">
        <v>54301</v>
      </c>
      <c r="C398" s="216" t="s">
        <v>510</v>
      </c>
      <c r="D398" s="216"/>
      <c r="E398" s="646"/>
      <c r="F398" s="640">
        <f>'desagregacion de ctas.'!F258</f>
        <v>0</v>
      </c>
      <c r="G398" s="640"/>
      <c r="H398" s="216">
        <f>'desagregacion de ctas.'!K258</f>
        <v>0</v>
      </c>
      <c r="I398" s="238">
        <f t="shared" si="6"/>
        <v>0</v>
      </c>
    </row>
    <row r="399" spans="1:9" hidden="1">
      <c r="B399" s="228">
        <v>54302</v>
      </c>
      <c r="C399" s="216" t="s">
        <v>955</v>
      </c>
      <c r="D399" s="216"/>
      <c r="E399" s="646"/>
      <c r="F399" s="640"/>
      <c r="G399" s="640"/>
      <c r="H399" s="216"/>
      <c r="I399" s="238">
        <f t="shared" si="6"/>
        <v>0</v>
      </c>
    </row>
    <row r="400" spans="1:9" hidden="1">
      <c r="B400" s="228">
        <v>54304</v>
      </c>
      <c r="C400" s="216" t="s">
        <v>44</v>
      </c>
      <c r="D400" s="216"/>
      <c r="E400" s="646"/>
      <c r="F400" s="640">
        <f>'desagregacion de ctas.'!F261</f>
        <v>0</v>
      </c>
      <c r="G400" s="640"/>
      <c r="H400" s="216"/>
      <c r="I400" s="238">
        <f t="shared" si="6"/>
        <v>0</v>
      </c>
    </row>
    <row r="401" spans="1:9" hidden="1">
      <c r="B401" s="228">
        <v>54305</v>
      </c>
      <c r="C401" s="216" t="s">
        <v>956</v>
      </c>
      <c r="D401" s="216"/>
      <c r="E401" s="646"/>
      <c r="F401" s="640"/>
      <c r="G401" s="640"/>
      <c r="H401" s="216"/>
      <c r="I401" s="238">
        <f t="shared" si="6"/>
        <v>0</v>
      </c>
    </row>
    <row r="402" spans="1:9" hidden="1">
      <c r="B402" s="228">
        <v>54310</v>
      </c>
      <c r="C402" s="216" t="s">
        <v>511</v>
      </c>
      <c r="D402" s="216"/>
      <c r="E402" s="646"/>
      <c r="F402" s="640"/>
      <c r="G402" s="640"/>
      <c r="H402" s="216"/>
      <c r="I402" s="238">
        <f t="shared" si="6"/>
        <v>0</v>
      </c>
    </row>
    <row r="403" spans="1:9" hidden="1">
      <c r="B403" s="228">
        <v>54313</v>
      </c>
      <c r="C403" s="216" t="s">
        <v>512</v>
      </c>
      <c r="D403" s="216"/>
      <c r="E403" s="646"/>
      <c r="F403" s="640"/>
      <c r="G403" s="640"/>
      <c r="H403" s="216"/>
      <c r="I403" s="238">
        <f t="shared" si="6"/>
        <v>0</v>
      </c>
    </row>
    <row r="404" spans="1:9" hidden="1">
      <c r="B404" s="228">
        <v>54314</v>
      </c>
      <c r="C404" s="216" t="s">
        <v>360</v>
      </c>
      <c r="D404" s="216"/>
      <c r="E404" s="646"/>
      <c r="F404" s="640"/>
      <c r="G404" s="640"/>
      <c r="H404" s="216"/>
      <c r="I404" s="238">
        <f t="shared" si="6"/>
        <v>0</v>
      </c>
    </row>
    <row r="405" spans="1:9" hidden="1">
      <c r="B405" s="228">
        <v>54317</v>
      </c>
      <c r="C405" s="216" t="s">
        <v>157</v>
      </c>
      <c r="D405" s="216"/>
      <c r="E405" s="646"/>
      <c r="F405" s="640"/>
      <c r="G405" s="640"/>
      <c r="H405" s="216"/>
      <c r="I405" s="238">
        <f t="shared" si="6"/>
        <v>0</v>
      </c>
    </row>
    <row r="406" spans="1:9" hidden="1">
      <c r="B406" s="228">
        <v>54399</v>
      </c>
      <c r="C406" s="216" t="s">
        <v>513</v>
      </c>
      <c r="D406" s="216"/>
      <c r="E406" s="646"/>
      <c r="F406" s="640">
        <f>'desagregacion de ctas.'!F279</f>
        <v>0</v>
      </c>
      <c r="G406" s="640"/>
      <c r="H406" s="216"/>
      <c r="I406" s="238">
        <f t="shared" si="6"/>
        <v>0</v>
      </c>
    </row>
    <row r="407" spans="1:9" hidden="1">
      <c r="B407" s="283"/>
      <c r="C407" s="283"/>
      <c r="D407" s="216"/>
      <c r="E407" s="646"/>
      <c r="F407" s="640"/>
      <c r="G407" s="640"/>
      <c r="H407" s="216"/>
      <c r="I407" s="238">
        <f t="shared" si="6"/>
        <v>0</v>
      </c>
    </row>
    <row r="408" spans="1:9" s="628" customFormat="1" hidden="1">
      <c r="A408" s="285"/>
      <c r="B408" s="629">
        <v>544</v>
      </c>
      <c r="C408" s="626" t="s">
        <v>354</v>
      </c>
      <c r="D408" s="626"/>
      <c r="E408" s="690">
        <f>SUM(E409:E412)</f>
        <v>0</v>
      </c>
      <c r="F408" s="668">
        <f>SUM(F409:F412)</f>
        <v>0</v>
      </c>
      <c r="G408" s="668">
        <f>SUM(G409:G412)</f>
        <v>0</v>
      </c>
      <c r="H408" s="626"/>
      <c r="I408" s="627">
        <f t="shared" si="6"/>
        <v>0</v>
      </c>
    </row>
    <row r="409" spans="1:9" hidden="1">
      <c r="B409" s="228">
        <v>54401</v>
      </c>
      <c r="C409" s="216" t="s">
        <v>198</v>
      </c>
      <c r="D409" s="216"/>
      <c r="E409" s="646"/>
      <c r="F409" s="640"/>
      <c r="G409" s="640"/>
      <c r="H409" s="216"/>
      <c r="I409" s="238">
        <f t="shared" si="6"/>
        <v>0</v>
      </c>
    </row>
    <row r="410" spans="1:9" hidden="1">
      <c r="B410" s="228">
        <v>54402</v>
      </c>
      <c r="C410" s="216" t="s">
        <v>957</v>
      </c>
      <c r="D410" s="216"/>
      <c r="E410" s="646"/>
      <c r="F410" s="640"/>
      <c r="G410" s="640"/>
      <c r="H410" s="216"/>
      <c r="I410" s="238">
        <f t="shared" si="6"/>
        <v>0</v>
      </c>
    </row>
    <row r="411" spans="1:9" hidden="1">
      <c r="B411" s="228">
        <v>54403</v>
      </c>
      <c r="C411" s="216" t="s">
        <v>689</v>
      </c>
      <c r="D411" s="216"/>
      <c r="E411" s="646"/>
      <c r="F411" s="640"/>
      <c r="G411" s="640"/>
      <c r="H411" s="216"/>
      <c r="I411" s="238">
        <f t="shared" si="6"/>
        <v>0</v>
      </c>
    </row>
    <row r="412" spans="1:9" hidden="1">
      <c r="B412" s="228">
        <v>54404</v>
      </c>
      <c r="C412" s="216" t="s">
        <v>958</v>
      </c>
      <c r="D412" s="216"/>
      <c r="E412" s="646"/>
      <c r="F412" s="640"/>
      <c r="G412" s="640"/>
      <c r="H412" s="216"/>
      <c r="I412" s="238">
        <f t="shared" si="6"/>
        <v>0</v>
      </c>
    </row>
    <row r="413" spans="1:9" s="628" customFormat="1" hidden="1">
      <c r="A413" s="285"/>
      <c r="B413" s="629">
        <v>545</v>
      </c>
      <c r="C413" s="626" t="s">
        <v>514</v>
      </c>
      <c r="D413" s="626"/>
      <c r="E413" s="690">
        <f>E414</f>
        <v>0</v>
      </c>
      <c r="F413" s="668">
        <f>F414</f>
        <v>0</v>
      </c>
      <c r="G413" s="668">
        <f>G414</f>
        <v>0</v>
      </c>
      <c r="H413" s="626"/>
      <c r="I413" s="627">
        <f t="shared" si="6"/>
        <v>0</v>
      </c>
    </row>
    <row r="414" spans="1:9" hidden="1">
      <c r="B414" s="228">
        <v>54503</v>
      </c>
      <c r="C414" s="216" t="s">
        <v>515</v>
      </c>
      <c r="D414" s="216"/>
      <c r="E414" s="646"/>
      <c r="F414" s="640"/>
      <c r="G414" s="640"/>
      <c r="H414" s="216"/>
      <c r="I414" s="238">
        <f t="shared" si="6"/>
        <v>0</v>
      </c>
    </row>
    <row r="415" spans="1:9" hidden="1">
      <c r="B415" s="228"/>
      <c r="C415" s="216"/>
      <c r="D415" s="216"/>
      <c r="E415" s="646"/>
      <c r="F415" s="640"/>
      <c r="G415" s="640"/>
      <c r="H415" s="216"/>
      <c r="I415" s="238">
        <f t="shared" si="6"/>
        <v>0</v>
      </c>
    </row>
    <row r="416" spans="1:9" s="628" customFormat="1" hidden="1">
      <c r="A416" s="285"/>
      <c r="B416" s="629">
        <v>546</v>
      </c>
      <c r="C416" s="626" t="s">
        <v>972</v>
      </c>
      <c r="D416" s="626"/>
      <c r="E416" s="684"/>
      <c r="F416" s="668">
        <f>F417</f>
        <v>0</v>
      </c>
      <c r="G416" s="668"/>
      <c r="H416" s="626"/>
      <c r="I416" s="627">
        <f t="shared" si="6"/>
        <v>0</v>
      </c>
    </row>
    <row r="417" spans="1:9" hidden="1">
      <c r="B417" s="228">
        <v>54602</v>
      </c>
      <c r="C417" s="216" t="s">
        <v>973</v>
      </c>
      <c r="D417" s="216"/>
      <c r="E417" s="646"/>
      <c r="F417" s="640">
        <f>'desagregacion de ctas.'!F294</f>
        <v>0</v>
      </c>
      <c r="G417" s="640"/>
      <c r="H417" s="216"/>
      <c r="I417" s="238">
        <f t="shared" si="6"/>
        <v>0</v>
      </c>
    </row>
    <row r="418" spans="1:9" hidden="1">
      <c r="B418" s="228"/>
      <c r="C418" s="216"/>
      <c r="D418" s="216"/>
      <c r="E418" s="646"/>
      <c r="F418" s="640"/>
      <c r="G418" s="640"/>
      <c r="H418" s="216"/>
      <c r="I418" s="238"/>
    </row>
    <row r="419" spans="1:9" s="628" customFormat="1">
      <c r="A419" s="285"/>
      <c r="B419" s="629">
        <v>55</v>
      </c>
      <c r="C419" s="626" t="s">
        <v>355</v>
      </c>
      <c r="D419" s="626"/>
      <c r="E419" s="684">
        <f>E426</f>
        <v>0</v>
      </c>
      <c r="F419" s="681">
        <f>F426</f>
        <v>0</v>
      </c>
      <c r="G419" s="681">
        <f>G426+G420</f>
        <v>494169.26</v>
      </c>
      <c r="H419" s="626"/>
      <c r="I419" s="627">
        <f t="shared" si="6"/>
        <v>494169.26</v>
      </c>
    </row>
    <row r="420" spans="1:9" s="628" customFormat="1">
      <c r="A420" s="285"/>
      <c r="B420" s="629">
        <v>553</v>
      </c>
      <c r="C420" s="626" t="s">
        <v>975</v>
      </c>
      <c r="D420" s="626"/>
      <c r="E420" s="684"/>
      <c r="F420" s="681"/>
      <c r="G420" s="681">
        <f>SUM(G421:G423)</f>
        <v>494169.26</v>
      </c>
      <c r="H420" s="626"/>
      <c r="I420" s="627">
        <f t="shared" si="6"/>
        <v>494169.26</v>
      </c>
    </row>
    <row r="421" spans="1:9" s="689" customFormat="1">
      <c r="A421" s="7"/>
      <c r="B421" s="776">
        <v>55302</v>
      </c>
      <c r="C421" s="775" t="s">
        <v>1164</v>
      </c>
      <c r="D421" s="775"/>
      <c r="E421" s="777"/>
      <c r="F421" s="778"/>
      <c r="G421" s="778">
        <f>'desagregacion de ctas.'!H297</f>
        <v>8423.7800000000007</v>
      </c>
      <c r="H421" s="775"/>
      <c r="I421" s="779">
        <f t="shared" si="6"/>
        <v>8423.7800000000007</v>
      </c>
    </row>
    <row r="422" spans="1:9" ht="13.5">
      <c r="B422" s="688">
        <v>55304</v>
      </c>
      <c r="C422" s="224" t="s">
        <v>976</v>
      </c>
      <c r="D422" s="216"/>
      <c r="E422" s="646"/>
      <c r="F422" s="660"/>
      <c r="G422" s="660">
        <f>'desagregacion de ctas.'!H298</f>
        <v>485745.48</v>
      </c>
      <c r="H422" s="216"/>
      <c r="I422" s="237">
        <f t="shared" si="6"/>
        <v>485745.48</v>
      </c>
    </row>
    <row r="423" spans="1:9" ht="13.5">
      <c r="B423" s="688">
        <v>55308</v>
      </c>
      <c r="C423" s="224" t="s">
        <v>46</v>
      </c>
      <c r="D423" s="216"/>
      <c r="E423" s="646"/>
      <c r="F423" s="660"/>
      <c r="G423" s="660">
        <f>'desagregacion de ctas.'!H299</f>
        <v>0</v>
      </c>
      <c r="H423" s="216"/>
      <c r="I423" s="237">
        <f t="shared" si="6"/>
        <v>0</v>
      </c>
    </row>
    <row r="424" spans="1:9" ht="13.5" hidden="1">
      <c r="B424" s="231"/>
      <c r="C424" s="220"/>
      <c r="D424" s="223"/>
      <c r="E424" s="695"/>
      <c r="F424" s="673"/>
      <c r="G424" s="673"/>
      <c r="H424" s="223"/>
      <c r="I424" s="238"/>
    </row>
    <row r="425" spans="1:9" ht="13.5" hidden="1">
      <c r="B425" s="231"/>
      <c r="C425" s="220"/>
      <c r="D425" s="223"/>
      <c r="E425" s="695"/>
      <c r="F425" s="673"/>
      <c r="G425" s="673"/>
      <c r="H425" s="223"/>
      <c r="I425" s="238"/>
    </row>
    <row r="426" spans="1:9" s="628" customFormat="1" hidden="1">
      <c r="A426" s="285"/>
      <c r="B426" s="629">
        <v>556</v>
      </c>
      <c r="C426" s="626" t="s">
        <v>699</v>
      </c>
      <c r="D426" s="626"/>
      <c r="E426" s="684">
        <f>SUM(E427:E428)</f>
        <v>0</v>
      </c>
      <c r="F426" s="681">
        <f>SUM(F427:F428)</f>
        <v>0</v>
      </c>
      <c r="G426" s="681">
        <f>SUM(G427:G428)</f>
        <v>0</v>
      </c>
      <c r="H426" s="626"/>
      <c r="I426" s="627">
        <f t="shared" si="6"/>
        <v>0</v>
      </c>
    </row>
    <row r="427" spans="1:9" hidden="1">
      <c r="B427" s="228">
        <v>55602</v>
      </c>
      <c r="C427" s="216" t="s">
        <v>570</v>
      </c>
      <c r="D427" s="216"/>
      <c r="E427" s="646"/>
      <c r="F427" s="640"/>
      <c r="G427" s="640"/>
      <c r="H427" s="216"/>
      <c r="I427" s="238">
        <f t="shared" si="6"/>
        <v>0</v>
      </c>
    </row>
    <row r="428" spans="1:9" hidden="1">
      <c r="B428" s="228">
        <v>55603</v>
      </c>
      <c r="C428" s="216" t="s">
        <v>737</v>
      </c>
      <c r="D428" s="216"/>
      <c r="E428" s="646"/>
      <c r="F428" s="640"/>
      <c r="G428" s="640"/>
      <c r="H428" s="216"/>
      <c r="I428" s="238">
        <f t="shared" si="6"/>
        <v>0</v>
      </c>
    </row>
    <row r="429" spans="1:9" hidden="1">
      <c r="B429" s="228"/>
      <c r="C429" s="216"/>
      <c r="D429" s="216"/>
      <c r="E429" s="646"/>
      <c r="F429" s="640"/>
      <c r="G429" s="640"/>
      <c r="H429" s="216"/>
      <c r="I429" s="238">
        <f t="shared" si="6"/>
        <v>0</v>
      </c>
    </row>
    <row r="430" spans="1:9" s="628" customFormat="1" hidden="1">
      <c r="A430" s="285"/>
      <c r="B430" s="629">
        <v>56</v>
      </c>
      <c r="C430" s="626" t="s">
        <v>307</v>
      </c>
      <c r="D430" s="626"/>
      <c r="E430" s="684">
        <f>E431+E433</f>
        <v>0</v>
      </c>
      <c r="F430" s="681">
        <f>F431+F433</f>
        <v>0</v>
      </c>
      <c r="G430" s="681">
        <f>G431+G433</f>
        <v>0</v>
      </c>
      <c r="H430" s="626"/>
      <c r="I430" s="627">
        <f t="shared" si="6"/>
        <v>0</v>
      </c>
    </row>
    <row r="431" spans="1:9" s="628" customFormat="1" hidden="1">
      <c r="A431" s="285"/>
      <c r="B431" s="629">
        <v>562</v>
      </c>
      <c r="C431" s="626" t="s">
        <v>271</v>
      </c>
      <c r="D431" s="626"/>
      <c r="E431" s="684"/>
      <c r="F431" s="668"/>
      <c r="G431" s="668"/>
      <c r="H431" s="626"/>
      <c r="I431" s="627">
        <f t="shared" si="6"/>
        <v>0</v>
      </c>
    </row>
    <row r="432" spans="1:9" hidden="1">
      <c r="B432" s="228">
        <v>56201</v>
      </c>
      <c r="C432" s="216" t="s">
        <v>291</v>
      </c>
      <c r="D432" s="216"/>
      <c r="E432" s="646"/>
      <c r="F432" s="640"/>
      <c r="G432" s="640"/>
      <c r="H432" s="216"/>
      <c r="I432" s="238">
        <f t="shared" si="6"/>
        <v>0</v>
      </c>
    </row>
    <row r="433" spans="1:9" s="628" customFormat="1" hidden="1">
      <c r="A433" s="285"/>
      <c r="B433" s="629">
        <v>563</v>
      </c>
      <c r="C433" s="626" t="s">
        <v>272</v>
      </c>
      <c r="D433" s="626"/>
      <c r="E433" s="684">
        <f>SUM(E434:E436)</f>
        <v>0</v>
      </c>
      <c r="F433" s="668"/>
      <c r="G433" s="668"/>
      <c r="H433" s="626"/>
      <c r="I433" s="627">
        <f t="shared" si="6"/>
        <v>0</v>
      </c>
    </row>
    <row r="434" spans="1:9" hidden="1">
      <c r="B434" s="228">
        <v>56303</v>
      </c>
      <c r="C434" s="216" t="s">
        <v>494</v>
      </c>
      <c r="D434" s="216"/>
      <c r="E434" s="646"/>
      <c r="F434" s="640"/>
      <c r="G434" s="640"/>
      <c r="H434" s="216"/>
      <c r="I434" s="238">
        <f t="shared" si="6"/>
        <v>0</v>
      </c>
    </row>
    <row r="435" spans="1:9" hidden="1">
      <c r="B435" s="228">
        <v>56304</v>
      </c>
      <c r="C435" s="216" t="s">
        <v>212</v>
      </c>
      <c r="D435" s="216"/>
      <c r="E435" s="646"/>
      <c r="F435" s="640"/>
      <c r="G435" s="640"/>
      <c r="H435" s="216"/>
      <c r="I435" s="238">
        <f t="shared" si="6"/>
        <v>0</v>
      </c>
    </row>
    <row r="436" spans="1:9" hidden="1">
      <c r="B436" s="228">
        <v>56305</v>
      </c>
      <c r="C436" s="216" t="s">
        <v>738</v>
      </c>
      <c r="D436" s="216"/>
      <c r="E436" s="646"/>
      <c r="F436" s="640"/>
      <c r="G436" s="640"/>
      <c r="H436" s="216"/>
      <c r="I436" s="238">
        <f t="shared" si="6"/>
        <v>0</v>
      </c>
    </row>
    <row r="437" spans="1:9" hidden="1">
      <c r="B437" s="228"/>
      <c r="C437" s="216"/>
      <c r="D437" s="216"/>
      <c r="E437" s="646"/>
      <c r="F437" s="640"/>
      <c r="G437" s="640"/>
      <c r="H437" s="216"/>
      <c r="I437" s="238">
        <f t="shared" si="6"/>
        <v>0</v>
      </c>
    </row>
    <row r="438" spans="1:9" s="628" customFormat="1">
      <c r="A438" s="285"/>
      <c r="B438" s="629">
        <v>61</v>
      </c>
      <c r="C438" s="626" t="s">
        <v>361</v>
      </c>
      <c r="D438" s="626"/>
      <c r="E438" s="684">
        <f>E444</f>
        <v>78928.926000000007</v>
      </c>
      <c r="F438" s="681">
        <f>F439+F442+F447</f>
        <v>410260.86</v>
      </c>
      <c r="G438" s="681">
        <f>G439+G442+G447</f>
        <v>0</v>
      </c>
      <c r="H438" s="681">
        <f>H439+H442+H454+H447</f>
        <v>176000</v>
      </c>
      <c r="I438" s="627">
        <f t="shared" ref="I438:I463" si="7">SUM(E438:H438)</f>
        <v>665189.78599999996</v>
      </c>
    </row>
    <row r="439" spans="1:9" s="628" customFormat="1" hidden="1">
      <c r="A439" s="285"/>
      <c r="B439" s="629">
        <v>611</v>
      </c>
      <c r="C439" s="626" t="s">
        <v>206</v>
      </c>
      <c r="D439" s="626"/>
      <c r="E439" s="684">
        <f>SUM(E440:E441)</f>
        <v>0</v>
      </c>
      <c r="F439" s="681">
        <f>SUM(F440:F441)</f>
        <v>0</v>
      </c>
      <c r="G439" s="681">
        <f>SUM(G440:G441)</f>
        <v>0</v>
      </c>
      <c r="H439" s="681">
        <f>SUM(H440:H441)</f>
        <v>0</v>
      </c>
      <c r="I439" s="627">
        <f t="shared" si="7"/>
        <v>0</v>
      </c>
    </row>
    <row r="440" spans="1:9" hidden="1">
      <c r="B440" s="228">
        <v>61104</v>
      </c>
      <c r="C440" s="216" t="s">
        <v>213</v>
      </c>
      <c r="D440" s="216"/>
      <c r="E440" s="646"/>
      <c r="F440" s="640"/>
      <c r="G440" s="640"/>
      <c r="H440" s="237"/>
      <c r="I440" s="238">
        <f t="shared" si="7"/>
        <v>0</v>
      </c>
    </row>
    <row r="441" spans="1:9" hidden="1">
      <c r="B441" s="228">
        <v>61199</v>
      </c>
      <c r="C441" s="216" t="s">
        <v>259</v>
      </c>
      <c r="D441" s="216"/>
      <c r="E441" s="646"/>
      <c r="F441" s="640"/>
      <c r="G441" s="640"/>
      <c r="H441" s="237"/>
      <c r="I441" s="238">
        <f t="shared" si="7"/>
        <v>0</v>
      </c>
    </row>
    <row r="442" spans="1:9" s="628" customFormat="1" hidden="1">
      <c r="A442" s="285"/>
      <c r="B442" s="629">
        <v>612</v>
      </c>
      <c r="C442" s="626" t="s">
        <v>970</v>
      </c>
      <c r="D442" s="626"/>
      <c r="E442" s="684"/>
      <c r="F442" s="668"/>
      <c r="G442" s="668"/>
      <c r="H442" s="627"/>
      <c r="I442" s="627">
        <f t="shared" si="7"/>
        <v>0</v>
      </c>
    </row>
    <row r="443" spans="1:9" hidden="1">
      <c r="B443" s="228">
        <v>61201</v>
      </c>
      <c r="C443" s="216" t="s">
        <v>72</v>
      </c>
      <c r="D443" s="216"/>
      <c r="E443" s="646"/>
      <c r="F443" s="640"/>
      <c r="G443" s="640"/>
      <c r="H443" s="237"/>
      <c r="I443" s="238">
        <f t="shared" si="7"/>
        <v>0</v>
      </c>
    </row>
    <row r="444" spans="1:9" s="628" customFormat="1">
      <c r="A444" s="285"/>
      <c r="B444" s="629">
        <v>615</v>
      </c>
      <c r="C444" s="626" t="s">
        <v>969</v>
      </c>
      <c r="D444" s="626"/>
      <c r="E444" s="684">
        <f>E445</f>
        <v>78928.926000000007</v>
      </c>
      <c r="F444" s="681">
        <f>F445</f>
        <v>0</v>
      </c>
      <c r="G444" s="668"/>
      <c r="H444" s="627"/>
      <c r="I444" s="627">
        <f t="shared" si="7"/>
        <v>78928.926000000007</v>
      </c>
    </row>
    <row r="445" spans="1:9">
      <c r="B445" s="228">
        <v>61599</v>
      </c>
      <c r="C445" s="216" t="s">
        <v>968</v>
      </c>
      <c r="D445" s="216"/>
      <c r="E445" s="646">
        <f>'desagregacion de ctas.'!D318</f>
        <v>78928.926000000007</v>
      </c>
      <c r="F445" s="640"/>
      <c r="G445" s="640"/>
      <c r="H445" s="237"/>
      <c r="I445" s="238">
        <f t="shared" si="7"/>
        <v>78928.926000000007</v>
      </c>
    </row>
    <row r="446" spans="1:9" hidden="1">
      <c r="B446" s="228"/>
      <c r="C446" s="216"/>
      <c r="D446" s="216"/>
      <c r="E446" s="646"/>
      <c r="F446" s="640"/>
      <c r="G446" s="640"/>
      <c r="H446" s="237"/>
      <c r="I446" s="238"/>
    </row>
    <row r="447" spans="1:9" s="689" customFormat="1">
      <c r="A447" s="7"/>
      <c r="B447" s="629">
        <v>616</v>
      </c>
      <c r="C447" s="626" t="s">
        <v>270</v>
      </c>
      <c r="D447" s="626"/>
      <c r="E447" s="684"/>
      <c r="F447" s="668">
        <f>SUM(F448:F454)</f>
        <v>410260.86</v>
      </c>
      <c r="G447" s="668"/>
      <c r="H447" s="627">
        <f>SUM(H448:H454)</f>
        <v>176000</v>
      </c>
      <c r="I447" s="627">
        <f t="shared" si="7"/>
        <v>586260.86</v>
      </c>
    </row>
    <row r="448" spans="1:9" ht="13.5">
      <c r="B448" s="228">
        <v>61601</v>
      </c>
      <c r="C448" s="216" t="s">
        <v>981</v>
      </c>
      <c r="D448" s="216"/>
      <c r="E448" s="646"/>
      <c r="F448" s="640"/>
      <c r="G448" s="640"/>
      <c r="H448" s="237">
        <f>'desagregacion de ctas.'!K319</f>
        <v>176000</v>
      </c>
      <c r="I448" s="779">
        <f t="shared" si="7"/>
        <v>176000</v>
      </c>
    </row>
    <row r="449" spans="1:9" ht="13.5">
      <c r="B449" s="228">
        <v>61602</v>
      </c>
      <c r="C449" s="216" t="s">
        <v>1138</v>
      </c>
      <c r="D449" s="216"/>
      <c r="E449" s="646"/>
      <c r="F449" s="640">
        <f>'desagregacion de ctas.'!F320</f>
        <v>77760.86</v>
      </c>
      <c r="G449" s="640"/>
      <c r="H449" s="237"/>
      <c r="I449" s="627">
        <f t="shared" si="7"/>
        <v>77760.86</v>
      </c>
    </row>
    <row r="450" spans="1:9" ht="13.5">
      <c r="B450" s="228">
        <v>61603</v>
      </c>
      <c r="C450" s="216" t="s">
        <v>974</v>
      </c>
      <c r="D450" s="216"/>
      <c r="E450" s="646"/>
      <c r="F450" s="640">
        <f>'desagregacion de ctas.'!F321</f>
        <v>111000</v>
      </c>
      <c r="G450" s="640"/>
      <c r="H450" s="237"/>
      <c r="I450" s="779">
        <f t="shared" si="7"/>
        <v>111000</v>
      </c>
    </row>
    <row r="451" spans="1:9" ht="13.5" hidden="1">
      <c r="B451" s="228">
        <v>61606</v>
      </c>
      <c r="C451" s="216" t="s">
        <v>1185</v>
      </c>
      <c r="D451" s="216"/>
      <c r="E451" s="646"/>
      <c r="F451" s="640"/>
      <c r="G451" s="640"/>
      <c r="H451" s="237">
        <f>'desagregacion de ctas.'!K324</f>
        <v>0</v>
      </c>
      <c r="I451" s="779">
        <f t="shared" si="7"/>
        <v>0</v>
      </c>
    </row>
    <row r="452" spans="1:9" hidden="1">
      <c r="B452" s="228">
        <v>61607</v>
      </c>
      <c r="C452" s="216" t="s">
        <v>528</v>
      </c>
      <c r="D452" s="216"/>
      <c r="E452" s="646"/>
      <c r="F452" s="640">
        <f>'desagregacion de ctas.'!F322</f>
        <v>0</v>
      </c>
      <c r="G452" s="640"/>
      <c r="H452" s="237">
        <f>'desagregacion de ctas.'!K323</f>
        <v>0</v>
      </c>
      <c r="I452" s="237">
        <f t="shared" si="7"/>
        <v>0</v>
      </c>
    </row>
    <row r="453" spans="1:9" hidden="1">
      <c r="B453" s="228">
        <v>61608</v>
      </c>
      <c r="C453" s="216" t="s">
        <v>941</v>
      </c>
      <c r="D453" s="216"/>
      <c r="E453" s="646"/>
      <c r="F453" s="640">
        <f>'desagregacion de ctas.'!F325</f>
        <v>0</v>
      </c>
      <c r="G453" s="640"/>
      <c r="H453" s="237">
        <f>'desagregacion de ctas.'!K325</f>
        <v>0</v>
      </c>
      <c r="I453" s="237">
        <f t="shared" si="7"/>
        <v>0</v>
      </c>
    </row>
    <row r="454" spans="1:9">
      <c r="B454" s="228">
        <v>61699</v>
      </c>
      <c r="C454" s="216" t="s">
        <v>982</v>
      </c>
      <c r="D454" s="216"/>
      <c r="E454" s="646"/>
      <c r="F454" s="640">
        <f>'desagregacion de ctas.'!F326</f>
        <v>221500</v>
      </c>
      <c r="G454" s="640"/>
      <c r="H454" s="237">
        <f>'desagregacion de ctas.'!H448</f>
        <v>0</v>
      </c>
      <c r="I454" s="237">
        <f t="shared" si="7"/>
        <v>221500</v>
      </c>
    </row>
    <row r="455" spans="1:9" hidden="1">
      <c r="B455" s="228"/>
      <c r="C455" s="216"/>
      <c r="D455" s="216"/>
      <c r="E455" s="646"/>
      <c r="F455" s="640"/>
      <c r="G455" s="640"/>
      <c r="H455" s="237"/>
      <c r="I455" s="238"/>
    </row>
    <row r="456" spans="1:9" s="628" customFormat="1">
      <c r="A456" s="285"/>
      <c r="B456" s="629">
        <v>71</v>
      </c>
      <c r="C456" s="626" t="s">
        <v>977</v>
      </c>
      <c r="D456" s="626"/>
      <c r="E456" s="684"/>
      <c r="F456" s="668"/>
      <c r="G456" s="668">
        <f>G457</f>
        <v>323830.32</v>
      </c>
      <c r="H456" s="627"/>
      <c r="I456" s="627">
        <f t="shared" si="7"/>
        <v>323830.32</v>
      </c>
    </row>
    <row r="457" spans="1:9" s="628" customFormat="1">
      <c r="A457" s="285"/>
      <c r="B457" s="629">
        <v>713</v>
      </c>
      <c r="C457" s="626" t="s">
        <v>978</v>
      </c>
      <c r="D457" s="626"/>
      <c r="E457" s="684"/>
      <c r="F457" s="668"/>
      <c r="G457" s="668">
        <f>SUM(G458:G459)</f>
        <v>323830.32</v>
      </c>
      <c r="H457" s="627"/>
      <c r="I457" s="627">
        <f t="shared" si="7"/>
        <v>323830.32</v>
      </c>
    </row>
    <row r="458" spans="1:9">
      <c r="B458" s="228">
        <v>71304</v>
      </c>
      <c r="C458" s="216" t="s">
        <v>979</v>
      </c>
      <c r="D458" s="216"/>
      <c r="E458" s="646"/>
      <c r="F458" s="640"/>
      <c r="G458" s="640">
        <f>'desagregacion de ctas.'!H327</f>
        <v>323830.32</v>
      </c>
      <c r="H458" s="237"/>
      <c r="I458" s="237">
        <f t="shared" si="7"/>
        <v>323830.32</v>
      </c>
    </row>
    <row r="459" spans="1:9">
      <c r="B459" s="228">
        <v>71308</v>
      </c>
      <c r="C459" s="216" t="s">
        <v>980</v>
      </c>
      <c r="D459" s="216"/>
      <c r="E459" s="646"/>
      <c r="F459" s="640"/>
      <c r="G459" s="640">
        <f>'desagregacion de ctas.'!H328</f>
        <v>0</v>
      </c>
      <c r="H459" s="237"/>
      <c r="I459" s="237">
        <f t="shared" si="7"/>
        <v>0</v>
      </c>
    </row>
    <row r="460" spans="1:9" hidden="1">
      <c r="B460" s="228"/>
      <c r="C460" s="216"/>
      <c r="D460" s="216"/>
      <c r="E460" s="646"/>
      <c r="F460" s="640"/>
      <c r="G460" s="640"/>
      <c r="H460" s="237"/>
      <c r="I460" s="237"/>
    </row>
    <row r="461" spans="1:9" ht="13.5" hidden="1">
      <c r="B461" s="231">
        <v>72</v>
      </c>
      <c r="C461" s="220" t="s">
        <v>529</v>
      </c>
      <c r="D461" s="216"/>
      <c r="E461" s="646"/>
      <c r="F461" s="640"/>
      <c r="G461" s="640"/>
      <c r="H461" s="237"/>
      <c r="I461" s="237">
        <f t="shared" si="7"/>
        <v>0</v>
      </c>
    </row>
    <row r="462" spans="1:9" ht="13.5" hidden="1">
      <c r="B462" s="231">
        <v>721</v>
      </c>
      <c r="C462" s="220" t="s">
        <v>530</v>
      </c>
      <c r="D462" s="216"/>
      <c r="E462" s="646"/>
      <c r="F462" s="640"/>
      <c r="G462" s="640"/>
      <c r="H462" s="237"/>
      <c r="I462" s="237">
        <f t="shared" si="7"/>
        <v>0</v>
      </c>
    </row>
    <row r="463" spans="1:9" hidden="1">
      <c r="B463" s="228">
        <v>72101</v>
      </c>
      <c r="C463" s="216" t="s">
        <v>530</v>
      </c>
      <c r="D463" s="216"/>
      <c r="E463" s="646"/>
      <c r="F463" s="640"/>
      <c r="G463" s="640"/>
      <c r="H463" s="216"/>
      <c r="I463" s="237">
        <f t="shared" si="7"/>
        <v>0</v>
      </c>
    </row>
    <row r="464" spans="1:9" hidden="1">
      <c r="B464" s="228"/>
      <c r="C464" s="216"/>
      <c r="D464" s="216"/>
      <c r="E464" s="646"/>
      <c r="F464" s="640"/>
      <c r="G464" s="640"/>
      <c r="H464" s="216"/>
      <c r="I464" s="237"/>
    </row>
    <row r="465" spans="2:9" ht="13.5">
      <c r="B465" s="629" t="s">
        <v>373</v>
      </c>
      <c r="C465" s="626" t="s">
        <v>381</v>
      </c>
      <c r="D465" s="626"/>
      <c r="E465" s="690">
        <f>E438+E351+E334</f>
        <v>78928.926000000007</v>
      </c>
      <c r="F465" s="668">
        <f>F438+F351+F334</f>
        <v>540480.5</v>
      </c>
      <c r="G465" s="668">
        <f>G438+G351+G334+G419+G456</f>
        <v>817999.58000000007</v>
      </c>
      <c r="H465" s="668">
        <f>H334+H351+H419+H430+H456+H461+H438</f>
        <v>176000</v>
      </c>
      <c r="I465" s="668">
        <f>I456+I438+I351+I334+I419</f>
        <v>1613409.0059999998</v>
      </c>
    </row>
    <row r="466" spans="2:9" ht="13.5">
      <c r="B466" s="629" t="s">
        <v>373</v>
      </c>
      <c r="C466" s="626" t="s">
        <v>382</v>
      </c>
      <c r="D466" s="626"/>
      <c r="E466" s="684">
        <f>E445+E416+E397+E352+E346+E344+E340+E335</f>
        <v>78928.926000000007</v>
      </c>
      <c r="F466" s="681">
        <f>F447+F416+F397+F352+F346+F344+F340+F335</f>
        <v>540480.5</v>
      </c>
      <c r="G466" s="681">
        <f>G457+G420+G397+G352+G346+G344+G340+G335</f>
        <v>817999.58000000007</v>
      </c>
      <c r="H466" s="681">
        <f>H413+H408+H397+H371+H352+H346+H344+H340+H335+H447</f>
        <v>176000</v>
      </c>
      <c r="I466" s="627">
        <f>I457+I447+I444+I420+I416+I397+I352+I346+I344+I340+I335</f>
        <v>1613409.0059999998</v>
      </c>
    </row>
    <row r="467" spans="2:9" ht="13.5">
      <c r="B467" s="629" t="s">
        <v>373</v>
      </c>
      <c r="C467" s="626" t="s">
        <v>383</v>
      </c>
      <c r="D467" s="626"/>
      <c r="E467" s="690">
        <f>E454+E450+E417+E406+E400+E398+E370+E368+E363+E362+E361+E360+E358+E357+E355+E354+E347+E345+E341+E338+E336+E445</f>
        <v>78928.926000000007</v>
      </c>
      <c r="F467" s="668">
        <f>F454+F449+F417+F406+F400+F398+F370+F368+F363+F362+F361+F360+F358+F357+F355+F354+F347+F345+F341+F338+F336+F450+F453</f>
        <v>540480.5</v>
      </c>
      <c r="G467" s="668">
        <f>G458+G450+G422+G406+G400+G398+G370+G368+G363+G362+G361+G360+G358+G357+G355+G354+G347+G345+G341+G338+G336+G459+G423+G421</f>
        <v>817999.58000000007</v>
      </c>
      <c r="H467" s="668">
        <f>H453+H452+H398+H341+H451+H448</f>
        <v>176000</v>
      </c>
      <c r="I467" s="668">
        <f>I459+I458+I454+I453+I452+I449+I445+I423+I422+I417+I406+I400+I398+I370+I368+I363+I362+I361+I360+I358+I357+I355+I354+I347+I345+I341+I338+I336+I421+I450+I451+I448</f>
        <v>1613409.0060000001</v>
      </c>
    </row>
    <row r="468" spans="2:9">
      <c r="B468" s="223"/>
      <c r="C468" s="223"/>
      <c r="D468" s="223"/>
      <c r="E468" s="695"/>
      <c r="F468" s="680"/>
      <c r="G468" s="680"/>
      <c r="H468" s="223"/>
      <c r="I468" s="223"/>
    </row>
    <row r="469" spans="2:9" hidden="1">
      <c r="B469" s="216"/>
      <c r="C469" s="216"/>
      <c r="D469" s="216"/>
      <c r="E469" s="646"/>
      <c r="F469" s="239"/>
      <c r="G469" s="239"/>
      <c r="H469" s="216"/>
      <c r="I469" s="216"/>
    </row>
    <row r="470" spans="2:9" hidden="1">
      <c r="B470" s="216"/>
      <c r="C470" s="216"/>
      <c r="D470" s="216"/>
      <c r="E470" s="646"/>
      <c r="F470" s="239"/>
      <c r="G470" s="239"/>
      <c r="H470" s="216"/>
      <c r="I470" s="216"/>
    </row>
    <row r="471" spans="2:9">
      <c r="B471" s="226"/>
      <c r="C471" s="226"/>
      <c r="D471" s="226"/>
      <c r="E471" s="696"/>
      <c r="F471" s="669"/>
      <c r="G471" s="674"/>
      <c r="H471" s="226"/>
      <c r="I471" s="226"/>
    </row>
    <row r="484" spans="2:9">
      <c r="B484" s="1604" t="s">
        <v>950</v>
      </c>
      <c r="C484" s="1604"/>
      <c r="D484" s="1604"/>
      <c r="E484" s="1604"/>
      <c r="F484" s="1604"/>
      <c r="G484" s="1604"/>
      <c r="H484" s="1604"/>
      <c r="I484" s="1604"/>
    </row>
    <row r="485" spans="2:9">
      <c r="B485" s="1604" t="s">
        <v>336</v>
      </c>
      <c r="C485" s="1604"/>
      <c r="D485" s="1604"/>
      <c r="E485" s="1604"/>
      <c r="F485" s="1604"/>
      <c r="G485" s="1604"/>
      <c r="H485" s="1604"/>
      <c r="I485" s="1604"/>
    </row>
    <row r="486" spans="2:9">
      <c r="B486" s="1605" t="s">
        <v>742</v>
      </c>
      <c r="C486" s="1605"/>
      <c r="D486" s="1605"/>
      <c r="E486" s="1605"/>
      <c r="F486" s="1605"/>
      <c r="G486" s="1605"/>
      <c r="H486" s="1605"/>
      <c r="I486" s="1605"/>
    </row>
    <row r="487" spans="2:9">
      <c r="B487" s="1606" t="s">
        <v>1393</v>
      </c>
      <c r="C487" s="1607"/>
      <c r="D487" s="1607"/>
      <c r="E487" s="1607"/>
      <c r="F487" s="1607"/>
      <c r="G487" s="1607"/>
      <c r="H487" s="1607"/>
      <c r="I487" s="1608"/>
    </row>
    <row r="488" spans="2:9">
      <c r="B488" s="624" t="s">
        <v>985</v>
      </c>
      <c r="C488" s="625"/>
      <c r="D488" s="625"/>
      <c r="E488" s="633"/>
      <c r="F488" s="634"/>
      <c r="G488" s="635"/>
      <c r="H488" s="205"/>
      <c r="I488" s="206"/>
    </row>
    <row r="489" spans="2:9">
      <c r="B489" s="207" t="s">
        <v>338</v>
      </c>
      <c r="C489" s="206"/>
      <c r="D489" s="208"/>
      <c r="E489" s="1609" t="s">
        <v>362</v>
      </c>
      <c r="F489" s="1610"/>
      <c r="G489" s="1610"/>
      <c r="H489" s="1611"/>
      <c r="I489" s="1612" t="s">
        <v>988</v>
      </c>
    </row>
    <row r="490" spans="2:9" ht="12.75" customHeight="1">
      <c r="B490" s="1615" t="s">
        <v>947</v>
      </c>
      <c r="C490" s="1616"/>
      <c r="D490" s="1613" t="s">
        <v>371</v>
      </c>
      <c r="E490" s="1619" t="s">
        <v>986</v>
      </c>
      <c r="F490" s="1621" t="s">
        <v>987</v>
      </c>
      <c r="G490" s="1621" t="s">
        <v>989</v>
      </c>
      <c r="H490" s="1623" t="s">
        <v>990</v>
      </c>
      <c r="I490" s="1613"/>
    </row>
    <row r="491" spans="2:9">
      <c r="B491" s="1617"/>
      <c r="C491" s="1618"/>
      <c r="D491" s="1613"/>
      <c r="E491" s="1620"/>
      <c r="F491" s="1622"/>
      <c r="G491" s="1622"/>
      <c r="H491" s="1624"/>
      <c r="I491" s="1613"/>
    </row>
    <row r="492" spans="2:9">
      <c r="B492" s="1625" t="s">
        <v>340</v>
      </c>
      <c r="C492" s="1626"/>
      <c r="D492" s="1614"/>
      <c r="E492" s="683" t="s">
        <v>848</v>
      </c>
      <c r="F492" s="683" t="s">
        <v>850</v>
      </c>
      <c r="G492" s="683" t="s">
        <v>857</v>
      </c>
      <c r="H492" s="683" t="s">
        <v>861</v>
      </c>
      <c r="I492" s="1614"/>
    </row>
    <row r="493" spans="2:9">
      <c r="B493" s="208"/>
      <c r="C493" s="213"/>
      <c r="D493" s="208"/>
      <c r="E493" s="636"/>
      <c r="F493" s="637"/>
      <c r="G493" s="638"/>
      <c r="H493" s="208"/>
      <c r="I493" s="214"/>
    </row>
    <row r="494" spans="2:9">
      <c r="B494" s="228"/>
      <c r="C494" s="216"/>
      <c r="D494" s="216"/>
      <c r="E494" s="646"/>
      <c r="F494" s="640"/>
      <c r="G494" s="640"/>
      <c r="H494" s="216"/>
      <c r="I494" s="238"/>
    </row>
    <row r="495" spans="2:9" ht="13.5">
      <c r="B495" s="629">
        <v>61</v>
      </c>
      <c r="C495" s="626" t="s">
        <v>361</v>
      </c>
      <c r="D495" s="626"/>
      <c r="E495" s="684">
        <f>E501</f>
        <v>0</v>
      </c>
      <c r="F495" s="681">
        <f>F496+F499+F504</f>
        <v>0</v>
      </c>
      <c r="G495" s="681">
        <f>G496+G499+G504</f>
        <v>0</v>
      </c>
      <c r="H495" s="681">
        <f>H504</f>
        <v>3250000</v>
      </c>
      <c r="I495" s="627">
        <f t="shared" ref="I495:I502" si="8">SUM(E495:H495)</f>
        <v>3250000</v>
      </c>
    </row>
    <row r="496" spans="2:9" ht="13.5" hidden="1">
      <c r="B496" s="629">
        <v>611</v>
      </c>
      <c r="C496" s="626" t="s">
        <v>206</v>
      </c>
      <c r="D496" s="626"/>
      <c r="E496" s="684">
        <f>SUM(E497:E498)</f>
        <v>0</v>
      </c>
      <c r="F496" s="681">
        <f>SUM(F497:F498)</f>
        <v>0</v>
      </c>
      <c r="G496" s="681">
        <f>SUM(G497:G498)</f>
        <v>0</v>
      </c>
      <c r="H496" s="681">
        <f>SUM(H497:H498)</f>
        <v>0</v>
      </c>
      <c r="I496" s="627">
        <f t="shared" si="8"/>
        <v>0</v>
      </c>
    </row>
    <row r="497" spans="2:9" hidden="1">
      <c r="B497" s="228">
        <v>61104</v>
      </c>
      <c r="C497" s="216" t="s">
        <v>213</v>
      </c>
      <c r="D497" s="216"/>
      <c r="E497" s="646"/>
      <c r="F497" s="640"/>
      <c r="G497" s="640"/>
      <c r="H497" s="237"/>
      <c r="I497" s="238">
        <f t="shared" si="8"/>
        <v>0</v>
      </c>
    </row>
    <row r="498" spans="2:9" hidden="1">
      <c r="B498" s="228">
        <v>61199</v>
      </c>
      <c r="C498" s="216" t="s">
        <v>259</v>
      </c>
      <c r="D498" s="216"/>
      <c r="E498" s="646"/>
      <c r="F498" s="640"/>
      <c r="G498" s="640"/>
      <c r="H498" s="237"/>
      <c r="I498" s="238">
        <f t="shared" si="8"/>
        <v>0</v>
      </c>
    </row>
    <row r="499" spans="2:9" ht="13.5" hidden="1">
      <c r="B499" s="629">
        <v>612</v>
      </c>
      <c r="C499" s="626" t="s">
        <v>970</v>
      </c>
      <c r="D499" s="626"/>
      <c r="E499" s="684"/>
      <c r="F499" s="668"/>
      <c r="G499" s="668"/>
      <c r="H499" s="627"/>
      <c r="I499" s="627">
        <f t="shared" si="8"/>
        <v>0</v>
      </c>
    </row>
    <row r="500" spans="2:9" hidden="1">
      <c r="B500" s="228">
        <v>61201</v>
      </c>
      <c r="C500" s="216" t="s">
        <v>72</v>
      </c>
      <c r="D500" s="216"/>
      <c r="E500" s="646"/>
      <c r="F500" s="640"/>
      <c r="G500" s="640"/>
      <c r="H500" s="237"/>
      <c r="I500" s="238">
        <f t="shared" si="8"/>
        <v>0</v>
      </c>
    </row>
    <row r="501" spans="2:9" ht="13.5" hidden="1">
      <c r="B501" s="629">
        <v>615</v>
      </c>
      <c r="C501" s="626" t="s">
        <v>969</v>
      </c>
      <c r="D501" s="626"/>
      <c r="E501" s="684">
        <f>E502</f>
        <v>0</v>
      </c>
      <c r="F501" s="681">
        <f>F502</f>
        <v>0</v>
      </c>
      <c r="G501" s="668"/>
      <c r="H501" s="627"/>
      <c r="I501" s="627">
        <f t="shared" si="8"/>
        <v>0</v>
      </c>
    </row>
    <row r="502" spans="2:9" hidden="1">
      <c r="B502" s="228">
        <v>61599</v>
      </c>
      <c r="C502" s="216" t="s">
        <v>968</v>
      </c>
      <c r="D502" s="216"/>
      <c r="E502" s="646">
        <f>'desagregacion de ctas.'!E318</f>
        <v>0</v>
      </c>
      <c r="F502" s="640"/>
      <c r="G502" s="640"/>
      <c r="H502" s="237"/>
      <c r="I502" s="238">
        <f t="shared" si="8"/>
        <v>0</v>
      </c>
    </row>
    <row r="503" spans="2:9">
      <c r="B503" s="228"/>
      <c r="C503" s="216"/>
      <c r="D503" s="216"/>
      <c r="E503" s="646"/>
      <c r="F503" s="640"/>
      <c r="G503" s="640"/>
      <c r="H503" s="237"/>
      <c r="I503" s="238"/>
    </row>
    <row r="504" spans="2:9" ht="13.5">
      <c r="B504" s="629">
        <v>616</v>
      </c>
      <c r="C504" s="626" t="s">
        <v>270</v>
      </c>
      <c r="D504" s="626"/>
      <c r="E504" s="684"/>
      <c r="F504" s="668">
        <f>SUM(F505:F510)</f>
        <v>0</v>
      </c>
      <c r="G504" s="668">
        <f>SUM(G505:G510)</f>
        <v>0</v>
      </c>
      <c r="H504" s="627">
        <f>SUM(H505:H510)</f>
        <v>3250000</v>
      </c>
      <c r="I504" s="627">
        <f t="shared" ref="I504:I510" si="9">SUM(E504:H504)</f>
        <v>3250000</v>
      </c>
    </row>
    <row r="505" spans="2:9" hidden="1">
      <c r="B505" s="228">
        <v>61601</v>
      </c>
      <c r="C505" s="216" t="s">
        <v>981</v>
      </c>
      <c r="D505" s="216"/>
      <c r="E505" s="646"/>
      <c r="F505" s="640"/>
      <c r="G505" s="640"/>
      <c r="H505" s="237">
        <f>'desagregacion de ctas.'!J319</f>
        <v>0</v>
      </c>
      <c r="I505" s="237">
        <f t="shared" si="9"/>
        <v>0</v>
      </c>
    </row>
    <row r="506" spans="2:9" hidden="1">
      <c r="B506" s="228">
        <v>61602</v>
      </c>
      <c r="C506" s="216" t="s">
        <v>991</v>
      </c>
      <c r="D506" s="216"/>
      <c r="E506" s="646"/>
      <c r="F506" s="640"/>
      <c r="G506" s="640">
        <f>'desagregacion de ctas.'!I320</f>
        <v>0</v>
      </c>
      <c r="H506" s="237"/>
      <c r="I506" s="237">
        <f t="shared" si="9"/>
        <v>0</v>
      </c>
    </row>
    <row r="507" spans="2:9" hidden="1">
      <c r="B507" s="228">
        <v>61603</v>
      </c>
      <c r="C507" s="216" t="s">
        <v>974</v>
      </c>
      <c r="D507" s="216"/>
      <c r="E507" s="646"/>
      <c r="F507" s="640">
        <f>'desagregacion de ctas.'!F406</f>
        <v>0</v>
      </c>
      <c r="G507" s="640">
        <f>'desagregacion de ctas.'!I321</f>
        <v>0</v>
      </c>
      <c r="H507" s="237">
        <f>'desagregacion de ctas.'!J321</f>
        <v>0</v>
      </c>
      <c r="I507" s="237">
        <f t="shared" si="9"/>
        <v>0</v>
      </c>
    </row>
    <row r="508" spans="2:9" hidden="1">
      <c r="B508" s="228">
        <v>61607</v>
      </c>
      <c r="C508" s="216" t="s">
        <v>528</v>
      </c>
      <c r="D508" s="216"/>
      <c r="E508" s="646"/>
      <c r="F508" s="640"/>
      <c r="G508" s="640"/>
      <c r="H508" s="237">
        <f>'desagregacion de ctas.'!J323</f>
        <v>0</v>
      </c>
      <c r="I508" s="237">
        <f t="shared" si="9"/>
        <v>0</v>
      </c>
    </row>
    <row r="509" spans="2:9" hidden="1">
      <c r="B509" s="228">
        <v>61608</v>
      </c>
      <c r="C509" s="216" t="s">
        <v>941</v>
      </c>
      <c r="D509" s="216"/>
      <c r="E509" s="646"/>
      <c r="F509" s="640"/>
      <c r="G509" s="640"/>
      <c r="H509" s="237">
        <f>'desagregacion de ctas.'!L410</f>
        <v>0</v>
      </c>
      <c r="I509" s="237">
        <f t="shared" si="9"/>
        <v>0</v>
      </c>
    </row>
    <row r="510" spans="2:9">
      <c r="B510" s="228">
        <v>61699</v>
      </c>
      <c r="C510" s="216" t="s">
        <v>982</v>
      </c>
      <c r="D510" s="216"/>
      <c r="E510" s="646"/>
      <c r="F510" s="640">
        <f>'desagregacion de ctas.'!G326</f>
        <v>0</v>
      </c>
      <c r="G510" s="640">
        <f>'desagregacion de ctas.'!I326</f>
        <v>0</v>
      </c>
      <c r="H510" s="237">
        <f>'desagregacion de ctas.'!J326</f>
        <v>3250000</v>
      </c>
      <c r="I510" s="237">
        <f t="shared" si="9"/>
        <v>3250000</v>
      </c>
    </row>
    <row r="511" spans="2:9">
      <c r="B511" s="228"/>
      <c r="C511" s="216"/>
      <c r="D511" s="216"/>
      <c r="E511" s="646"/>
      <c r="F511" s="640"/>
      <c r="G511" s="640"/>
      <c r="H511" s="237"/>
      <c r="I511" s="238"/>
    </row>
    <row r="512" spans="2:9" hidden="1">
      <c r="B512" s="228"/>
      <c r="C512" s="216"/>
      <c r="D512" s="216"/>
      <c r="E512" s="646"/>
      <c r="F512" s="640"/>
      <c r="G512" s="640"/>
      <c r="H512" s="237"/>
      <c r="I512" s="237"/>
    </row>
    <row r="513" spans="2:9" ht="13.5" hidden="1">
      <c r="B513" s="231">
        <v>72</v>
      </c>
      <c r="C513" s="220" t="s">
        <v>529</v>
      </c>
      <c r="D513" s="216"/>
      <c r="E513" s="646"/>
      <c r="F513" s="640"/>
      <c r="G513" s="640"/>
      <c r="H513" s="237"/>
      <c r="I513" s="237">
        <f>SUM(E513:H513)</f>
        <v>0</v>
      </c>
    </row>
    <row r="514" spans="2:9" ht="13.5" hidden="1">
      <c r="B514" s="231">
        <v>721</v>
      </c>
      <c r="C514" s="220" t="s">
        <v>530</v>
      </c>
      <c r="D514" s="216"/>
      <c r="E514" s="646"/>
      <c r="F514" s="640"/>
      <c r="G514" s="640"/>
      <c r="H514" s="237"/>
      <c r="I514" s="237">
        <f>SUM(E514:H514)</f>
        <v>0</v>
      </c>
    </row>
    <row r="515" spans="2:9" hidden="1">
      <c r="B515" s="228">
        <v>72101</v>
      </c>
      <c r="C515" s="216" t="s">
        <v>530</v>
      </c>
      <c r="D515" s="216"/>
      <c r="E515" s="646"/>
      <c r="F515" s="640"/>
      <c r="G515" s="640"/>
      <c r="H515" s="216"/>
      <c r="I515" s="237">
        <f>SUM(E515:H515)</f>
        <v>0</v>
      </c>
    </row>
    <row r="516" spans="2:9">
      <c r="B516" s="228"/>
      <c r="C516" s="216"/>
      <c r="D516" s="216"/>
      <c r="E516" s="646"/>
      <c r="F516" s="640"/>
      <c r="G516" s="640"/>
      <c r="H516" s="216"/>
      <c r="I516" s="237"/>
    </row>
    <row r="517" spans="2:9" ht="13.5">
      <c r="B517" s="629" t="s">
        <v>373</v>
      </c>
      <c r="C517" s="626" t="s">
        <v>381</v>
      </c>
      <c r="D517" s="626"/>
      <c r="E517" s="690">
        <f>E495</f>
        <v>0</v>
      </c>
      <c r="F517" s="668">
        <f>F495+F437+F419</f>
        <v>0</v>
      </c>
      <c r="G517" s="668">
        <f>G495</f>
        <v>0</v>
      </c>
      <c r="H517" s="668">
        <f>H495</f>
        <v>3250000</v>
      </c>
      <c r="I517" s="668">
        <f>I495</f>
        <v>3250000</v>
      </c>
    </row>
    <row r="518" spans="2:9" ht="13.5">
      <c r="B518" s="629" t="s">
        <v>373</v>
      </c>
      <c r="C518" s="626" t="s">
        <v>382</v>
      </c>
      <c r="D518" s="626"/>
      <c r="E518" s="684">
        <f>E501</f>
        <v>0</v>
      </c>
      <c r="F518" s="681">
        <f>F504</f>
        <v>0</v>
      </c>
      <c r="G518" s="681">
        <f>G504</f>
        <v>0</v>
      </c>
      <c r="H518" s="681">
        <f>H504</f>
        <v>3250000</v>
      </c>
      <c r="I518" s="627">
        <f>I504+I501</f>
        <v>3250000</v>
      </c>
    </row>
    <row r="519" spans="2:9" ht="13.5">
      <c r="B519" s="629" t="s">
        <v>373</v>
      </c>
      <c r="C519" s="626" t="s">
        <v>383</v>
      </c>
      <c r="D519" s="626"/>
      <c r="E519" s="690">
        <f>E502</f>
        <v>0</v>
      </c>
      <c r="F519" s="668">
        <f>F504</f>
        <v>0</v>
      </c>
      <c r="G519" s="668">
        <f>G510+G506</f>
        <v>0</v>
      </c>
      <c r="H519" s="668">
        <f>H510+H505</f>
        <v>3250000</v>
      </c>
      <c r="I519" s="668">
        <f>I510+I508+I507+I506+I505+I502</f>
        <v>3250000</v>
      </c>
    </row>
    <row r="520" spans="2:9">
      <c r="B520" s="223"/>
      <c r="C520" s="223"/>
      <c r="D520" s="223"/>
      <c r="E520" s="695"/>
      <c r="F520" s="680"/>
      <c r="G520" s="680"/>
      <c r="H520" s="223"/>
      <c r="I520" s="223"/>
    </row>
    <row r="521" spans="2:9">
      <c r="B521" s="216"/>
      <c r="C521" s="216"/>
      <c r="D521" s="216"/>
      <c r="E521" s="646"/>
      <c r="F521" s="239"/>
      <c r="G521" s="239"/>
      <c r="H521" s="216"/>
      <c r="I521" s="216"/>
    </row>
    <row r="522" spans="2:9">
      <c r="B522" s="216"/>
      <c r="C522" s="216"/>
      <c r="D522" s="216"/>
      <c r="E522" s="646"/>
      <c r="F522" s="239"/>
      <c r="G522" s="239"/>
      <c r="H522" s="216"/>
      <c r="I522" s="216"/>
    </row>
    <row r="523" spans="2:9">
      <c r="B523" s="226"/>
      <c r="C523" s="226"/>
      <c r="D523" s="226"/>
      <c r="E523" s="696"/>
      <c r="F523" s="669"/>
      <c r="G523" s="674"/>
      <c r="H523" s="226"/>
      <c r="I523" s="226"/>
    </row>
    <row r="527" spans="2:9" hidden="1">
      <c r="I527" s="698">
        <f>I519+I467+I308+H139</f>
        <v>6077588.0884999996</v>
      </c>
    </row>
    <row r="529" spans="2:9" hidden="1">
      <c r="I529" s="1160">
        <f>H519+I467+I308+H139</f>
        <v>6077588.0884999996</v>
      </c>
    </row>
    <row r="532" spans="2:9" hidden="1">
      <c r="I532" s="1085">
        <f>I519+I465+I306+H139</f>
        <v>6137588.0884999996</v>
      </c>
    </row>
    <row r="541" spans="2:9" hidden="1">
      <c r="B541" s="1604" t="s">
        <v>950</v>
      </c>
      <c r="C541" s="1604"/>
      <c r="D541" s="1604"/>
      <c r="E541" s="1604"/>
      <c r="F541" s="1604"/>
      <c r="G541" s="1604"/>
      <c r="H541" s="1604"/>
      <c r="I541" s="1604"/>
    </row>
    <row r="542" spans="2:9" hidden="1">
      <c r="B542" s="1604" t="s">
        <v>336</v>
      </c>
      <c r="C542" s="1604"/>
      <c r="D542" s="1604"/>
      <c r="E542" s="1604"/>
      <c r="F542" s="1604"/>
      <c r="G542" s="1604"/>
      <c r="H542" s="1604"/>
      <c r="I542" s="1604"/>
    </row>
    <row r="543" spans="2:9" hidden="1">
      <c r="B543" s="1605" t="s">
        <v>742</v>
      </c>
      <c r="C543" s="1605"/>
      <c r="D543" s="1605"/>
      <c r="E543" s="1605"/>
      <c r="F543" s="1605"/>
      <c r="G543" s="1605"/>
      <c r="H543" s="1605"/>
      <c r="I543" s="1605"/>
    </row>
    <row r="544" spans="2:9" hidden="1">
      <c r="B544" s="1606" t="s">
        <v>1139</v>
      </c>
      <c r="C544" s="1607"/>
      <c r="D544" s="1607"/>
      <c r="E544" s="1607"/>
      <c r="F544" s="1607"/>
      <c r="G544" s="1607"/>
      <c r="H544" s="1607"/>
      <c r="I544" s="1608"/>
    </row>
    <row r="545" spans="2:9" hidden="1">
      <c r="B545" s="886" t="s">
        <v>1187</v>
      </c>
      <c r="C545" s="887"/>
      <c r="D545" s="887"/>
      <c r="E545" s="633"/>
      <c r="F545" s="634"/>
      <c r="G545" s="635"/>
      <c r="H545" s="205"/>
      <c r="I545" s="206"/>
    </row>
    <row r="546" spans="2:9" hidden="1">
      <c r="B546" s="207" t="s">
        <v>338</v>
      </c>
      <c r="C546" s="206"/>
      <c r="D546" s="208"/>
      <c r="E546" s="1609" t="s">
        <v>362</v>
      </c>
      <c r="F546" s="1610"/>
      <c r="G546" s="1610"/>
      <c r="H546" s="1611"/>
      <c r="I546" s="1612" t="s">
        <v>988</v>
      </c>
    </row>
    <row r="547" spans="2:9" hidden="1">
      <c r="B547" s="1615" t="s">
        <v>947</v>
      </c>
      <c r="C547" s="1616"/>
      <c r="D547" s="1613" t="s">
        <v>371</v>
      </c>
      <c r="E547" s="1619"/>
      <c r="F547" s="1621"/>
      <c r="G547" s="1621" t="s">
        <v>1186</v>
      </c>
      <c r="H547" s="1623"/>
      <c r="I547" s="1613"/>
    </row>
    <row r="548" spans="2:9" hidden="1">
      <c r="B548" s="1617"/>
      <c r="C548" s="1618"/>
      <c r="D548" s="1613"/>
      <c r="E548" s="1620"/>
      <c r="F548" s="1622"/>
      <c r="G548" s="1622"/>
      <c r="H548" s="1624"/>
      <c r="I548" s="1613"/>
    </row>
    <row r="549" spans="2:9" hidden="1">
      <c r="B549" s="1625" t="s">
        <v>340</v>
      </c>
      <c r="C549" s="1626"/>
      <c r="D549" s="1614"/>
      <c r="E549" s="683"/>
      <c r="F549" s="683"/>
      <c r="G549" s="683" t="s">
        <v>1133</v>
      </c>
      <c r="H549" s="683"/>
      <c r="I549" s="1614"/>
    </row>
    <row r="550" spans="2:9" hidden="1">
      <c r="B550" s="208"/>
      <c r="C550" s="213"/>
      <c r="D550" s="208"/>
      <c r="E550" s="636"/>
      <c r="F550" s="637"/>
      <c r="G550" s="638"/>
      <c r="H550" s="208"/>
      <c r="I550" s="214"/>
    </row>
    <row r="551" spans="2:9" hidden="1">
      <c r="B551" s="228"/>
      <c r="C551" s="216"/>
      <c r="D551" s="216"/>
      <c r="E551" s="646"/>
      <c r="F551" s="640"/>
      <c r="G551" s="640"/>
      <c r="H551" s="216"/>
      <c r="I551" s="238"/>
    </row>
    <row r="552" spans="2:9" ht="13.5" hidden="1">
      <c r="B552" s="629">
        <v>51</v>
      </c>
      <c r="C552" s="285" t="s">
        <v>341</v>
      </c>
      <c r="D552" s="626"/>
      <c r="E552" s="684"/>
      <c r="F552" s="681"/>
      <c r="G552" s="681">
        <f>G553</f>
        <v>0</v>
      </c>
      <c r="H552" s="681"/>
      <c r="I552" s="627">
        <f t="shared" ref="I552:I558" si="10">SUM(E552:H552)</f>
        <v>0</v>
      </c>
    </row>
    <row r="553" spans="2:9" ht="13.5" hidden="1">
      <c r="B553" s="629">
        <v>511</v>
      </c>
      <c r="C553" s="285" t="s">
        <v>342</v>
      </c>
      <c r="D553" s="626"/>
      <c r="E553" s="684"/>
      <c r="F553" s="681"/>
      <c r="G553" s="681">
        <f>SUM(G554:G555)</f>
        <v>0</v>
      </c>
      <c r="H553" s="681"/>
      <c r="I553" s="627">
        <f t="shared" si="10"/>
        <v>0</v>
      </c>
    </row>
    <row r="554" spans="2:9" ht="13.5" hidden="1">
      <c r="B554" s="228">
        <v>51101</v>
      </c>
      <c r="C554" s="202" t="s">
        <v>14</v>
      </c>
      <c r="D554" s="216"/>
      <c r="E554" s="646"/>
      <c r="F554" s="640"/>
      <c r="G554" s="640">
        <f>'desagregacion de ctas.'!L216</f>
        <v>0</v>
      </c>
      <c r="H554" s="681"/>
      <c r="I554" s="238">
        <f t="shared" si="10"/>
        <v>0</v>
      </c>
    </row>
    <row r="555" spans="2:9" hidden="1">
      <c r="B555" s="228"/>
      <c r="C555" s="216"/>
      <c r="D555" s="216"/>
      <c r="E555" s="646"/>
      <c r="F555" s="640"/>
      <c r="G555" s="640"/>
      <c r="H555" s="237"/>
      <c r="I555" s="238">
        <f t="shared" si="10"/>
        <v>0</v>
      </c>
    </row>
    <row r="556" spans="2:9" ht="13.5" hidden="1">
      <c r="B556" s="629">
        <v>54</v>
      </c>
      <c r="C556" s="285" t="s">
        <v>348</v>
      </c>
      <c r="D556" s="626"/>
      <c r="E556" s="684"/>
      <c r="F556" s="668"/>
      <c r="G556" s="668">
        <f>G557</f>
        <v>0</v>
      </c>
      <c r="H556" s="627"/>
      <c r="I556" s="627">
        <f t="shared" si="10"/>
        <v>0</v>
      </c>
    </row>
    <row r="557" spans="2:9" ht="13.5" hidden="1">
      <c r="B557" s="629">
        <v>543</v>
      </c>
      <c r="C557" s="285" t="s">
        <v>349</v>
      </c>
      <c r="D557" s="216"/>
      <c r="E557" s="646"/>
      <c r="F557" s="640"/>
      <c r="G557" s="640">
        <f>G558</f>
        <v>0</v>
      </c>
      <c r="H557" s="627"/>
      <c r="I557" s="238">
        <f t="shared" si="10"/>
        <v>0</v>
      </c>
    </row>
    <row r="558" spans="2:9" ht="13.5" hidden="1">
      <c r="B558" s="228">
        <v>54399</v>
      </c>
      <c r="C558" s="216" t="s">
        <v>513</v>
      </c>
      <c r="D558" s="626"/>
      <c r="E558" s="684"/>
      <c r="F558" s="681"/>
      <c r="G558" s="668">
        <f>'desagregacion de ctas.'!L279</f>
        <v>0</v>
      </c>
      <c r="H558" s="627"/>
      <c r="I558" s="627">
        <f t="shared" si="10"/>
        <v>0</v>
      </c>
    </row>
    <row r="559" spans="2:9" ht="13.5" hidden="1">
      <c r="B559" s="231"/>
      <c r="C559" s="220"/>
      <c r="D559" s="216"/>
      <c r="E559" s="646"/>
      <c r="F559" s="640"/>
      <c r="G559" s="640"/>
      <c r="H559" s="237"/>
      <c r="I559" s="237">
        <f>SUM(E559:H559)</f>
        <v>0</v>
      </c>
    </row>
    <row r="560" spans="2:9" ht="13.5" hidden="1">
      <c r="B560" s="231"/>
      <c r="C560" s="220"/>
      <c r="D560" s="216"/>
      <c r="E560" s="646"/>
      <c r="F560" s="640"/>
      <c r="G560" s="640"/>
      <c r="H560" s="237"/>
      <c r="I560" s="237">
        <f>SUM(E560:H560)</f>
        <v>0</v>
      </c>
    </row>
    <row r="561" spans="2:9" hidden="1">
      <c r="B561" s="228"/>
      <c r="C561" s="216"/>
      <c r="D561" s="216"/>
      <c r="E561" s="646"/>
      <c r="F561" s="640"/>
      <c r="G561" s="640"/>
      <c r="H561" s="216"/>
      <c r="I561" s="237">
        <f>SUM(E561:H561)</f>
        <v>0</v>
      </c>
    </row>
    <row r="562" spans="2:9" hidden="1">
      <c r="B562" s="228"/>
      <c r="C562" s="216"/>
      <c r="D562" s="216"/>
      <c r="E562" s="646"/>
      <c r="F562" s="640"/>
      <c r="G562" s="640"/>
      <c r="H562" s="216"/>
      <c r="I562" s="237"/>
    </row>
    <row r="563" spans="2:9" ht="13.5" hidden="1">
      <c r="B563" s="629" t="s">
        <v>373</v>
      </c>
      <c r="C563" s="626" t="s">
        <v>381</v>
      </c>
      <c r="D563" s="626"/>
      <c r="E563" s="690"/>
      <c r="F563" s="668"/>
      <c r="G563" s="668">
        <f>G564</f>
        <v>0</v>
      </c>
      <c r="H563" s="668"/>
      <c r="I563" s="668">
        <f>I564</f>
        <v>0</v>
      </c>
    </row>
    <row r="564" spans="2:9" ht="13.5" hidden="1">
      <c r="B564" s="629" t="s">
        <v>373</v>
      </c>
      <c r="C564" s="626" t="s">
        <v>382</v>
      </c>
      <c r="D564" s="626"/>
      <c r="E564" s="684"/>
      <c r="F564" s="681"/>
      <c r="G564" s="681">
        <f>G565</f>
        <v>0</v>
      </c>
      <c r="H564" s="681"/>
      <c r="I564" s="681">
        <f>I565</f>
        <v>0</v>
      </c>
    </row>
    <row r="565" spans="2:9" ht="13.5" hidden="1">
      <c r="B565" s="629" t="s">
        <v>373</v>
      </c>
      <c r="C565" s="626" t="s">
        <v>383</v>
      </c>
      <c r="D565" s="626"/>
      <c r="E565" s="690"/>
      <c r="F565" s="668"/>
      <c r="G565" s="668">
        <f>G554+G558</f>
        <v>0</v>
      </c>
      <c r="H565" s="681"/>
      <c r="I565" s="668">
        <f>I554+I558</f>
        <v>0</v>
      </c>
    </row>
    <row r="566" spans="2:9" hidden="1">
      <c r="B566" s="223"/>
      <c r="C566" s="223"/>
      <c r="D566" s="223"/>
      <c r="E566" s="695"/>
      <c r="F566" s="680"/>
      <c r="G566" s="680"/>
      <c r="H566" s="223"/>
      <c r="I566" s="223"/>
    </row>
    <row r="567" spans="2:9" hidden="1">
      <c r="B567" s="216"/>
      <c r="C567" s="216"/>
      <c r="D567" s="216"/>
      <c r="E567" s="646"/>
      <c r="F567" s="239"/>
      <c r="G567" s="239"/>
      <c r="H567" s="216"/>
      <c r="I567" s="216"/>
    </row>
    <row r="568" spans="2:9" hidden="1">
      <c r="B568" s="216"/>
      <c r="C568" s="216"/>
      <c r="D568" s="216"/>
      <c r="E568" s="646"/>
      <c r="F568" s="239"/>
      <c r="G568" s="239"/>
      <c r="H568" s="216"/>
      <c r="I568" s="216"/>
    </row>
    <row r="569" spans="2:9" hidden="1">
      <c r="B569" s="226"/>
      <c r="C569" s="226"/>
      <c r="D569" s="226"/>
      <c r="E569" s="696"/>
      <c r="F569" s="669"/>
      <c r="G569" s="674"/>
      <c r="H569" s="226"/>
      <c r="I569" s="226"/>
    </row>
    <row r="570" spans="2:9" hidden="1"/>
    <row r="571" spans="2:9" hidden="1"/>
    <row r="572" spans="2:9" hidden="1"/>
    <row r="575" spans="2:9" hidden="1">
      <c r="H575" s="698">
        <f>I565+I519+I467+I308+H139</f>
        <v>6077588.0884999996</v>
      </c>
    </row>
  </sheetData>
  <mergeCells count="109">
    <mergeCell ref="B541:I541"/>
    <mergeCell ref="B542:I542"/>
    <mergeCell ref="B543:I543"/>
    <mergeCell ref="B544:I544"/>
    <mergeCell ref="E546:H546"/>
    <mergeCell ref="I546:I549"/>
    <mergeCell ref="B547:C548"/>
    <mergeCell ref="D547:D549"/>
    <mergeCell ref="E547:E548"/>
    <mergeCell ref="F547:F548"/>
    <mergeCell ref="G547:G548"/>
    <mergeCell ref="H547:H548"/>
    <mergeCell ref="B549:C549"/>
    <mergeCell ref="B388:I388"/>
    <mergeCell ref="B389:I389"/>
    <mergeCell ref="E391:H391"/>
    <mergeCell ref="I391:I394"/>
    <mergeCell ref="B392:C393"/>
    <mergeCell ref="D392:D394"/>
    <mergeCell ref="E392:E393"/>
    <mergeCell ref="F392:F393"/>
    <mergeCell ref="G392:G393"/>
    <mergeCell ref="H392:H393"/>
    <mergeCell ref="B394:C394"/>
    <mergeCell ref="B329:C330"/>
    <mergeCell ref="D329:D331"/>
    <mergeCell ref="E329:E330"/>
    <mergeCell ref="F329:F330"/>
    <mergeCell ref="G329:G330"/>
    <mergeCell ref="H329:H330"/>
    <mergeCell ref="B331:C331"/>
    <mergeCell ref="B386:I386"/>
    <mergeCell ref="B387:I387"/>
    <mergeCell ref="I328:I331"/>
    <mergeCell ref="B54:I54"/>
    <mergeCell ref="B53:I53"/>
    <mergeCell ref="B255:C255"/>
    <mergeCell ref="E252:H252"/>
    <mergeCell ref="I252:I255"/>
    <mergeCell ref="D253:D255"/>
    <mergeCell ref="E253:E254"/>
    <mergeCell ref="F253:F254"/>
    <mergeCell ref="G253:G254"/>
    <mergeCell ref="H253:H254"/>
    <mergeCell ref="H181:H182"/>
    <mergeCell ref="B104:I104"/>
    <mergeCell ref="B107:I107"/>
    <mergeCell ref="E110:G110"/>
    <mergeCell ref="E56:G56"/>
    <mergeCell ref="I56:I59"/>
    <mergeCell ref="B57:C58"/>
    <mergeCell ref="D57:D59"/>
    <mergeCell ref="B59:C59"/>
    <mergeCell ref="B113:C113"/>
    <mergeCell ref="D111:D113"/>
    <mergeCell ref="B111:C112"/>
    <mergeCell ref="B105:I105"/>
    <mergeCell ref="B108:I108"/>
    <mergeCell ref="B1:I1"/>
    <mergeCell ref="B2:I2"/>
    <mergeCell ref="I6:I9"/>
    <mergeCell ref="B50:I50"/>
    <mergeCell ref="B51:I51"/>
    <mergeCell ref="E6:G6"/>
    <mergeCell ref="B7:C8"/>
    <mergeCell ref="B9:C9"/>
    <mergeCell ref="B3:I3"/>
    <mergeCell ref="B4:I4"/>
    <mergeCell ref="E7:E8"/>
    <mergeCell ref="F7:F8"/>
    <mergeCell ref="G7:G8"/>
    <mergeCell ref="H6:H9"/>
    <mergeCell ref="D7:D9"/>
    <mergeCell ref="I110:I113"/>
    <mergeCell ref="B175:I175"/>
    <mergeCell ref="B484:I484"/>
    <mergeCell ref="B176:I176"/>
    <mergeCell ref="B324:I324"/>
    <mergeCell ref="B247:I247"/>
    <mergeCell ref="B323:I323"/>
    <mergeCell ref="B248:I248"/>
    <mergeCell ref="B177:I177"/>
    <mergeCell ref="B178:I178"/>
    <mergeCell ref="I180:I183"/>
    <mergeCell ref="B181:C182"/>
    <mergeCell ref="D181:D183"/>
    <mergeCell ref="E181:E182"/>
    <mergeCell ref="F181:F182"/>
    <mergeCell ref="G181:G182"/>
    <mergeCell ref="B183:C183"/>
    <mergeCell ref="E180:H180"/>
    <mergeCell ref="B249:I249"/>
    <mergeCell ref="B250:I250"/>
    <mergeCell ref="B253:C254"/>
    <mergeCell ref="B325:I325"/>
    <mergeCell ref="B326:I326"/>
    <mergeCell ref="E328:H328"/>
    <mergeCell ref="B485:I485"/>
    <mergeCell ref="B486:I486"/>
    <mergeCell ref="B487:I487"/>
    <mergeCell ref="E489:H489"/>
    <mergeCell ref="I489:I492"/>
    <mergeCell ref="B490:C491"/>
    <mergeCell ref="D490:D492"/>
    <mergeCell ref="E490:E491"/>
    <mergeCell ref="F490:F491"/>
    <mergeCell ref="G490:G491"/>
    <mergeCell ref="H490:H491"/>
    <mergeCell ref="B492:C492"/>
  </mergeCells>
  <phoneticPr fontId="5" type="noConversion"/>
  <pageMargins left="0.21" right="0.21" top="0.14000000000000001" bottom="0.17" header="0" footer="0.21"/>
  <pageSetup orientation="landscape" r:id="rId1"/>
  <headerFooter alignWithMargins="0">
    <oddHeader>&amp;RPlan 5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zoomScale="120" zoomScaleNormal="120" workbookViewId="0">
      <selection activeCell="M43" sqref="M43"/>
    </sheetView>
  </sheetViews>
  <sheetFormatPr baseColWidth="10" defaultColWidth="11.42578125" defaultRowHeight="12.75"/>
  <cols>
    <col min="1" max="1" width="3.85546875" style="924" customWidth="1"/>
    <col min="2" max="2" width="5.140625" style="924" customWidth="1"/>
    <col min="3" max="3" width="26" style="924" customWidth="1"/>
    <col min="4" max="4" width="12" style="924" hidden="1" customWidth="1"/>
    <col min="5" max="5" width="8.28515625" style="924" hidden="1" customWidth="1"/>
    <col min="6" max="6" width="10.28515625" style="924" hidden="1" customWidth="1"/>
    <col min="7" max="8" width="7.5703125" style="958" customWidth="1"/>
    <col min="9" max="9" width="11.42578125" style="958" customWidth="1"/>
    <col min="10" max="10" width="10.7109375" style="924" customWidth="1"/>
    <col min="11" max="12" width="10.140625" style="924" customWidth="1"/>
    <col min="13" max="13" width="12.7109375" style="959" bestFit="1" customWidth="1"/>
    <col min="14" max="16384" width="11.42578125" style="927"/>
  </cols>
  <sheetData>
    <row r="1" spans="1:17" ht="13.5">
      <c r="C1" s="925" t="s">
        <v>1145</v>
      </c>
      <c r="D1" s="925"/>
      <c r="E1" s="925"/>
      <c r="F1" s="925"/>
      <c r="G1" s="925"/>
      <c r="H1" s="925"/>
      <c r="I1" s="925"/>
      <c r="J1" s="925"/>
      <c r="K1" s="925"/>
      <c r="L1" s="925"/>
      <c r="M1" s="926"/>
    </row>
    <row r="2" spans="1:17" ht="13.5">
      <c r="C2" s="928" t="s">
        <v>7</v>
      </c>
      <c r="D2" s="929"/>
      <c r="E2" s="929"/>
      <c r="F2" s="929"/>
      <c r="G2" s="930"/>
      <c r="H2" s="930"/>
      <c r="I2" s="930"/>
      <c r="J2" s="929"/>
      <c r="K2" s="929"/>
      <c r="L2" s="635"/>
      <c r="M2" s="931"/>
    </row>
    <row r="3" spans="1:17" ht="13.5">
      <c r="C3" s="928" t="s">
        <v>1394</v>
      </c>
      <c r="D3" s="929"/>
      <c r="E3" s="929"/>
      <c r="F3" s="929"/>
      <c r="G3" s="930"/>
      <c r="H3" s="930"/>
      <c r="I3" s="930"/>
      <c r="J3" s="929"/>
      <c r="K3" s="635"/>
      <c r="L3" s="635"/>
      <c r="M3" s="931"/>
    </row>
    <row r="4" spans="1:17" ht="13.5">
      <c r="C4" s="928" t="s">
        <v>1184</v>
      </c>
      <c r="D4" s="929"/>
      <c r="E4" s="929"/>
      <c r="F4" s="929"/>
      <c r="G4" s="930"/>
      <c r="H4" s="930"/>
      <c r="I4" s="930"/>
      <c r="J4" s="929"/>
      <c r="K4" s="929"/>
      <c r="L4" s="929"/>
      <c r="M4" s="931"/>
    </row>
    <row r="5" spans="1:17" ht="27">
      <c r="B5" s="1645" t="s">
        <v>1146</v>
      </c>
      <c r="C5" s="932" t="s">
        <v>1147</v>
      </c>
      <c r="D5" s="933" t="s">
        <v>1148</v>
      </c>
      <c r="E5" s="934" t="s">
        <v>1149</v>
      </c>
      <c r="F5" s="934" t="s">
        <v>1150</v>
      </c>
      <c r="G5" s="932" t="s">
        <v>1158</v>
      </c>
      <c r="H5" s="932" t="s">
        <v>1159</v>
      </c>
      <c r="I5" s="932" t="s">
        <v>1157</v>
      </c>
      <c r="J5" s="1609" t="s">
        <v>1151</v>
      </c>
      <c r="K5" s="1610"/>
      <c r="L5" s="1611"/>
      <c r="M5" s="935" t="s">
        <v>1152</v>
      </c>
    </row>
    <row r="6" spans="1:17" ht="24" customHeight="1">
      <c r="B6" s="1646"/>
      <c r="C6" s="936"/>
      <c r="D6" s="937"/>
      <c r="E6" s="938"/>
      <c r="F6" s="938"/>
      <c r="G6" s="936"/>
      <c r="H6" s="936"/>
      <c r="I6" s="936"/>
      <c r="J6" s="933" t="s">
        <v>1153</v>
      </c>
      <c r="K6" s="933" t="s">
        <v>1154</v>
      </c>
      <c r="L6" s="932" t="s">
        <v>1155</v>
      </c>
      <c r="M6" s="939"/>
    </row>
    <row r="7" spans="1:17" ht="13.5">
      <c r="B7" s="1647"/>
      <c r="C7" s="940"/>
      <c r="D7" s="941"/>
      <c r="E7" s="942"/>
      <c r="F7" s="942"/>
      <c r="G7" s="940"/>
      <c r="H7" s="940"/>
      <c r="I7" s="940"/>
      <c r="J7" s="941"/>
      <c r="K7" s="941"/>
      <c r="L7" s="940"/>
      <c r="M7" s="943"/>
    </row>
    <row r="8" spans="1:17" s="949" customFormat="1" ht="24.75" customHeight="1">
      <c r="A8" s="641"/>
      <c r="B8" s="944">
        <v>1</v>
      </c>
      <c r="C8" s="1161" t="s">
        <v>1255</v>
      </c>
      <c r="D8" s="945"/>
      <c r="E8" s="735"/>
      <c r="F8" s="1161"/>
      <c r="G8" s="735" t="s">
        <v>211</v>
      </c>
      <c r="H8" s="735">
        <v>9</v>
      </c>
      <c r="I8" s="735">
        <v>61602</v>
      </c>
      <c r="J8" s="946"/>
      <c r="K8" s="735"/>
      <c r="L8" s="735"/>
      <c r="M8" s="947">
        <v>200000</v>
      </c>
      <c r="N8" s="948"/>
    </row>
    <row r="9" spans="1:17" s="949" customFormat="1" ht="25.5">
      <c r="A9" s="641"/>
      <c r="B9" s="944">
        <v>2</v>
      </c>
      <c r="C9" s="950" t="s">
        <v>1172</v>
      </c>
      <c r="D9" s="735"/>
      <c r="E9" s="735"/>
      <c r="F9" s="951"/>
      <c r="G9" s="735" t="s">
        <v>211</v>
      </c>
      <c r="H9" s="735">
        <v>9</v>
      </c>
      <c r="I9" s="735">
        <v>61603</v>
      </c>
      <c r="J9" s="946"/>
      <c r="K9" s="735"/>
      <c r="L9" s="735"/>
      <c r="M9" s="947">
        <v>61000</v>
      </c>
      <c r="N9" s="1157"/>
    </row>
    <row r="10" spans="1:17" s="949" customFormat="1" hidden="1">
      <c r="A10" s="641"/>
      <c r="B10" s="944">
        <v>3</v>
      </c>
      <c r="C10" s="950"/>
      <c r="D10" s="945"/>
      <c r="E10" s="735"/>
      <c r="F10" s="735"/>
      <c r="G10" s="735"/>
      <c r="H10" s="735"/>
      <c r="I10" s="735"/>
      <c r="J10" s="946"/>
      <c r="K10" s="735"/>
      <c r="L10" s="735"/>
      <c r="M10" s="953"/>
    </row>
    <row r="11" spans="1:17" s="949" customFormat="1" ht="25.5">
      <c r="A11" s="641"/>
      <c r="B11" s="944">
        <v>3</v>
      </c>
      <c r="C11" s="950" t="s">
        <v>1183</v>
      </c>
      <c r="D11" s="735"/>
      <c r="E11" s="735"/>
      <c r="F11" s="735"/>
      <c r="G11" s="735" t="s">
        <v>211</v>
      </c>
      <c r="H11" s="735">
        <v>9</v>
      </c>
      <c r="I11" s="735">
        <v>61603</v>
      </c>
      <c r="J11" s="946"/>
      <c r="K11" s="735"/>
      <c r="L11" s="735"/>
      <c r="M11" s="947">
        <v>50000</v>
      </c>
    </row>
    <row r="12" spans="1:17" s="949" customFormat="1">
      <c r="A12" s="641"/>
      <c r="B12" s="944">
        <v>4</v>
      </c>
      <c r="C12" s="945" t="s">
        <v>1160</v>
      </c>
      <c r="D12" s="945"/>
      <c r="E12" s="735"/>
      <c r="F12" s="951"/>
      <c r="G12" s="735" t="s">
        <v>211</v>
      </c>
      <c r="H12" s="735">
        <v>9</v>
      </c>
      <c r="I12" s="735">
        <v>61699</v>
      </c>
      <c r="J12" s="946"/>
      <c r="K12" s="735"/>
      <c r="L12" s="735"/>
      <c r="M12" s="947">
        <v>45000</v>
      </c>
      <c r="Q12" s="949">
        <v>176000</v>
      </c>
    </row>
    <row r="13" spans="1:17" s="949" customFormat="1">
      <c r="A13" s="641"/>
      <c r="B13" s="944">
        <v>5</v>
      </c>
      <c r="C13" s="944" t="s">
        <v>1173</v>
      </c>
      <c r="D13" s="945"/>
      <c r="E13" s="735"/>
      <c r="F13" s="735"/>
      <c r="G13" s="735" t="s">
        <v>211</v>
      </c>
      <c r="H13" s="735">
        <v>9</v>
      </c>
      <c r="I13" s="735">
        <v>61699</v>
      </c>
      <c r="J13" s="946"/>
      <c r="K13" s="735"/>
      <c r="L13" s="735"/>
      <c r="M13" s="947">
        <v>20000</v>
      </c>
    </row>
    <row r="14" spans="1:17" s="949" customFormat="1">
      <c r="A14" s="641"/>
      <c r="B14" s="944">
        <v>6</v>
      </c>
      <c r="C14" s="944" t="s">
        <v>1161</v>
      </c>
      <c r="D14" s="735"/>
      <c r="E14" s="735"/>
      <c r="F14" s="951"/>
      <c r="G14" s="735" t="s">
        <v>211</v>
      </c>
      <c r="H14" s="735">
        <v>9</v>
      </c>
      <c r="I14" s="735">
        <v>61699</v>
      </c>
      <c r="J14" s="946"/>
      <c r="K14" s="735"/>
      <c r="L14" s="946"/>
      <c r="M14" s="947">
        <v>13500</v>
      </c>
    </row>
    <row r="15" spans="1:17" s="949" customFormat="1">
      <c r="A15" s="641"/>
      <c r="B15" s="944">
        <v>7</v>
      </c>
      <c r="C15" s="944" t="s">
        <v>1250</v>
      </c>
      <c r="D15" s="735"/>
      <c r="E15" s="735"/>
      <c r="F15" s="951"/>
      <c r="G15" s="735" t="s">
        <v>211</v>
      </c>
      <c r="H15" s="735">
        <v>9</v>
      </c>
      <c r="I15" s="735">
        <v>61699</v>
      </c>
      <c r="J15" s="946"/>
      <c r="K15" s="735"/>
      <c r="L15" s="735"/>
      <c r="M15" s="947">
        <v>13000</v>
      </c>
    </row>
    <row r="16" spans="1:17" s="949" customFormat="1" hidden="1">
      <c r="A16" s="641"/>
      <c r="B16" s="944">
        <v>9</v>
      </c>
      <c r="C16" s="945"/>
      <c r="D16" s="945"/>
      <c r="E16" s="735"/>
      <c r="F16" s="951"/>
      <c r="G16" s="735"/>
      <c r="H16" s="735"/>
      <c r="I16" s="735"/>
      <c r="J16" s="946"/>
      <c r="K16" s="735"/>
      <c r="L16" s="735"/>
      <c r="M16" s="947"/>
    </row>
    <row r="17" spans="1:14" s="949" customFormat="1" hidden="1">
      <c r="A17" s="641"/>
      <c r="B17" s="944">
        <v>10</v>
      </c>
      <c r="C17" s="945"/>
      <c r="D17" s="952"/>
      <c r="E17" s="952"/>
      <c r="F17" s="944"/>
      <c r="G17" s="735"/>
      <c r="H17" s="735"/>
      <c r="I17" s="735"/>
      <c r="J17" s="946"/>
      <c r="K17" s="735"/>
      <c r="L17" s="735"/>
      <c r="M17" s="947"/>
    </row>
    <row r="18" spans="1:14" s="949" customFormat="1" hidden="1">
      <c r="A18" s="641"/>
      <c r="B18" s="944">
        <v>11</v>
      </c>
      <c r="C18" s="950"/>
      <c r="D18" s="952"/>
      <c r="E18" s="952"/>
      <c r="F18" s="952"/>
      <c r="G18" s="735"/>
      <c r="H18" s="735"/>
      <c r="I18" s="735"/>
      <c r="J18" s="946"/>
      <c r="K18" s="735"/>
      <c r="L18" s="735"/>
      <c r="M18" s="947"/>
    </row>
    <row r="19" spans="1:14" s="949" customFormat="1" ht="25.5">
      <c r="A19" s="641"/>
      <c r="B19" s="944">
        <v>8</v>
      </c>
      <c r="C19" s="950" t="s">
        <v>1390</v>
      </c>
      <c r="D19" s="952"/>
      <c r="E19" s="952"/>
      <c r="F19" s="952"/>
      <c r="G19" s="735" t="s">
        <v>211</v>
      </c>
      <c r="H19" s="735">
        <v>9</v>
      </c>
      <c r="I19" s="735">
        <v>61699</v>
      </c>
      <c r="J19" s="946"/>
      <c r="K19" s="735"/>
      <c r="L19" s="735"/>
      <c r="M19" s="947">
        <v>80000</v>
      </c>
    </row>
    <row r="20" spans="1:14" s="949" customFormat="1" ht="25.5">
      <c r="A20" s="641"/>
      <c r="B20" s="944">
        <v>9</v>
      </c>
      <c r="C20" s="950" t="s">
        <v>1389</v>
      </c>
      <c r="D20" s="735"/>
      <c r="E20" s="735"/>
      <c r="F20" s="951"/>
      <c r="G20" s="735" t="s">
        <v>211</v>
      </c>
      <c r="H20" s="735">
        <v>9</v>
      </c>
      <c r="I20" s="735">
        <v>61699</v>
      </c>
      <c r="J20" s="946"/>
      <c r="K20" s="735"/>
      <c r="L20" s="735"/>
      <c r="M20" s="947">
        <v>50000</v>
      </c>
    </row>
    <row r="21" spans="1:14" s="949" customFormat="1" hidden="1">
      <c r="A21" s="641"/>
      <c r="B21" s="944">
        <v>14</v>
      </c>
      <c r="C21" s="950"/>
      <c r="D21" s="945"/>
      <c r="E21" s="735"/>
      <c r="F21" s="951"/>
      <c r="G21" s="735" t="s">
        <v>211</v>
      </c>
      <c r="H21" s="735">
        <v>9</v>
      </c>
      <c r="I21" s="735">
        <v>61699</v>
      </c>
      <c r="J21" s="946"/>
      <c r="K21" s="735"/>
      <c r="L21" s="735"/>
      <c r="M21" s="953"/>
      <c r="N21" s="948"/>
    </row>
    <row r="22" spans="1:14" s="949" customFormat="1">
      <c r="A22" s="641"/>
      <c r="B22" s="944">
        <v>10</v>
      </c>
      <c r="C22" s="950" t="s">
        <v>1249</v>
      </c>
      <c r="D22" s="735"/>
      <c r="E22" s="735"/>
      <c r="F22" s="735"/>
      <c r="G22" s="735" t="s">
        <v>211</v>
      </c>
      <c r="H22" s="735">
        <v>17</v>
      </c>
      <c r="I22" s="735">
        <v>61601</v>
      </c>
      <c r="J22" s="946"/>
      <c r="K22" s="735"/>
      <c r="L22" s="735"/>
      <c r="M22" s="947">
        <v>35000</v>
      </c>
      <c r="N22" s="948"/>
    </row>
    <row r="23" spans="1:14" s="949" customFormat="1">
      <c r="A23" s="641"/>
      <c r="B23" s="944">
        <v>11</v>
      </c>
      <c r="C23" s="950" t="s">
        <v>1388</v>
      </c>
      <c r="D23" s="952"/>
      <c r="E23" s="952"/>
      <c r="F23" s="952"/>
      <c r="G23" s="735" t="s">
        <v>211</v>
      </c>
      <c r="H23" s="735">
        <v>17</v>
      </c>
      <c r="I23" s="735">
        <v>61601</v>
      </c>
      <c r="J23" s="946"/>
      <c r="K23" s="735"/>
      <c r="L23" s="735"/>
      <c r="M23" s="947">
        <v>141000</v>
      </c>
      <c r="N23" s="948"/>
    </row>
    <row r="24" spans="1:14" s="949" customFormat="1" hidden="1">
      <c r="A24" s="641"/>
      <c r="B24" s="944">
        <v>17</v>
      </c>
      <c r="C24" s="950"/>
      <c r="D24" s="952"/>
      <c r="E24" s="952"/>
      <c r="F24" s="952"/>
      <c r="G24" s="735"/>
      <c r="H24" s="735"/>
      <c r="I24" s="735"/>
      <c r="J24" s="946"/>
      <c r="K24" s="735"/>
      <c r="L24" s="735"/>
      <c r="M24" s="947"/>
      <c r="N24" s="948"/>
    </row>
    <row r="25" spans="1:14" s="949" customFormat="1" hidden="1">
      <c r="A25" s="641"/>
      <c r="B25" s="944">
        <v>18</v>
      </c>
      <c r="C25" s="950"/>
      <c r="D25" s="945"/>
      <c r="E25" s="735"/>
      <c r="F25" s="735"/>
      <c r="G25" s="735"/>
      <c r="H25" s="735"/>
      <c r="I25" s="735"/>
      <c r="J25" s="946"/>
      <c r="K25" s="735"/>
      <c r="L25" s="735"/>
      <c r="M25" s="953"/>
      <c r="N25" s="948"/>
    </row>
    <row r="26" spans="1:14" ht="13.5" hidden="1">
      <c r="B26" s="944">
        <v>27</v>
      </c>
      <c r="C26" s="950"/>
      <c r="D26" s="945"/>
      <c r="E26" s="735"/>
      <c r="F26" s="951"/>
      <c r="G26" s="735" t="s">
        <v>211</v>
      </c>
      <c r="H26" s="735">
        <v>17</v>
      </c>
      <c r="I26" s="735">
        <v>61601</v>
      </c>
      <c r="J26" s="946"/>
      <c r="K26" s="735"/>
      <c r="L26" s="946"/>
      <c r="M26" s="953"/>
      <c r="N26" s="948"/>
    </row>
    <row r="27" spans="1:14" ht="13.5" hidden="1">
      <c r="B27" s="944">
        <v>28</v>
      </c>
      <c r="C27" s="950"/>
      <c r="D27" s="945"/>
      <c r="E27" s="735"/>
      <c r="F27" s="735"/>
      <c r="G27" s="735" t="s">
        <v>211</v>
      </c>
      <c r="H27" s="735">
        <v>17</v>
      </c>
      <c r="I27" s="735">
        <v>61601</v>
      </c>
      <c r="J27" s="946"/>
      <c r="K27" s="735"/>
      <c r="L27" s="735"/>
      <c r="M27" s="953"/>
      <c r="N27" s="948"/>
    </row>
    <row r="28" spans="1:14" ht="13.5" hidden="1">
      <c r="B28" s="944">
        <v>29</v>
      </c>
      <c r="C28" s="950"/>
      <c r="D28" s="945"/>
      <c r="E28" s="735"/>
      <c r="F28" s="951"/>
      <c r="G28" s="735" t="s">
        <v>211</v>
      </c>
      <c r="H28" s="735">
        <v>17</v>
      </c>
      <c r="I28" s="735">
        <v>61601</v>
      </c>
      <c r="J28" s="946"/>
      <c r="K28" s="735"/>
      <c r="L28" s="735"/>
      <c r="M28" s="953"/>
      <c r="N28" s="948"/>
    </row>
    <row r="29" spans="1:14" ht="13.5" hidden="1">
      <c r="B29" s="944">
        <v>30</v>
      </c>
      <c r="C29" s="954"/>
      <c r="D29" s="945"/>
      <c r="E29" s="735"/>
      <c r="F29" s="735" t="s">
        <v>1174</v>
      </c>
      <c r="G29" s="735" t="s">
        <v>211</v>
      </c>
      <c r="H29" s="735">
        <v>17</v>
      </c>
      <c r="I29" s="735">
        <v>61606</v>
      </c>
      <c r="J29" s="946"/>
      <c r="K29" s="735"/>
      <c r="L29" s="735"/>
      <c r="M29" s="955"/>
      <c r="N29" s="948"/>
    </row>
    <row r="30" spans="1:14" ht="13.5" hidden="1">
      <c r="B30" s="944">
        <v>31</v>
      </c>
      <c r="C30" s="950"/>
      <c r="D30" s="945"/>
      <c r="E30" s="735"/>
      <c r="F30" s="951"/>
      <c r="G30" s="735" t="s">
        <v>211</v>
      </c>
      <c r="H30" s="735">
        <v>17</v>
      </c>
      <c r="I30" s="735">
        <v>61606</v>
      </c>
      <c r="J30" s="946"/>
      <c r="K30" s="735"/>
      <c r="L30" s="735"/>
      <c r="M30" s="947"/>
      <c r="N30" s="948"/>
    </row>
    <row r="31" spans="1:14" ht="13.5" hidden="1">
      <c r="B31" s="944">
        <v>32</v>
      </c>
      <c r="C31" s="950"/>
      <c r="D31" s="945"/>
      <c r="E31" s="735"/>
      <c r="F31" s="951"/>
      <c r="G31" s="735" t="s">
        <v>211</v>
      </c>
      <c r="H31" s="735">
        <v>17</v>
      </c>
      <c r="I31" s="735">
        <v>61606</v>
      </c>
      <c r="J31" s="946"/>
      <c r="K31" s="735"/>
      <c r="L31" s="735"/>
      <c r="M31" s="947"/>
      <c r="N31" s="948"/>
    </row>
    <row r="32" spans="1:14" ht="13.5" hidden="1">
      <c r="B32" s="944">
        <v>33</v>
      </c>
      <c r="C32" s="950"/>
      <c r="D32" s="945"/>
      <c r="E32" s="735"/>
      <c r="F32" s="951"/>
      <c r="G32" s="735" t="s">
        <v>211</v>
      </c>
      <c r="H32" s="735">
        <v>17</v>
      </c>
      <c r="I32" s="735">
        <v>61608</v>
      </c>
      <c r="J32" s="946"/>
      <c r="K32" s="735"/>
      <c r="L32" s="735"/>
      <c r="M32" s="947"/>
      <c r="N32" s="948"/>
    </row>
    <row r="33" spans="2:14" ht="13.5" hidden="1">
      <c r="C33" s="925" t="s">
        <v>1145</v>
      </c>
      <c r="D33" s="925"/>
      <c r="E33" s="925"/>
      <c r="F33" s="925"/>
      <c r="G33" s="925"/>
      <c r="H33" s="925"/>
      <c r="I33" s="925"/>
      <c r="J33" s="925"/>
      <c r="K33" s="925"/>
      <c r="L33" s="925"/>
      <c r="M33" s="926"/>
      <c r="N33" s="948"/>
    </row>
    <row r="34" spans="2:14" ht="13.5" hidden="1">
      <c r="C34" s="928" t="s">
        <v>7</v>
      </c>
      <c r="D34" s="929"/>
      <c r="E34" s="929"/>
      <c r="F34" s="929"/>
      <c r="G34" s="930"/>
      <c r="H34" s="930"/>
      <c r="I34" s="930"/>
      <c r="J34" s="929"/>
      <c r="K34" s="929"/>
      <c r="L34" s="635"/>
      <c r="M34" s="931"/>
      <c r="N34" s="948"/>
    </row>
    <row r="35" spans="2:14" ht="13.5" hidden="1">
      <c r="C35" s="928" t="s">
        <v>1156</v>
      </c>
      <c r="D35" s="929"/>
      <c r="E35" s="929"/>
      <c r="F35" s="929"/>
      <c r="G35" s="930"/>
      <c r="H35" s="930"/>
      <c r="I35" s="930"/>
      <c r="J35" s="929"/>
      <c r="K35" s="635"/>
      <c r="L35" s="635"/>
      <c r="M35" s="931"/>
    </row>
    <row r="36" spans="2:14" ht="13.5" hidden="1">
      <c r="C36" s="928" t="s">
        <v>1184</v>
      </c>
      <c r="D36" s="929"/>
      <c r="E36" s="929"/>
      <c r="F36" s="929"/>
      <c r="G36" s="930"/>
      <c r="H36" s="930"/>
      <c r="I36" s="930"/>
      <c r="J36" s="929"/>
      <c r="K36" s="929"/>
      <c r="L36" s="929"/>
      <c r="M36" s="931"/>
    </row>
    <row r="37" spans="2:14" ht="27" hidden="1">
      <c r="B37" s="1645" t="s">
        <v>1146</v>
      </c>
      <c r="C37" s="932" t="s">
        <v>1147</v>
      </c>
      <c r="D37" s="933" t="s">
        <v>1148</v>
      </c>
      <c r="E37" s="934" t="s">
        <v>1149</v>
      </c>
      <c r="F37" s="934" t="s">
        <v>1150</v>
      </c>
      <c r="G37" s="932" t="s">
        <v>1158</v>
      </c>
      <c r="H37" s="932" t="s">
        <v>1159</v>
      </c>
      <c r="I37" s="932" t="s">
        <v>1157</v>
      </c>
      <c r="J37" s="1609" t="s">
        <v>1151</v>
      </c>
      <c r="K37" s="1610"/>
      <c r="L37" s="1611"/>
      <c r="M37" s="935" t="s">
        <v>1152</v>
      </c>
    </row>
    <row r="38" spans="2:14" ht="27" hidden="1">
      <c r="B38" s="1646"/>
      <c r="C38" s="936"/>
      <c r="D38" s="937"/>
      <c r="E38" s="938"/>
      <c r="F38" s="938"/>
      <c r="G38" s="936"/>
      <c r="H38" s="936"/>
      <c r="I38" s="936"/>
      <c r="J38" s="933" t="s">
        <v>1153</v>
      </c>
      <c r="K38" s="933" t="s">
        <v>1154</v>
      </c>
      <c r="L38" s="932" t="s">
        <v>1155</v>
      </c>
      <c r="M38" s="939"/>
    </row>
    <row r="39" spans="2:14" ht="13.5" hidden="1">
      <c r="B39" s="1647"/>
      <c r="C39" s="940"/>
      <c r="D39" s="941"/>
      <c r="E39" s="942"/>
      <c r="F39" s="942"/>
      <c r="G39" s="940"/>
      <c r="H39" s="940"/>
      <c r="I39" s="940"/>
      <c r="J39" s="941"/>
      <c r="K39" s="941"/>
      <c r="L39" s="940"/>
      <c r="M39" s="943"/>
    </row>
    <row r="40" spans="2:14" ht="25.5" hidden="1">
      <c r="B40" s="944">
        <v>34</v>
      </c>
      <c r="C40" s="945"/>
      <c r="D40" s="956"/>
      <c r="E40" s="956"/>
      <c r="F40" s="951" t="s">
        <v>1174</v>
      </c>
      <c r="G40" s="954" t="s">
        <v>1181</v>
      </c>
      <c r="H40" s="956">
        <v>19</v>
      </c>
      <c r="I40" s="956" t="s">
        <v>1182</v>
      </c>
      <c r="J40" s="946"/>
      <c r="K40" s="956"/>
      <c r="L40" s="735"/>
      <c r="M40" s="957"/>
    </row>
    <row r="41" spans="2:14" ht="25.5" hidden="1">
      <c r="B41" s="944">
        <v>35</v>
      </c>
      <c r="C41" s="950"/>
      <c r="D41" s="956"/>
      <c r="E41" s="956"/>
      <c r="F41" s="951" t="s">
        <v>1174</v>
      </c>
      <c r="G41" s="954" t="s">
        <v>218</v>
      </c>
      <c r="H41" s="956">
        <v>14</v>
      </c>
      <c r="I41" s="956">
        <v>61699</v>
      </c>
      <c r="J41" s="946"/>
      <c r="K41" s="956"/>
      <c r="L41" s="735"/>
      <c r="M41" s="957"/>
    </row>
    <row r="42" spans="2:14" ht="25.5" hidden="1">
      <c r="B42" s="944">
        <v>36</v>
      </c>
      <c r="C42" s="950"/>
      <c r="D42" s="956"/>
      <c r="E42" s="956"/>
      <c r="F42" s="951" t="s">
        <v>1174</v>
      </c>
      <c r="G42" s="954" t="s">
        <v>218</v>
      </c>
      <c r="H42" s="956">
        <v>15</v>
      </c>
      <c r="I42" s="956">
        <v>61601</v>
      </c>
      <c r="J42" s="946"/>
      <c r="K42" s="956"/>
      <c r="L42" s="735"/>
      <c r="M42" s="957"/>
    </row>
    <row r="43" spans="2:14" ht="15.75">
      <c r="C43" s="1082" t="s">
        <v>415</v>
      </c>
      <c r="D43" s="1083"/>
      <c r="E43" s="1083"/>
      <c r="F43" s="1083"/>
      <c r="G43" s="1082"/>
      <c r="H43" s="1082"/>
      <c r="I43" s="1082"/>
      <c r="J43" s="1083"/>
      <c r="K43" s="1083"/>
      <c r="L43" s="1083"/>
      <c r="M43" s="1084">
        <f>SUM(M8:M42)</f>
        <v>708500</v>
      </c>
    </row>
  </sheetData>
  <mergeCells count="4">
    <mergeCell ref="B37:B39"/>
    <mergeCell ref="J37:L37"/>
    <mergeCell ref="B5:B7"/>
    <mergeCell ref="J5:L5"/>
  </mergeCells>
  <pageMargins left="1.4173228346456694" right="0.15748031496062992" top="1.1811023622047245" bottom="0.15748031496062992" header="0" footer="0.11811023622047245"/>
  <pageSetup orientation="landscape" r:id="rId1"/>
  <headerFooter alignWithMargins="0">
    <oddHeader>&amp;R&amp;"Arial,Cursiva"&amp;8Plan 8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0070C0"/>
  </sheetPr>
  <dimension ref="A1:AX196"/>
  <sheetViews>
    <sheetView topLeftCell="A138" zoomScaleNormal="75" workbookViewId="0">
      <selection activeCell="F201" sqref="F201"/>
    </sheetView>
  </sheetViews>
  <sheetFormatPr baseColWidth="10" defaultColWidth="11.42578125" defaultRowHeight="12"/>
  <cols>
    <col min="1" max="1" width="5" style="307" customWidth="1"/>
    <col min="2" max="2" width="26.28515625" style="318" customWidth="1"/>
    <col min="3" max="3" width="7.28515625" style="318" customWidth="1"/>
    <col min="4" max="4" width="15.7109375" style="318" customWidth="1"/>
    <col min="5" max="5" width="16.28515625" style="318" customWidth="1"/>
    <col min="6" max="6" width="14.85546875" style="304" customWidth="1"/>
    <col min="7" max="7" width="15.85546875" style="757" customWidth="1"/>
    <col min="8" max="8" width="15" style="318" customWidth="1"/>
    <col min="9" max="9" width="9.85546875" style="318" customWidth="1"/>
    <col min="10" max="10" width="14.28515625" style="534" bestFit="1" customWidth="1"/>
    <col min="11" max="16384" width="11.42578125" style="535"/>
  </cols>
  <sheetData>
    <row r="1" spans="1:50">
      <c r="A1" s="1648" t="s">
        <v>252</v>
      </c>
      <c r="B1" s="1648"/>
      <c r="C1" s="1648"/>
      <c r="D1" s="1648"/>
      <c r="E1" s="1648"/>
      <c r="F1" s="1648"/>
      <c r="G1" s="1648"/>
      <c r="H1" s="1648"/>
      <c r="I1" s="1648"/>
      <c r="J1" s="899"/>
    </row>
    <row r="2" spans="1:50">
      <c r="A2" s="1648" t="s">
        <v>251</v>
      </c>
      <c r="B2" s="1648"/>
      <c r="C2" s="1648"/>
      <c r="D2" s="1648"/>
      <c r="E2" s="1648"/>
      <c r="F2" s="1648"/>
      <c r="G2" s="1648"/>
      <c r="H2" s="1648"/>
      <c r="I2" s="1648"/>
      <c r="J2" s="899"/>
    </row>
    <row r="3" spans="1:50" ht="13.5" customHeight="1">
      <c r="A3" s="307" t="s">
        <v>757</v>
      </c>
      <c r="B3" s="307"/>
      <c r="C3" s="307"/>
      <c r="D3" s="307"/>
      <c r="E3" s="307"/>
      <c r="F3" s="891"/>
      <c r="G3" s="762"/>
      <c r="H3" s="307"/>
      <c r="I3" s="307"/>
    </row>
    <row r="4" spans="1:50" ht="12" customHeight="1">
      <c r="A4" s="307" t="s">
        <v>1393</v>
      </c>
      <c r="B4" s="307"/>
      <c r="C4" s="307"/>
      <c r="D4" s="307"/>
      <c r="E4" s="307"/>
      <c r="F4" s="891"/>
      <c r="G4" s="762"/>
      <c r="H4" s="307"/>
      <c r="I4" s="307"/>
    </row>
    <row r="5" spans="1:50" ht="13.5" customHeight="1">
      <c r="A5" s="307" t="s">
        <v>337</v>
      </c>
      <c r="B5" s="307"/>
      <c r="C5" s="307"/>
      <c r="D5" s="307"/>
      <c r="E5" s="307"/>
      <c r="F5" s="891"/>
      <c r="G5" s="762"/>
      <c r="H5" s="307"/>
      <c r="I5" s="307"/>
    </row>
    <row r="6" spans="1:50" ht="12.75" customHeight="1">
      <c r="A6" s="1649" t="s">
        <v>287</v>
      </c>
      <c r="B6" s="1650"/>
      <c r="C6" s="309" t="s">
        <v>313</v>
      </c>
      <c r="D6" s="309" t="s">
        <v>315</v>
      </c>
      <c r="E6" s="309" t="s">
        <v>384</v>
      </c>
      <c r="F6" s="892" t="s">
        <v>60</v>
      </c>
      <c r="G6" s="1653" t="s">
        <v>61</v>
      </c>
      <c r="H6" s="309" t="s">
        <v>454</v>
      </c>
      <c r="I6" s="1658" t="s">
        <v>437</v>
      </c>
    </row>
    <row r="7" spans="1:50" ht="12.75" customHeight="1">
      <c r="A7" s="1651" t="s">
        <v>288</v>
      </c>
      <c r="B7" s="1652"/>
      <c r="C7" s="310" t="s">
        <v>317</v>
      </c>
      <c r="D7" s="310" t="s">
        <v>319</v>
      </c>
      <c r="E7" s="310" t="s">
        <v>385</v>
      </c>
      <c r="F7" s="893" t="s">
        <v>385</v>
      </c>
      <c r="G7" s="1654"/>
      <c r="H7" s="310"/>
      <c r="I7" s="1659"/>
    </row>
    <row r="8" spans="1:50" ht="12.75" customHeight="1">
      <c r="A8" s="1656" t="s">
        <v>19</v>
      </c>
      <c r="B8" s="1657"/>
      <c r="C8" s="311" t="s">
        <v>318</v>
      </c>
      <c r="D8" s="311" t="s">
        <v>320</v>
      </c>
      <c r="E8" s="311" t="s">
        <v>386</v>
      </c>
      <c r="F8" s="894" t="s">
        <v>386</v>
      </c>
      <c r="G8" s="1655"/>
      <c r="H8" s="311" t="s">
        <v>322</v>
      </c>
      <c r="I8" s="1660"/>
    </row>
    <row r="9" spans="1:50" ht="12.75" customHeight="1">
      <c r="A9" s="882" t="s">
        <v>298</v>
      </c>
      <c r="B9" s="323"/>
      <c r="C9" s="313" t="s">
        <v>314</v>
      </c>
      <c r="D9" s="314" t="s">
        <v>316</v>
      </c>
      <c r="E9" s="900" t="s">
        <v>363</v>
      </c>
      <c r="F9" s="342" t="s">
        <v>321</v>
      </c>
      <c r="G9" s="901"/>
      <c r="H9" s="320"/>
      <c r="I9" s="325"/>
    </row>
    <row r="10" spans="1:50" ht="13.9" customHeight="1">
      <c r="A10" s="344">
        <v>11</v>
      </c>
      <c r="B10" s="902" t="s">
        <v>299</v>
      </c>
      <c r="C10" s="321"/>
      <c r="D10" s="765">
        <f>D11</f>
        <v>77347</v>
      </c>
      <c r="E10" s="765"/>
      <c r="F10" s="765">
        <f>F11</f>
        <v>67921.8</v>
      </c>
      <c r="G10" s="895">
        <f>F10+E10</f>
        <v>67921.8</v>
      </c>
      <c r="H10" s="765">
        <f>F10-D10</f>
        <v>-9425.1999999999971</v>
      </c>
      <c r="I10" s="501"/>
    </row>
    <row r="11" spans="1:50" ht="13.9" customHeight="1">
      <c r="A11" s="326">
        <v>118</v>
      </c>
      <c r="B11" s="315" t="s">
        <v>224</v>
      </c>
      <c r="C11" s="301"/>
      <c r="D11" s="327">
        <f>SUM(D12:D26)</f>
        <v>77347</v>
      </c>
      <c r="E11" s="327"/>
      <c r="F11" s="327">
        <f>SUM(F12:F26)</f>
        <v>67921.8</v>
      </c>
      <c r="G11" s="355">
        <f>F11+E11</f>
        <v>67921.8</v>
      </c>
      <c r="H11" s="327">
        <f t="shared" ref="H11:H26" si="0">F11-D11</f>
        <v>-9425.1999999999971</v>
      </c>
      <c r="I11" s="357"/>
      <c r="J11" s="903"/>
    </row>
    <row r="12" spans="1:50" ht="13.9" customHeight="1">
      <c r="A12" s="910">
        <v>11801</v>
      </c>
      <c r="B12" s="302" t="s">
        <v>300</v>
      </c>
      <c r="C12" s="301"/>
      <c r="D12" s="904">
        <v>17168</v>
      </c>
      <c r="E12" s="317"/>
      <c r="F12" s="904">
        <v>16002.63</v>
      </c>
      <c r="G12" s="353">
        <f>F12</f>
        <v>16002.63</v>
      </c>
      <c r="H12" s="327">
        <f t="shared" si="0"/>
        <v>-1165.3700000000008</v>
      </c>
      <c r="I12" s="357"/>
      <c r="AX12" s="535" t="s">
        <v>334</v>
      </c>
    </row>
    <row r="13" spans="1:50" ht="13.9" customHeight="1">
      <c r="A13" s="910">
        <v>11802</v>
      </c>
      <c r="B13" s="302" t="s">
        <v>301</v>
      </c>
      <c r="C13" s="301"/>
      <c r="D13" s="904">
        <v>697</v>
      </c>
      <c r="E13" s="317"/>
      <c r="F13" s="904">
        <v>2736.43</v>
      </c>
      <c r="G13" s="353">
        <f t="shared" ref="G13:G26" si="1">F13</f>
        <v>2736.43</v>
      </c>
      <c r="H13" s="327">
        <f t="shared" si="0"/>
        <v>2039.4299999999998</v>
      </c>
      <c r="I13" s="357"/>
    </row>
    <row r="14" spans="1:50" ht="13.9" customHeight="1">
      <c r="A14" s="910">
        <v>11803</v>
      </c>
      <c r="B14" s="302" t="s">
        <v>743</v>
      </c>
      <c r="C14" s="301"/>
      <c r="D14" s="904">
        <v>39100</v>
      </c>
      <c r="E14" s="317"/>
      <c r="F14" s="904">
        <v>34249.65</v>
      </c>
      <c r="G14" s="353">
        <f t="shared" si="1"/>
        <v>34249.65</v>
      </c>
      <c r="H14" s="327">
        <f t="shared" si="0"/>
        <v>-4850.3499999999985</v>
      </c>
      <c r="I14" s="357"/>
    </row>
    <row r="15" spans="1:50" ht="13.9" customHeight="1">
      <c r="A15" s="910">
        <v>11804</v>
      </c>
      <c r="B15" s="302" t="s">
        <v>744</v>
      </c>
      <c r="C15" s="301"/>
      <c r="D15" s="904">
        <v>12577</v>
      </c>
      <c r="E15" s="317"/>
      <c r="F15" s="904">
        <v>7949.25</v>
      </c>
      <c r="G15" s="353">
        <f t="shared" si="1"/>
        <v>7949.25</v>
      </c>
      <c r="H15" s="327">
        <f t="shared" si="0"/>
        <v>-4627.75</v>
      </c>
      <c r="I15" s="357"/>
    </row>
    <row r="16" spans="1:50" ht="13.9" customHeight="1">
      <c r="A16" s="910">
        <v>11806</v>
      </c>
      <c r="B16" s="302" t="s">
        <v>876</v>
      </c>
      <c r="C16" s="301"/>
      <c r="D16" s="904">
        <v>1038</v>
      </c>
      <c r="E16" s="317"/>
      <c r="F16" s="904">
        <v>491.48</v>
      </c>
      <c r="G16" s="353">
        <f t="shared" si="1"/>
        <v>491.48</v>
      </c>
      <c r="H16" s="327">
        <f t="shared" si="0"/>
        <v>-546.52</v>
      </c>
      <c r="I16" s="357"/>
    </row>
    <row r="17" spans="1:10" ht="13.9" hidden="1" customHeight="1">
      <c r="A17" s="910">
        <v>11808</v>
      </c>
      <c r="B17" s="302" t="s">
        <v>877</v>
      </c>
      <c r="C17" s="301"/>
      <c r="D17" s="904"/>
      <c r="E17" s="317"/>
      <c r="F17" s="904"/>
      <c r="G17" s="353">
        <f t="shared" si="1"/>
        <v>0</v>
      </c>
      <c r="H17" s="327">
        <f t="shared" si="0"/>
        <v>0</v>
      </c>
      <c r="I17" s="357"/>
    </row>
    <row r="18" spans="1:10" ht="13.9" hidden="1" customHeight="1">
      <c r="A18" s="910">
        <v>11809</v>
      </c>
      <c r="B18" s="302" t="s">
        <v>878</v>
      </c>
      <c r="C18" s="301"/>
      <c r="D18" s="904"/>
      <c r="E18" s="317"/>
      <c r="F18" s="904"/>
      <c r="G18" s="353">
        <f t="shared" si="1"/>
        <v>0</v>
      </c>
      <c r="H18" s="327">
        <f t="shared" si="0"/>
        <v>0</v>
      </c>
      <c r="I18" s="357"/>
    </row>
    <row r="19" spans="1:10" ht="13.9" customHeight="1">
      <c r="A19" s="910">
        <v>11810</v>
      </c>
      <c r="B19" s="302" t="s">
        <v>879</v>
      </c>
      <c r="C19" s="301"/>
      <c r="D19" s="904">
        <v>562</v>
      </c>
      <c r="E19" s="317"/>
      <c r="F19" s="904">
        <v>240.76</v>
      </c>
      <c r="G19" s="353">
        <f t="shared" si="1"/>
        <v>240.76</v>
      </c>
      <c r="H19" s="327">
        <f t="shared" si="0"/>
        <v>-321.24</v>
      </c>
      <c r="I19" s="357"/>
    </row>
    <row r="20" spans="1:10" ht="13.9" hidden="1" customHeight="1">
      <c r="A20" s="910">
        <v>11812</v>
      </c>
      <c r="B20" s="302" t="s">
        <v>880</v>
      </c>
      <c r="C20" s="301"/>
      <c r="D20" s="904"/>
      <c r="E20" s="317"/>
      <c r="F20" s="904"/>
      <c r="G20" s="353">
        <f t="shared" si="1"/>
        <v>0</v>
      </c>
      <c r="H20" s="327">
        <f t="shared" si="0"/>
        <v>0</v>
      </c>
      <c r="I20" s="357"/>
    </row>
    <row r="21" spans="1:10" ht="13.9" customHeight="1">
      <c r="A21" s="910">
        <v>11813</v>
      </c>
      <c r="B21" s="960" t="s">
        <v>1098</v>
      </c>
      <c r="C21" s="301"/>
      <c r="D21" s="904">
        <v>383</v>
      </c>
      <c r="E21" s="317"/>
      <c r="F21" s="904">
        <v>142.47999999999999</v>
      </c>
      <c r="G21" s="353">
        <f t="shared" si="1"/>
        <v>142.47999999999999</v>
      </c>
      <c r="H21" s="327">
        <f t="shared" si="0"/>
        <v>-240.52</v>
      </c>
      <c r="I21" s="357"/>
    </row>
    <row r="22" spans="1:10" ht="13.9" customHeight="1">
      <c r="A22" s="910">
        <v>11814</v>
      </c>
      <c r="B22" s="960" t="s">
        <v>1099</v>
      </c>
      <c r="C22" s="301"/>
      <c r="D22" s="904">
        <v>126</v>
      </c>
      <c r="E22" s="317"/>
      <c r="F22" s="904">
        <v>140.94999999999999</v>
      </c>
      <c r="G22" s="353">
        <f t="shared" si="1"/>
        <v>140.94999999999999</v>
      </c>
      <c r="H22" s="327">
        <f t="shared" si="0"/>
        <v>14.949999999999989</v>
      </c>
      <c r="I22" s="357"/>
    </row>
    <row r="23" spans="1:10" ht="13.9" hidden="1" customHeight="1">
      <c r="A23" s="910">
        <v>11816</v>
      </c>
      <c r="B23" s="302" t="s">
        <v>328</v>
      </c>
      <c r="C23" s="301"/>
      <c r="D23" s="904"/>
      <c r="E23" s="317"/>
      <c r="F23" s="904"/>
      <c r="G23" s="353">
        <f t="shared" si="1"/>
        <v>0</v>
      </c>
      <c r="H23" s="327">
        <f t="shared" si="0"/>
        <v>0</v>
      </c>
      <c r="I23" s="357"/>
    </row>
    <row r="24" spans="1:10" ht="13.9" hidden="1" customHeight="1">
      <c r="A24" s="910">
        <v>11817</v>
      </c>
      <c r="B24" s="302" t="s">
        <v>327</v>
      </c>
      <c r="C24" s="301"/>
      <c r="D24" s="904"/>
      <c r="E24" s="317"/>
      <c r="F24" s="904"/>
      <c r="G24" s="353">
        <f t="shared" si="1"/>
        <v>0</v>
      </c>
      <c r="H24" s="327">
        <f t="shared" si="0"/>
        <v>0</v>
      </c>
      <c r="I24" s="357"/>
    </row>
    <row r="25" spans="1:10" ht="13.9" customHeight="1">
      <c r="A25" s="910">
        <v>11818</v>
      </c>
      <c r="B25" s="302" t="s">
        <v>745</v>
      </c>
      <c r="C25" s="301"/>
      <c r="D25" s="904">
        <v>2458</v>
      </c>
      <c r="E25" s="317"/>
      <c r="F25" s="904">
        <v>1957.39</v>
      </c>
      <c r="G25" s="353">
        <f t="shared" si="1"/>
        <v>1957.39</v>
      </c>
      <c r="H25" s="327">
        <f t="shared" si="0"/>
        <v>-500.6099999999999</v>
      </c>
      <c r="I25" s="357"/>
    </row>
    <row r="26" spans="1:10" ht="13.9" customHeight="1">
      <c r="A26" s="910">
        <v>11899</v>
      </c>
      <c r="B26" s="302" t="s">
        <v>1266</v>
      </c>
      <c r="C26" s="301"/>
      <c r="D26" s="904">
        <v>3238</v>
      </c>
      <c r="E26" s="317"/>
      <c r="F26" s="904">
        <v>4010.78</v>
      </c>
      <c r="G26" s="353">
        <f t="shared" si="1"/>
        <v>4010.78</v>
      </c>
      <c r="H26" s="327">
        <f t="shared" si="0"/>
        <v>772.7800000000002</v>
      </c>
      <c r="I26" s="357"/>
    </row>
    <row r="27" spans="1:10" ht="13.5" customHeight="1">
      <c r="A27" s="326">
        <v>12</v>
      </c>
      <c r="B27" s="315" t="s">
        <v>223</v>
      </c>
      <c r="C27" s="301"/>
      <c r="D27" s="327">
        <f>D28+D41</f>
        <v>467183</v>
      </c>
      <c r="E27" s="327"/>
      <c r="F27" s="327">
        <f>F28+F41</f>
        <v>741111.0199999999</v>
      </c>
      <c r="G27" s="355">
        <f>F27+E27</f>
        <v>741111.0199999999</v>
      </c>
      <c r="H27" s="327">
        <f t="shared" ref="H27:H47" si="2">F27-D27</f>
        <v>273928.0199999999</v>
      </c>
      <c r="I27" s="357"/>
    </row>
    <row r="28" spans="1:10" ht="13.9" customHeight="1">
      <c r="A28" s="326">
        <v>121</v>
      </c>
      <c r="B28" s="315" t="s">
        <v>302</v>
      </c>
      <c r="C28" s="301"/>
      <c r="D28" s="327">
        <f>SUM(D29:D40)</f>
        <v>410388</v>
      </c>
      <c r="E28" s="327"/>
      <c r="F28" s="327">
        <f>SUM(F29:F40)</f>
        <v>682284.92999999993</v>
      </c>
      <c r="G28" s="355">
        <f>F28+E28</f>
        <v>682284.92999999993</v>
      </c>
      <c r="H28" s="327">
        <f t="shared" si="2"/>
        <v>271896.92999999993</v>
      </c>
      <c r="I28" s="357"/>
      <c r="J28" s="903"/>
    </row>
    <row r="29" spans="1:10" ht="13.9" customHeight="1">
      <c r="A29" s="910">
        <v>12105</v>
      </c>
      <c r="B29" s="302" t="s">
        <v>881</v>
      </c>
      <c r="C29" s="301"/>
      <c r="D29" s="304">
        <v>29341</v>
      </c>
      <c r="E29" s="327"/>
      <c r="F29" s="304">
        <v>40050.68</v>
      </c>
      <c r="G29" s="353">
        <f t="shared" ref="G29:G40" si="3">F29</f>
        <v>40050.68</v>
      </c>
      <c r="H29" s="317">
        <f t="shared" si="2"/>
        <v>10709.68</v>
      </c>
      <c r="I29" s="357"/>
      <c r="J29" s="903"/>
    </row>
    <row r="30" spans="1:10" ht="13.9" hidden="1" customHeight="1">
      <c r="A30" s="910">
        <v>12106</v>
      </c>
      <c r="B30" s="302" t="s">
        <v>35</v>
      </c>
      <c r="C30" s="301"/>
      <c r="D30" s="304"/>
      <c r="E30" s="327"/>
      <c r="G30" s="353">
        <f t="shared" si="3"/>
        <v>0</v>
      </c>
      <c r="H30" s="317">
        <f t="shared" si="2"/>
        <v>0</v>
      </c>
      <c r="I30" s="357"/>
      <c r="J30" s="903"/>
    </row>
    <row r="31" spans="1:10" ht="13.9" customHeight="1">
      <c r="A31" s="910">
        <v>12108</v>
      </c>
      <c r="B31" s="302" t="s">
        <v>233</v>
      </c>
      <c r="C31" s="301"/>
      <c r="D31" s="304">
        <v>35862</v>
      </c>
      <c r="E31" s="317"/>
      <c r="F31" s="304">
        <v>42315.46</v>
      </c>
      <c r="G31" s="353">
        <f t="shared" si="3"/>
        <v>42315.46</v>
      </c>
      <c r="H31" s="317">
        <f>F31-D31</f>
        <v>6453.4599999999991</v>
      </c>
      <c r="I31" s="357"/>
      <c r="J31" s="903"/>
    </row>
    <row r="32" spans="1:10" ht="13.9" customHeight="1">
      <c r="A32" s="910">
        <v>12109</v>
      </c>
      <c r="B32" s="302" t="s">
        <v>303</v>
      </c>
      <c r="C32" s="301"/>
      <c r="D32" s="304">
        <v>24043</v>
      </c>
      <c r="E32" s="317"/>
      <c r="F32" s="304">
        <v>30438.43</v>
      </c>
      <c r="G32" s="353">
        <f t="shared" si="3"/>
        <v>30438.43</v>
      </c>
      <c r="H32" s="317">
        <f t="shared" si="2"/>
        <v>6395.43</v>
      </c>
      <c r="I32" s="357"/>
      <c r="J32" s="903"/>
    </row>
    <row r="33" spans="1:10" ht="13.9" customHeight="1">
      <c r="A33" s="910">
        <v>12111</v>
      </c>
      <c r="B33" s="302" t="s">
        <v>306</v>
      </c>
      <c r="C33" s="301"/>
      <c r="D33" s="304">
        <v>5345</v>
      </c>
      <c r="E33" s="317"/>
      <c r="F33" s="304">
        <v>5528.33</v>
      </c>
      <c r="G33" s="353">
        <f t="shared" si="3"/>
        <v>5528.33</v>
      </c>
      <c r="H33" s="317">
        <f t="shared" si="2"/>
        <v>183.32999999999993</v>
      </c>
      <c r="I33" s="357"/>
    </row>
    <row r="34" spans="1:10" ht="13.9" customHeight="1">
      <c r="A34" s="910">
        <v>12114</v>
      </c>
      <c r="B34" s="302" t="s">
        <v>222</v>
      </c>
      <c r="C34" s="301"/>
      <c r="D34" s="304">
        <v>38208</v>
      </c>
      <c r="E34" s="317"/>
      <c r="F34" s="304">
        <v>55412.51</v>
      </c>
      <c r="G34" s="353">
        <f t="shared" si="3"/>
        <v>55412.51</v>
      </c>
      <c r="H34" s="317">
        <f t="shared" si="2"/>
        <v>17204.510000000002</v>
      </c>
      <c r="I34" s="357"/>
      <c r="J34" s="903">
        <f>(+F27+F44)*0.07</f>
        <v>55895.294700000006</v>
      </c>
    </row>
    <row r="35" spans="1:10" ht="13.9" customHeight="1">
      <c r="A35" s="910">
        <v>12115</v>
      </c>
      <c r="B35" s="302" t="s">
        <v>304</v>
      </c>
      <c r="C35" s="301"/>
      <c r="D35" s="304">
        <v>83492</v>
      </c>
      <c r="E35" s="317"/>
      <c r="F35" s="304">
        <v>113201.14</v>
      </c>
      <c r="G35" s="353">
        <f t="shared" si="3"/>
        <v>113201.14</v>
      </c>
      <c r="H35" s="317">
        <f t="shared" si="2"/>
        <v>29709.14</v>
      </c>
      <c r="I35" s="357"/>
      <c r="J35" s="903">
        <f>G11*0.05</f>
        <v>3396.09</v>
      </c>
    </row>
    <row r="36" spans="1:10" ht="13.9" customHeight="1">
      <c r="A36" s="910">
        <v>12117</v>
      </c>
      <c r="B36" s="302" t="s">
        <v>232</v>
      </c>
      <c r="C36" s="301"/>
      <c r="D36" s="304">
        <v>55844</v>
      </c>
      <c r="E36" s="317"/>
      <c r="F36" s="304">
        <v>74919.899999999994</v>
      </c>
      <c r="G36" s="353">
        <f t="shared" si="3"/>
        <v>74919.899999999994</v>
      </c>
      <c r="H36" s="317">
        <f t="shared" si="2"/>
        <v>19075.899999999994</v>
      </c>
      <c r="I36" s="301"/>
      <c r="J36" s="903">
        <f>SUM(J34:J35)</f>
        <v>59291.38470000001</v>
      </c>
    </row>
    <row r="37" spans="1:10" ht="13.9" customHeight="1">
      <c r="A37" s="910">
        <v>12118</v>
      </c>
      <c r="B37" s="302" t="s">
        <v>746</v>
      </c>
      <c r="C37" s="301"/>
      <c r="D37" s="304">
        <v>103480</v>
      </c>
      <c r="E37" s="317"/>
      <c r="F37" s="304">
        <v>271766.24</v>
      </c>
      <c r="G37" s="353">
        <f t="shared" si="3"/>
        <v>271766.24</v>
      </c>
      <c r="H37" s="317">
        <f t="shared" si="2"/>
        <v>168286.24</v>
      </c>
      <c r="I37" s="301"/>
    </row>
    <row r="38" spans="1:10" ht="13.9" customHeight="1">
      <c r="A38" s="910">
        <v>12119</v>
      </c>
      <c r="B38" s="302" t="s">
        <v>305</v>
      </c>
      <c r="C38" s="301"/>
      <c r="D38" s="304">
        <v>2159</v>
      </c>
      <c r="E38" s="317"/>
      <c r="F38" s="304">
        <v>2417.09</v>
      </c>
      <c r="G38" s="353">
        <f t="shared" si="3"/>
        <v>2417.09</v>
      </c>
      <c r="H38" s="317">
        <f t="shared" si="2"/>
        <v>258.09000000000015</v>
      </c>
      <c r="I38" s="357"/>
    </row>
    <row r="39" spans="1:10" ht="13.9" customHeight="1">
      <c r="A39" s="910">
        <v>12123</v>
      </c>
      <c r="B39" s="302" t="s">
        <v>654</v>
      </c>
      <c r="C39" s="301"/>
      <c r="D39" s="304">
        <v>29640</v>
      </c>
      <c r="E39" s="317"/>
      <c r="F39" s="304">
        <v>44799.69</v>
      </c>
      <c r="G39" s="353">
        <f t="shared" si="3"/>
        <v>44799.69</v>
      </c>
      <c r="H39" s="317">
        <f t="shared" si="2"/>
        <v>15159.690000000002</v>
      </c>
      <c r="I39" s="357"/>
    </row>
    <row r="40" spans="1:10" ht="13.9" customHeight="1">
      <c r="A40" s="910">
        <v>12199</v>
      </c>
      <c r="B40" s="302" t="s">
        <v>747</v>
      </c>
      <c r="C40" s="301"/>
      <c r="D40" s="304">
        <v>2974</v>
      </c>
      <c r="E40" s="317"/>
      <c r="F40" s="304">
        <v>1435.46</v>
      </c>
      <c r="G40" s="353">
        <f t="shared" si="3"/>
        <v>1435.46</v>
      </c>
      <c r="H40" s="317">
        <f t="shared" si="2"/>
        <v>-1538.54</v>
      </c>
      <c r="I40" s="357"/>
    </row>
    <row r="41" spans="1:10" s="537" customFormat="1" ht="13.9" customHeight="1">
      <c r="A41" s="326">
        <v>122</v>
      </c>
      <c r="B41" s="315" t="s">
        <v>221</v>
      </c>
      <c r="C41" s="303"/>
      <c r="D41" s="327">
        <f>SUM(D42:D43)</f>
        <v>56795</v>
      </c>
      <c r="E41" s="327"/>
      <c r="F41" s="327">
        <f>SUM(F42:F43)</f>
        <v>58826.09</v>
      </c>
      <c r="G41" s="355">
        <f>F41+E41</f>
        <v>58826.09</v>
      </c>
      <c r="H41" s="327">
        <f t="shared" si="2"/>
        <v>2031.0899999999965</v>
      </c>
      <c r="I41" s="358"/>
      <c r="J41" s="536"/>
    </row>
    <row r="42" spans="1:10" ht="13.9" customHeight="1">
      <c r="A42" s="910">
        <v>12210</v>
      </c>
      <c r="B42" s="302" t="s">
        <v>324</v>
      </c>
      <c r="C42" s="301"/>
      <c r="D42" s="304">
        <v>56507</v>
      </c>
      <c r="E42" s="317"/>
      <c r="F42" s="304">
        <v>58589.84</v>
      </c>
      <c r="G42" s="353">
        <f>F42</f>
        <v>58589.84</v>
      </c>
      <c r="H42" s="317">
        <f t="shared" si="2"/>
        <v>2082.8399999999965</v>
      </c>
      <c r="I42" s="357"/>
    </row>
    <row r="43" spans="1:10" ht="13.9" customHeight="1">
      <c r="A43" s="910">
        <v>12211</v>
      </c>
      <c r="B43" s="302" t="s">
        <v>325</v>
      </c>
      <c r="C43" s="301"/>
      <c r="D43" s="304">
        <v>288</v>
      </c>
      <c r="E43" s="317"/>
      <c r="F43" s="304">
        <v>236.25</v>
      </c>
      <c r="G43" s="353">
        <f>F43</f>
        <v>236.25</v>
      </c>
      <c r="H43" s="317">
        <f t="shared" si="2"/>
        <v>-51.75</v>
      </c>
      <c r="I43" s="357"/>
    </row>
    <row r="44" spans="1:10" ht="13.9" customHeight="1">
      <c r="A44" s="326">
        <v>14</v>
      </c>
      <c r="B44" s="315" t="s">
        <v>749</v>
      </c>
      <c r="C44" s="301"/>
      <c r="D44" s="327">
        <f>D45</f>
        <v>61603</v>
      </c>
      <c r="E44" s="327"/>
      <c r="F44" s="327">
        <f>F45</f>
        <v>57393.19</v>
      </c>
      <c r="G44" s="355">
        <f>F44+E44</f>
        <v>57393.19</v>
      </c>
      <c r="H44" s="327">
        <f t="shared" si="2"/>
        <v>-4209.8099999999977</v>
      </c>
      <c r="I44" s="357"/>
    </row>
    <row r="45" spans="1:10" ht="13.9" customHeight="1">
      <c r="A45" s="326">
        <v>142</v>
      </c>
      <c r="B45" s="315" t="s">
        <v>748</v>
      </c>
      <c r="C45" s="301"/>
      <c r="D45" s="327">
        <f>D46+D47</f>
        <v>61603</v>
      </c>
      <c r="E45" s="327"/>
      <c r="F45" s="327">
        <f>F46+F47</f>
        <v>57393.19</v>
      </c>
      <c r="G45" s="355">
        <f>F45+E45</f>
        <v>57393.19</v>
      </c>
      <c r="H45" s="327">
        <f t="shared" si="2"/>
        <v>-4209.8099999999977</v>
      </c>
      <c r="I45" s="357"/>
    </row>
    <row r="46" spans="1:10" ht="13.9" customHeight="1">
      <c r="A46" s="910">
        <v>14201</v>
      </c>
      <c r="B46" s="302" t="s">
        <v>353</v>
      </c>
      <c r="C46" s="301"/>
      <c r="D46" s="317">
        <v>61603</v>
      </c>
      <c r="E46" s="317"/>
      <c r="F46" s="317">
        <v>57393.19</v>
      </c>
      <c r="G46" s="353">
        <f>F46</f>
        <v>57393.19</v>
      </c>
      <c r="H46" s="317">
        <f t="shared" si="2"/>
        <v>-4209.8099999999977</v>
      </c>
      <c r="I46" s="357"/>
    </row>
    <row r="47" spans="1:10" ht="13.9" customHeight="1">
      <c r="A47" s="910">
        <v>14299</v>
      </c>
      <c r="B47" s="302" t="s">
        <v>36</v>
      </c>
      <c r="C47" s="301"/>
      <c r="D47" s="317"/>
      <c r="E47" s="317"/>
      <c r="F47" s="317"/>
      <c r="G47" s="353">
        <f>F47</f>
        <v>0</v>
      </c>
      <c r="H47" s="317">
        <f t="shared" si="2"/>
        <v>0</v>
      </c>
      <c r="I47" s="357"/>
    </row>
    <row r="48" spans="1:10" ht="13.9" customHeight="1">
      <c r="A48" s="911"/>
      <c r="B48" s="306"/>
      <c r="C48" s="305"/>
      <c r="D48" s="343"/>
      <c r="E48" s="343"/>
      <c r="F48" s="343"/>
      <c r="G48" s="760"/>
      <c r="H48" s="359"/>
      <c r="I48" s="360"/>
    </row>
    <row r="49" spans="1:9" ht="13.9" customHeight="1">
      <c r="D49" s="304"/>
      <c r="E49" s="304"/>
      <c r="G49" s="761"/>
      <c r="H49" s="361"/>
      <c r="I49" s="304"/>
    </row>
    <row r="50" spans="1:9" ht="6" customHeight="1">
      <c r="D50" s="304"/>
      <c r="E50" s="304"/>
      <c r="G50" s="761"/>
      <c r="H50" s="361"/>
      <c r="I50" s="304"/>
    </row>
    <row r="51" spans="1:9" ht="6" customHeight="1">
      <c r="D51" s="304"/>
      <c r="E51" s="304"/>
      <c r="G51" s="761"/>
      <c r="H51" s="361"/>
      <c r="I51" s="304"/>
    </row>
    <row r="52" spans="1:9" ht="6" customHeight="1">
      <c r="D52" s="304"/>
      <c r="E52" s="304"/>
      <c r="G52" s="761"/>
      <c r="H52" s="361"/>
      <c r="I52" s="304"/>
    </row>
    <row r="53" spans="1:9" ht="6" customHeight="1">
      <c r="D53" s="304"/>
      <c r="E53" s="304"/>
      <c r="G53" s="761"/>
      <c r="H53" s="361"/>
      <c r="I53" s="304"/>
    </row>
    <row r="54" spans="1:9" ht="6" customHeight="1">
      <c r="D54" s="304"/>
      <c r="E54" s="304"/>
      <c r="G54" s="761"/>
      <c r="H54" s="361"/>
      <c r="I54" s="304"/>
    </row>
    <row r="55" spans="1:9" ht="6" customHeight="1">
      <c r="D55" s="304"/>
      <c r="E55" s="304"/>
      <c r="G55" s="761"/>
      <c r="H55" s="361"/>
      <c r="I55" s="304"/>
    </row>
    <row r="56" spans="1:9" ht="6" customHeight="1">
      <c r="D56" s="304"/>
      <c r="E56" s="304"/>
      <c r="G56" s="761"/>
      <c r="H56" s="361"/>
      <c r="I56" s="304"/>
    </row>
    <row r="57" spans="1:9" ht="6" customHeight="1">
      <c r="D57" s="304"/>
      <c r="E57" s="304"/>
      <c r="G57" s="761"/>
      <c r="H57" s="361"/>
      <c r="I57" s="304"/>
    </row>
    <row r="58" spans="1:9" ht="6" customHeight="1">
      <c r="D58" s="304"/>
      <c r="E58" s="304"/>
      <c r="G58" s="761"/>
      <c r="H58" s="361"/>
      <c r="I58" s="304"/>
    </row>
    <row r="59" spans="1:9" ht="13.5" customHeight="1">
      <c r="A59" s="1648" t="s">
        <v>252</v>
      </c>
      <c r="B59" s="1648"/>
      <c r="C59" s="1648"/>
      <c r="D59" s="1648"/>
      <c r="E59" s="1648"/>
      <c r="F59" s="1648"/>
      <c r="G59" s="1648"/>
      <c r="H59" s="1648"/>
      <c r="I59" s="1648"/>
    </row>
    <row r="60" spans="1:9" ht="13.5" customHeight="1">
      <c r="A60" s="1648" t="s">
        <v>251</v>
      </c>
      <c r="B60" s="1648"/>
      <c r="C60" s="1648"/>
      <c r="D60" s="1648"/>
      <c r="E60" s="1648"/>
      <c r="F60" s="1648"/>
      <c r="G60" s="1648"/>
      <c r="H60" s="1648"/>
      <c r="I60" s="1648"/>
    </row>
    <row r="61" spans="1:9" ht="13.5" customHeight="1">
      <c r="A61" s="307" t="s">
        <v>757</v>
      </c>
      <c r="B61" s="307"/>
      <c r="C61" s="307"/>
      <c r="D61" s="307"/>
      <c r="E61" s="307"/>
      <c r="F61" s="891"/>
      <c r="G61" s="762"/>
      <c r="H61" s="307"/>
      <c r="I61" s="307"/>
    </row>
    <row r="62" spans="1:9">
      <c r="A62" s="307" t="str">
        <f>A4</f>
        <v>( 2 ) EJERCICICIO FINANCIERO FISCAL : 2017</v>
      </c>
      <c r="B62" s="307"/>
      <c r="C62" s="307"/>
      <c r="D62" s="307"/>
      <c r="E62" s="307"/>
      <c r="F62" s="891"/>
      <c r="G62" s="762"/>
      <c r="H62" s="307"/>
      <c r="I62" s="307"/>
    </row>
    <row r="63" spans="1:9">
      <c r="A63" s="307" t="s">
        <v>337</v>
      </c>
      <c r="B63" s="307"/>
      <c r="C63" s="307"/>
      <c r="D63" s="307"/>
      <c r="E63" s="307"/>
      <c r="F63" s="891"/>
      <c r="G63" s="762"/>
      <c r="H63" s="307"/>
      <c r="I63" s="307"/>
    </row>
    <row r="64" spans="1:9" ht="21.75" customHeight="1">
      <c r="A64" s="882" t="s">
        <v>287</v>
      </c>
      <c r="B64" s="308"/>
      <c r="C64" s="309" t="s">
        <v>358</v>
      </c>
      <c r="D64" s="309" t="s">
        <v>315</v>
      </c>
      <c r="E64" s="309" t="s">
        <v>384</v>
      </c>
      <c r="F64" s="892" t="s">
        <v>60</v>
      </c>
      <c r="G64" s="1661" t="s">
        <v>61</v>
      </c>
      <c r="H64" s="309" t="s">
        <v>454</v>
      </c>
      <c r="I64" s="1658" t="s">
        <v>438</v>
      </c>
    </row>
    <row r="65" spans="1:13" ht="26.25" customHeight="1">
      <c r="A65" s="1651" t="s">
        <v>288</v>
      </c>
      <c r="B65" s="1652"/>
      <c r="C65" s="310" t="s">
        <v>317</v>
      </c>
      <c r="D65" s="310" t="s">
        <v>319</v>
      </c>
      <c r="E65" s="310" t="s">
        <v>385</v>
      </c>
      <c r="F65" s="893" t="s">
        <v>385</v>
      </c>
      <c r="G65" s="1662"/>
      <c r="H65" s="310"/>
      <c r="I65" s="1659"/>
    </row>
    <row r="66" spans="1:13" ht="12" customHeight="1">
      <c r="A66" s="1656" t="s">
        <v>19</v>
      </c>
      <c r="B66" s="1657"/>
      <c r="C66" s="311" t="s">
        <v>318</v>
      </c>
      <c r="D66" s="311" t="s">
        <v>320</v>
      </c>
      <c r="E66" s="311" t="s">
        <v>386</v>
      </c>
      <c r="F66" s="894" t="s">
        <v>386</v>
      </c>
      <c r="G66" s="1663"/>
      <c r="H66" s="311" t="s">
        <v>322</v>
      </c>
      <c r="I66" s="1660"/>
      <c r="J66" s="905"/>
    </row>
    <row r="67" spans="1:13">
      <c r="A67" s="882" t="s">
        <v>298</v>
      </c>
      <c r="B67" s="345"/>
      <c r="C67" s="319" t="s">
        <v>314</v>
      </c>
      <c r="D67" s="320" t="s">
        <v>316</v>
      </c>
      <c r="E67" s="309" t="s">
        <v>363</v>
      </c>
      <c r="F67" s="892" t="s">
        <v>321</v>
      </c>
      <c r="G67" s="881"/>
      <c r="H67" s="320"/>
      <c r="I67" s="320"/>
      <c r="J67" s="905"/>
    </row>
    <row r="68" spans="1:13" ht="13.9" customHeight="1">
      <c r="A68" s="344">
        <v>15</v>
      </c>
      <c r="B68" s="346" t="s">
        <v>220</v>
      </c>
      <c r="C68" s="350"/>
      <c r="D68" s="895">
        <f>D69</f>
        <v>3222</v>
      </c>
      <c r="E68" s="895"/>
      <c r="F68" s="895">
        <f>F69+F78+F75</f>
        <v>11160.27</v>
      </c>
      <c r="G68" s="895">
        <f>F68+E68</f>
        <v>11160.27</v>
      </c>
      <c r="H68" s="895">
        <f t="shared" ref="H68:H73" si="4">F68-D68</f>
        <v>7938.27</v>
      </c>
      <c r="I68" s="362"/>
    </row>
    <row r="69" spans="1:13" ht="13.9" customHeight="1">
      <c r="A69" s="326">
        <v>153</v>
      </c>
      <c r="B69" s="347" t="s">
        <v>219</v>
      </c>
      <c r="C69" s="348"/>
      <c r="D69" s="355">
        <f>SUM(D70:D73)</f>
        <v>3222</v>
      </c>
      <c r="E69" s="355"/>
      <c r="F69" s="355">
        <f>SUM(F70:F73)</f>
        <v>2497.85</v>
      </c>
      <c r="G69" s="355">
        <f>F69+E69</f>
        <v>2497.85</v>
      </c>
      <c r="H69" s="355">
        <f t="shared" si="4"/>
        <v>-724.15000000000009</v>
      </c>
      <c r="I69" s="317"/>
    </row>
    <row r="70" spans="1:13" ht="13.9" customHeight="1">
      <c r="A70" s="883">
        <v>15301</v>
      </c>
      <c r="B70" s="348" t="s">
        <v>750</v>
      </c>
      <c r="C70" s="348"/>
      <c r="D70" s="353">
        <v>1898</v>
      </c>
      <c r="E70" s="353"/>
      <c r="F70" s="353">
        <v>1601.26</v>
      </c>
      <c r="G70" s="353">
        <f>F70</f>
        <v>1601.26</v>
      </c>
      <c r="H70" s="353">
        <f t="shared" si="4"/>
        <v>-296.74</v>
      </c>
      <c r="I70" s="317"/>
    </row>
    <row r="71" spans="1:13" ht="13.9" customHeight="1">
      <c r="A71" s="883">
        <v>15302</v>
      </c>
      <c r="B71" s="348" t="s">
        <v>751</v>
      </c>
      <c r="C71" s="348"/>
      <c r="D71" s="353">
        <v>770</v>
      </c>
      <c r="E71" s="353"/>
      <c r="F71" s="353">
        <v>421.61</v>
      </c>
      <c r="G71" s="353">
        <f>F71</f>
        <v>421.61</v>
      </c>
      <c r="H71" s="353">
        <f t="shared" si="4"/>
        <v>-348.39</v>
      </c>
      <c r="I71" s="317"/>
    </row>
    <row r="72" spans="1:13" ht="13.9" customHeight="1">
      <c r="A72" s="883">
        <v>15312</v>
      </c>
      <c r="B72" s="348" t="s">
        <v>1100</v>
      </c>
      <c r="C72" s="348"/>
      <c r="D72" s="353">
        <v>25</v>
      </c>
      <c r="E72" s="353"/>
      <c r="F72" s="353">
        <v>58.57</v>
      </c>
      <c r="G72" s="353">
        <f>F72</f>
        <v>58.57</v>
      </c>
      <c r="H72" s="353">
        <f t="shared" si="4"/>
        <v>33.57</v>
      </c>
      <c r="I72" s="317"/>
    </row>
    <row r="73" spans="1:13" ht="13.9" customHeight="1">
      <c r="A73" s="883">
        <v>15314</v>
      </c>
      <c r="B73" s="348" t="s">
        <v>323</v>
      </c>
      <c r="C73" s="348"/>
      <c r="D73" s="353">
        <v>529</v>
      </c>
      <c r="E73" s="353"/>
      <c r="F73" s="353">
        <v>416.41</v>
      </c>
      <c r="G73" s="353">
        <f>F73</f>
        <v>416.41</v>
      </c>
      <c r="H73" s="353">
        <f t="shared" si="4"/>
        <v>-112.58999999999997</v>
      </c>
      <c r="I73" s="317"/>
      <c r="L73" s="535">
        <v>43849.4</v>
      </c>
      <c r="M73" s="535">
        <f>L73*12</f>
        <v>526192.80000000005</v>
      </c>
    </row>
    <row r="74" spans="1:13">
      <c r="A74" s="883"/>
      <c r="B74" s="883"/>
      <c r="C74" s="351"/>
      <c r="D74" s="353"/>
      <c r="E74" s="896"/>
      <c r="F74" s="896"/>
      <c r="G74" s="896"/>
      <c r="H74" s="353"/>
      <c r="I74" s="302"/>
      <c r="J74" s="905"/>
    </row>
    <row r="75" spans="1:13" s="537" customFormat="1" hidden="1">
      <c r="A75" s="326">
        <v>154</v>
      </c>
      <c r="B75" s="326" t="s">
        <v>547</v>
      </c>
      <c r="C75" s="352"/>
      <c r="D75" s="897">
        <f>D76</f>
        <v>0</v>
      </c>
      <c r="E75" s="897"/>
      <c r="F75" s="897">
        <f>F76</f>
        <v>0</v>
      </c>
      <c r="G75" s="355">
        <f>F75</f>
        <v>0</v>
      </c>
      <c r="H75" s="355"/>
      <c r="I75" s="315"/>
      <c r="J75" s="906"/>
    </row>
    <row r="76" spans="1:13" hidden="1">
      <c r="A76" s="883">
        <v>15499</v>
      </c>
      <c r="B76" s="883" t="s">
        <v>548</v>
      </c>
      <c r="C76" s="351"/>
      <c r="D76" s="896"/>
      <c r="E76" s="896"/>
      <c r="F76" s="896"/>
      <c r="G76" s="353">
        <f>F76</f>
        <v>0</v>
      </c>
      <c r="H76" s="353"/>
      <c r="I76" s="302"/>
      <c r="J76" s="905"/>
    </row>
    <row r="77" spans="1:13" hidden="1">
      <c r="A77" s="883"/>
      <c r="B77" s="883"/>
      <c r="C77" s="351"/>
      <c r="D77" s="353"/>
      <c r="E77" s="896"/>
      <c r="F77" s="896"/>
      <c r="G77" s="896"/>
      <c r="H77" s="353"/>
      <c r="I77" s="302"/>
      <c r="J77" s="905"/>
    </row>
    <row r="78" spans="1:13">
      <c r="A78" s="326">
        <v>157</v>
      </c>
      <c r="B78" s="347" t="s">
        <v>329</v>
      </c>
      <c r="C78" s="351"/>
      <c r="D78" s="897">
        <f>D80+D79</f>
        <v>5687</v>
      </c>
      <c r="E78" s="896"/>
      <c r="F78" s="897">
        <f>F79+F80</f>
        <v>8662.42</v>
      </c>
      <c r="G78" s="897">
        <f>G79</f>
        <v>1205.28</v>
      </c>
      <c r="H78" s="897">
        <f>H79</f>
        <v>-963.72</v>
      </c>
      <c r="I78" s="302"/>
      <c r="J78" s="905"/>
    </row>
    <row r="79" spans="1:13">
      <c r="A79" s="883">
        <v>15703</v>
      </c>
      <c r="B79" s="348" t="s">
        <v>330</v>
      </c>
      <c r="C79" s="351"/>
      <c r="D79" s="896">
        <v>2169</v>
      </c>
      <c r="E79" s="896"/>
      <c r="F79" s="896">
        <v>1205.28</v>
      </c>
      <c r="G79" s="353">
        <f>F79</f>
        <v>1205.28</v>
      </c>
      <c r="H79" s="353">
        <f>F79-D79</f>
        <v>-963.72</v>
      </c>
      <c r="I79" s="302"/>
      <c r="J79" s="905"/>
    </row>
    <row r="80" spans="1:13">
      <c r="A80" s="883">
        <v>15799</v>
      </c>
      <c r="B80" s="883" t="s">
        <v>549</v>
      </c>
      <c r="C80" s="351"/>
      <c r="D80" s="896">
        <v>3518</v>
      </c>
      <c r="E80" s="896"/>
      <c r="F80" s="896">
        <v>7457.14</v>
      </c>
      <c r="G80" s="353">
        <f>F80</f>
        <v>7457.14</v>
      </c>
      <c r="H80" s="353"/>
      <c r="I80" s="302"/>
      <c r="J80" s="905"/>
    </row>
    <row r="81" spans="1:10">
      <c r="A81" s="883"/>
      <c r="B81" s="883"/>
      <c r="C81" s="351"/>
      <c r="D81" s="353"/>
      <c r="E81" s="896"/>
      <c r="F81" s="896"/>
      <c r="G81" s="896"/>
      <c r="H81" s="353"/>
      <c r="I81" s="302"/>
      <c r="J81" s="905"/>
    </row>
    <row r="82" spans="1:10">
      <c r="A82" s="326">
        <v>16</v>
      </c>
      <c r="B82" s="347" t="s">
        <v>307</v>
      </c>
      <c r="C82" s="348"/>
      <c r="D82" s="355">
        <f t="shared" ref="D82:F83" si="5">D83</f>
        <v>532534.80000000005</v>
      </c>
      <c r="E82" s="355">
        <f t="shared" si="5"/>
        <v>526192.80000000005</v>
      </c>
      <c r="F82" s="355">
        <f t="shared" si="5"/>
        <v>0</v>
      </c>
      <c r="G82" s="355">
        <f>F82+E82</f>
        <v>526192.80000000005</v>
      </c>
      <c r="H82" s="355">
        <f>E82-D82</f>
        <v>-6342</v>
      </c>
      <c r="I82" s="317"/>
      <c r="J82" s="905"/>
    </row>
    <row r="83" spans="1:10">
      <c r="A83" s="326">
        <v>162</v>
      </c>
      <c r="B83" s="347" t="s">
        <v>308</v>
      </c>
      <c r="C83" s="348"/>
      <c r="D83" s="355">
        <f t="shared" si="5"/>
        <v>532534.80000000005</v>
      </c>
      <c r="E83" s="355">
        <f t="shared" si="5"/>
        <v>526192.80000000005</v>
      </c>
      <c r="F83" s="355">
        <f t="shared" si="5"/>
        <v>0</v>
      </c>
      <c r="G83" s="355">
        <f>F83+E83</f>
        <v>526192.80000000005</v>
      </c>
      <c r="H83" s="355">
        <f>E83-D83</f>
        <v>-6342</v>
      </c>
      <c r="I83" s="317"/>
      <c r="J83" s="905"/>
    </row>
    <row r="84" spans="1:10">
      <c r="A84" s="883">
        <v>16201</v>
      </c>
      <c r="B84" s="348" t="s">
        <v>308</v>
      </c>
      <c r="C84" s="348"/>
      <c r="D84" s="353">
        <v>532534.80000000005</v>
      </c>
      <c r="E84" s="355">
        <v>526192.80000000005</v>
      </c>
      <c r="F84" s="355"/>
      <c r="G84" s="355">
        <f>F84+E84</f>
        <v>526192.80000000005</v>
      </c>
      <c r="H84" s="355">
        <f>E84-D84</f>
        <v>-6342</v>
      </c>
      <c r="I84" s="317"/>
      <c r="J84" s="1046"/>
    </row>
    <row r="85" spans="1:10">
      <c r="A85" s="883"/>
      <c r="B85" s="883"/>
      <c r="C85" s="351"/>
      <c r="D85" s="896"/>
      <c r="E85" s="896"/>
      <c r="F85" s="896"/>
      <c r="G85" s="896"/>
      <c r="H85" s="353"/>
      <c r="I85" s="302"/>
      <c r="J85" s="905"/>
    </row>
    <row r="86" spans="1:10">
      <c r="A86" s="883"/>
      <c r="B86" s="883"/>
      <c r="C86" s="351"/>
      <c r="D86" s="896"/>
      <c r="E86" s="896"/>
      <c r="F86" s="896"/>
      <c r="G86" s="896"/>
      <c r="H86" s="353"/>
      <c r="I86" s="302"/>
      <c r="J86" s="905"/>
    </row>
    <row r="87" spans="1:10">
      <c r="A87" s="883"/>
      <c r="B87" s="883"/>
      <c r="C87" s="351"/>
      <c r="D87" s="896"/>
      <c r="E87" s="896"/>
      <c r="F87" s="896"/>
      <c r="G87" s="896"/>
      <c r="H87" s="353"/>
      <c r="I87" s="302"/>
      <c r="J87" s="905"/>
    </row>
    <row r="88" spans="1:10">
      <c r="A88" s="883"/>
      <c r="B88" s="883"/>
      <c r="C88" s="351"/>
      <c r="D88" s="896"/>
      <c r="E88" s="896"/>
      <c r="F88" s="896"/>
      <c r="G88" s="896"/>
      <c r="H88" s="353"/>
      <c r="I88" s="302"/>
      <c r="J88" s="905"/>
    </row>
    <row r="89" spans="1:10">
      <c r="A89" s="326">
        <v>32</v>
      </c>
      <c r="B89" s="347" t="s">
        <v>310</v>
      </c>
      <c r="C89" s="348"/>
      <c r="D89" s="355">
        <f>D90</f>
        <v>62000</v>
      </c>
      <c r="E89" s="355">
        <f>E91</f>
        <v>0</v>
      </c>
      <c r="F89" s="355">
        <f>F91+F92+F93</f>
        <v>0</v>
      </c>
      <c r="G89" s="355">
        <f>F89+E89</f>
        <v>0</v>
      </c>
      <c r="H89" s="355">
        <f>E89-D89</f>
        <v>-62000</v>
      </c>
      <c r="I89" s="317"/>
    </row>
    <row r="90" spans="1:10" s="537" customFormat="1">
      <c r="A90" s="326">
        <v>321</v>
      </c>
      <c r="B90" s="347" t="s">
        <v>311</v>
      </c>
      <c r="C90" s="347"/>
      <c r="D90" s="355">
        <f>D91+D92</f>
        <v>62000</v>
      </c>
      <c r="E90" s="355">
        <f>E91</f>
        <v>0</v>
      </c>
      <c r="F90" s="355">
        <f>F91+F92+F93</f>
        <v>0</v>
      </c>
      <c r="G90" s="355">
        <f>F90+E90</f>
        <v>0</v>
      </c>
      <c r="H90" s="355">
        <f>E90-D90</f>
        <v>-62000</v>
      </c>
      <c r="I90" s="327"/>
      <c r="J90" s="536"/>
    </row>
    <row r="91" spans="1:10">
      <c r="A91" s="883">
        <v>32102</v>
      </c>
      <c r="B91" s="348" t="s">
        <v>312</v>
      </c>
      <c r="C91" s="348"/>
      <c r="D91" s="353">
        <v>10000</v>
      </c>
      <c r="E91" s="353"/>
      <c r="F91" s="353"/>
      <c r="G91" s="353"/>
      <c r="H91" s="353">
        <f>E91-D91</f>
        <v>-10000</v>
      </c>
      <c r="I91" s="317"/>
    </row>
    <row r="92" spans="1:10">
      <c r="A92" s="883">
        <v>32201</v>
      </c>
      <c r="B92" s="348" t="s">
        <v>1267</v>
      </c>
      <c r="C92" s="348"/>
      <c r="D92" s="353">
        <v>52000</v>
      </c>
      <c r="E92" s="353"/>
      <c r="F92" s="353"/>
      <c r="G92" s="353"/>
      <c r="H92" s="353">
        <f>E92-D92</f>
        <v>-52000</v>
      </c>
      <c r="I92" s="317"/>
    </row>
    <row r="93" spans="1:10">
      <c r="A93" s="1097">
        <v>32201</v>
      </c>
      <c r="B93" s="348" t="s">
        <v>1271</v>
      </c>
      <c r="C93" s="348"/>
      <c r="D93" s="353">
        <v>34000</v>
      </c>
      <c r="E93" s="353"/>
      <c r="F93" s="353"/>
      <c r="G93" s="355"/>
      <c r="H93" s="353">
        <f>E93-D93</f>
        <v>-34000</v>
      </c>
      <c r="I93" s="317"/>
    </row>
    <row r="94" spans="1:10">
      <c r="A94" s="883"/>
      <c r="B94" s="348"/>
      <c r="C94" s="348"/>
      <c r="D94" s="353"/>
      <c r="E94" s="353"/>
      <c r="F94" s="353"/>
      <c r="G94" s="355"/>
      <c r="H94" s="355"/>
      <c r="I94" s="317"/>
    </row>
    <row r="95" spans="1:10">
      <c r="A95" s="883"/>
      <c r="B95" s="348" t="s">
        <v>331</v>
      </c>
      <c r="C95" s="348"/>
      <c r="D95" s="355">
        <f>D89+D82+D68+D44+D27+D10+D78</f>
        <v>1209576.8</v>
      </c>
      <c r="E95" s="355">
        <f>E89+E82+E68+E44+E27+E10</f>
        <v>526192.80000000005</v>
      </c>
      <c r="F95" s="355">
        <f>F89+F82+F68+F44+F27+F10</f>
        <v>877586.27999999991</v>
      </c>
      <c r="G95" s="355">
        <f>F95+E95</f>
        <v>1403779.08</v>
      </c>
      <c r="H95" s="355">
        <f>G95-D95</f>
        <v>194202.28000000003</v>
      </c>
      <c r="I95" s="317"/>
    </row>
    <row r="96" spans="1:10">
      <c r="A96" s="883"/>
      <c r="B96" s="348" t="s">
        <v>756</v>
      </c>
      <c r="C96" s="348"/>
      <c r="D96" s="355">
        <f>D90+D83+D69+D45+D41+D28+D11+D78</f>
        <v>1209576.8</v>
      </c>
      <c r="E96" s="355">
        <f>E90+E83+E69+E45+E41+E28+E11</f>
        <v>526192.80000000005</v>
      </c>
      <c r="F96" s="355">
        <f>F90+F83+F69+F45+F41+F28+F11+F78+F75</f>
        <v>877586.28</v>
      </c>
      <c r="G96" s="355">
        <f>F96+E96</f>
        <v>1403779.08</v>
      </c>
      <c r="H96" s="355">
        <f>G96-D96</f>
        <v>194202.28000000003</v>
      </c>
      <c r="I96" s="317"/>
    </row>
    <row r="97" spans="1:9">
      <c r="A97" s="883"/>
      <c r="B97" s="348" t="s">
        <v>333</v>
      </c>
      <c r="C97" s="348"/>
      <c r="D97" s="355">
        <f>SUM(D12:D26,D29:D40,D42:D43,D46,D70:D73,D79:D80,D84,D91:D92)</f>
        <v>1209576.8</v>
      </c>
      <c r="E97" s="355">
        <f>E84+E91+E73+E71+E70+E46+E43+E42+E40+E38+E37+E36+E35+E34+E33+E32+E31+E30+E39+E47+E25+E24+E23+E15+E14+E13+E12</f>
        <v>526192.80000000005</v>
      </c>
      <c r="F97" s="355">
        <f>F84+F90++F16+F17+F18+F19+FF2063+F71+F70+F46+F43+F42+F40+F38+F37+F36+F35+F34+F33+F32+F31+F30+F39+F47+F25+F24+F23+F15+F14+F13+F12+F80+F79+F76+F29+F73+F20+F21+F22+F26+F72</f>
        <v>877586.28</v>
      </c>
      <c r="G97" s="355">
        <f>F97+E97</f>
        <v>1403779.08</v>
      </c>
      <c r="H97" s="355">
        <f>G97-D97</f>
        <v>194202.28000000003</v>
      </c>
      <c r="I97" s="317"/>
    </row>
    <row r="98" spans="1:9">
      <c r="A98" s="883"/>
      <c r="B98" s="348"/>
      <c r="C98" s="348"/>
      <c r="D98" s="355"/>
      <c r="E98" s="355"/>
      <c r="F98" s="355"/>
      <c r="G98" s="353"/>
      <c r="H98" s="353"/>
      <c r="I98" s="317"/>
    </row>
    <row r="99" spans="1:9">
      <c r="A99" s="883"/>
      <c r="B99" s="348"/>
      <c r="C99" s="348"/>
      <c r="D99" s="355"/>
      <c r="E99" s="355"/>
      <c r="F99" s="355"/>
      <c r="G99" s="353"/>
      <c r="H99" s="353"/>
      <c r="I99" s="317"/>
    </row>
    <row r="100" spans="1:9" hidden="1">
      <c r="A100" s="883"/>
      <c r="B100" s="348"/>
      <c r="C100" s="348"/>
      <c r="D100" s="354"/>
      <c r="E100" s="354"/>
      <c r="F100" s="355"/>
      <c r="G100" s="754"/>
      <c r="H100" s="353"/>
      <c r="I100" s="317"/>
    </row>
    <row r="101" spans="1:9">
      <c r="A101" s="883"/>
      <c r="B101" s="348"/>
      <c r="C101" s="348"/>
      <c r="D101" s="354"/>
      <c r="E101" s="354"/>
      <c r="F101" s="355"/>
      <c r="G101" s="754"/>
      <c r="H101" s="353"/>
      <c r="I101" s="317"/>
    </row>
    <row r="102" spans="1:9" hidden="1">
      <c r="A102" s="883"/>
      <c r="B102" s="348"/>
      <c r="C102" s="348"/>
      <c r="D102" s="354"/>
      <c r="E102" s="354"/>
      <c r="F102" s="355"/>
      <c r="G102" s="754"/>
      <c r="H102" s="353"/>
      <c r="I102" s="317"/>
    </row>
    <row r="103" spans="1:9" hidden="1">
      <c r="A103" s="883"/>
      <c r="B103" s="348"/>
      <c r="C103" s="348"/>
      <c r="D103" s="354"/>
      <c r="E103" s="354"/>
      <c r="F103" s="355"/>
      <c r="G103" s="754"/>
      <c r="H103" s="353"/>
      <c r="I103" s="317"/>
    </row>
    <row r="104" spans="1:9" hidden="1">
      <c r="A104" s="883"/>
      <c r="B104" s="348"/>
      <c r="C104" s="348"/>
      <c r="D104" s="354"/>
      <c r="E104" s="354"/>
      <c r="F104" s="355"/>
      <c r="G104" s="754"/>
      <c r="H104" s="353"/>
      <c r="I104" s="317"/>
    </row>
    <row r="105" spans="1:9" hidden="1">
      <c r="A105" s="883"/>
      <c r="B105" s="348"/>
      <c r="C105" s="348"/>
      <c r="D105" s="354"/>
      <c r="E105" s="354"/>
      <c r="F105" s="355"/>
      <c r="G105" s="754"/>
      <c r="H105" s="353"/>
      <c r="I105" s="317"/>
    </row>
    <row r="106" spans="1:9">
      <c r="A106" s="883"/>
      <c r="B106" s="348"/>
      <c r="C106" s="348"/>
      <c r="D106" s="354"/>
      <c r="E106" s="354"/>
      <c r="F106" s="355"/>
      <c r="G106" s="754"/>
      <c r="H106" s="353"/>
      <c r="I106" s="317"/>
    </row>
    <row r="107" spans="1:9">
      <c r="A107" s="883"/>
      <c r="B107" s="348"/>
      <c r="C107" s="348"/>
      <c r="D107" s="354"/>
      <c r="E107" s="354"/>
      <c r="F107" s="355"/>
      <c r="G107" s="754"/>
      <c r="H107" s="353"/>
      <c r="I107" s="317"/>
    </row>
    <row r="108" spans="1:9">
      <c r="A108" s="884"/>
      <c r="B108" s="349"/>
      <c r="C108" s="349"/>
      <c r="D108" s="349"/>
      <c r="E108" s="349"/>
      <c r="F108" s="356"/>
      <c r="G108" s="763"/>
      <c r="H108" s="349"/>
      <c r="I108" s="343"/>
    </row>
    <row r="109" spans="1:9" ht="70.150000000000006" customHeight="1">
      <c r="C109" s="304"/>
      <c r="D109" s="304"/>
      <c r="E109" s="304"/>
      <c r="H109" s="304"/>
    </row>
    <row r="110" spans="1:9">
      <c r="C110" s="304"/>
      <c r="D110" s="304"/>
      <c r="E110" s="304"/>
      <c r="H110" s="304"/>
    </row>
    <row r="111" spans="1:9">
      <c r="C111" s="304"/>
      <c r="D111" s="304"/>
      <c r="E111" s="304"/>
      <c r="H111" s="304"/>
    </row>
    <row r="112" spans="1:9">
      <c r="C112" s="304"/>
      <c r="D112" s="304"/>
      <c r="E112" s="304"/>
      <c r="H112" s="304"/>
    </row>
    <row r="113" spans="1:11">
      <c r="C113" s="304"/>
      <c r="D113" s="304"/>
      <c r="E113" s="304"/>
      <c r="H113" s="304"/>
    </row>
    <row r="114" spans="1:11">
      <c r="A114" s="1648" t="s">
        <v>252</v>
      </c>
      <c r="B114" s="1648"/>
      <c r="C114" s="1648"/>
      <c r="D114" s="1648"/>
      <c r="E114" s="1648"/>
      <c r="F114" s="1648"/>
      <c r="G114" s="1648"/>
      <c r="H114" s="1648"/>
      <c r="I114" s="1648"/>
    </row>
    <row r="115" spans="1:11" ht="12.75">
      <c r="A115" s="1648" t="s">
        <v>251</v>
      </c>
      <c r="B115" s="1648"/>
      <c r="C115" s="1648"/>
      <c r="D115" s="1648"/>
      <c r="E115" s="1648"/>
      <c r="F115" s="1648"/>
      <c r="G115" s="1648"/>
      <c r="H115" s="1648"/>
      <c r="I115" s="1648"/>
      <c r="J115" s="907"/>
    </row>
    <row r="116" spans="1:11" ht="12.75">
      <c r="J116" s="907"/>
      <c r="K116" s="908"/>
    </row>
    <row r="117" spans="1:11">
      <c r="A117" s="307" t="s">
        <v>758</v>
      </c>
      <c r="B117" s="307"/>
      <c r="C117" s="307"/>
      <c r="J117" s="909"/>
    </row>
    <row r="118" spans="1:11">
      <c r="A118" s="307" t="str">
        <f>A62</f>
        <v>( 2 ) EJERCICICIO FINANCIERO FISCAL : 2017</v>
      </c>
      <c r="B118" s="307"/>
      <c r="C118" s="307"/>
    </row>
    <row r="119" spans="1:11">
      <c r="A119" s="307" t="s">
        <v>688</v>
      </c>
      <c r="B119" s="307"/>
      <c r="C119" s="307"/>
    </row>
    <row r="120" spans="1:11" ht="18" customHeight="1">
      <c r="A120" s="1649" t="s">
        <v>287</v>
      </c>
      <c r="B120" s="1650"/>
      <c r="C120" s="319" t="s">
        <v>313</v>
      </c>
      <c r="D120" s="320" t="s">
        <v>315</v>
      </c>
      <c r="E120" s="319" t="s">
        <v>384</v>
      </c>
      <c r="F120" s="898" t="s">
        <v>60</v>
      </c>
      <c r="G120" s="1653" t="s">
        <v>61</v>
      </c>
      <c r="H120" s="321" t="s">
        <v>454</v>
      </c>
      <c r="I120" s="1658" t="s">
        <v>437</v>
      </c>
    </row>
    <row r="121" spans="1:11" ht="18" customHeight="1">
      <c r="A121" s="1651" t="s">
        <v>288</v>
      </c>
      <c r="B121" s="1652"/>
      <c r="C121" s="316" t="s">
        <v>317</v>
      </c>
      <c r="D121" s="302" t="s">
        <v>319</v>
      </c>
      <c r="E121" s="302" t="s">
        <v>385</v>
      </c>
      <c r="F121" s="317" t="s">
        <v>385</v>
      </c>
      <c r="G121" s="1654"/>
      <c r="H121" s="301"/>
      <c r="I121" s="1659"/>
    </row>
    <row r="122" spans="1:11" ht="18" customHeight="1">
      <c r="A122" s="1656" t="s">
        <v>19</v>
      </c>
      <c r="B122" s="1657"/>
      <c r="C122" s="322" t="s">
        <v>318</v>
      </c>
      <c r="D122" s="306" t="s">
        <v>320</v>
      </c>
      <c r="E122" s="306" t="s">
        <v>386</v>
      </c>
      <c r="F122" s="343" t="s">
        <v>386</v>
      </c>
      <c r="G122" s="1655"/>
      <c r="H122" s="305" t="s">
        <v>322</v>
      </c>
      <c r="I122" s="1660"/>
    </row>
    <row r="123" spans="1:11">
      <c r="A123" s="312" t="s">
        <v>298</v>
      </c>
      <c r="B123" s="323"/>
      <c r="C123" s="313" t="s">
        <v>314</v>
      </c>
      <c r="D123" s="314" t="s">
        <v>316</v>
      </c>
      <c r="E123" s="324" t="s">
        <v>363</v>
      </c>
      <c r="F123" s="342" t="s">
        <v>40</v>
      </c>
      <c r="G123" s="764"/>
      <c r="H123" s="325"/>
      <c r="I123" s="314"/>
    </row>
    <row r="124" spans="1:11">
      <c r="A124" s="883"/>
      <c r="B124" s="320"/>
      <c r="C124" s="302"/>
      <c r="D124" s="355"/>
      <c r="E124" s="765"/>
      <c r="F124" s="327"/>
      <c r="G124" s="327"/>
      <c r="H124" s="327"/>
      <c r="I124" s="327"/>
    </row>
    <row r="125" spans="1:11">
      <c r="A125" s="883"/>
      <c r="B125" s="302"/>
      <c r="C125" s="327"/>
      <c r="D125" s="355"/>
      <c r="E125" s="327"/>
      <c r="F125" s="327"/>
      <c r="G125" s="327"/>
      <c r="H125" s="327"/>
      <c r="I125" s="317"/>
    </row>
    <row r="126" spans="1:11">
      <c r="A126" s="883"/>
      <c r="B126" s="302"/>
      <c r="C126" s="317"/>
      <c r="D126" s="353"/>
      <c r="E126" s="317"/>
      <c r="F126" s="317"/>
      <c r="G126" s="317"/>
      <c r="H126" s="327"/>
      <c r="I126" s="317"/>
    </row>
    <row r="127" spans="1:11">
      <c r="A127" s="326">
        <v>22</v>
      </c>
      <c r="B127" s="315" t="s">
        <v>309</v>
      </c>
      <c r="C127" s="327"/>
      <c r="D127" s="355">
        <f>D128</f>
        <v>1818612.5799999998</v>
      </c>
      <c r="E127" s="327">
        <f>E128</f>
        <v>1578578.52</v>
      </c>
      <c r="F127" s="327"/>
      <c r="G127" s="327">
        <f t="shared" ref="G127:G132" si="6">F127+E127</f>
        <v>1578578.52</v>
      </c>
      <c r="H127" s="327">
        <f>E127-D127</f>
        <v>-240034.05999999982</v>
      </c>
      <c r="I127" s="317"/>
    </row>
    <row r="128" spans="1:11">
      <c r="A128" s="326">
        <v>222</v>
      </c>
      <c r="B128" s="315" t="s">
        <v>309</v>
      </c>
      <c r="C128" s="327"/>
      <c r="D128" s="355">
        <f>SUM(D129:D132)</f>
        <v>1818612.5799999998</v>
      </c>
      <c r="E128" s="327">
        <f>SUM(E129:E132)</f>
        <v>1578578.52</v>
      </c>
      <c r="F128" s="327"/>
      <c r="G128" s="327">
        <f t="shared" si="6"/>
        <v>1578578.52</v>
      </c>
      <c r="H128" s="327">
        <f>E128-D128</f>
        <v>-240034.05999999982</v>
      </c>
      <c r="I128" s="317"/>
    </row>
    <row r="129" spans="1:10">
      <c r="A129" s="883">
        <v>22201</v>
      </c>
      <c r="B129" s="302" t="s">
        <v>942</v>
      </c>
      <c r="C129" s="317"/>
      <c r="D129" s="304">
        <v>1597604.4</v>
      </c>
      <c r="E129" s="317">
        <v>1578578.52</v>
      </c>
      <c r="F129" s="317"/>
      <c r="G129" s="317">
        <f t="shared" si="6"/>
        <v>1578578.52</v>
      </c>
      <c r="H129" s="317">
        <f>E129-D129</f>
        <v>-19025.879999999888</v>
      </c>
      <c r="I129" s="317"/>
    </row>
    <row r="130" spans="1:10">
      <c r="A130" s="883">
        <v>22201</v>
      </c>
      <c r="B130" s="302" t="s">
        <v>943</v>
      </c>
      <c r="C130" s="317"/>
      <c r="D130" s="304">
        <v>153074.28</v>
      </c>
      <c r="E130" s="317"/>
      <c r="F130" s="317"/>
      <c r="G130" s="317">
        <f t="shared" si="6"/>
        <v>0</v>
      </c>
      <c r="H130" s="317">
        <f>E130-D130</f>
        <v>-153074.28</v>
      </c>
      <c r="I130" s="317"/>
    </row>
    <row r="131" spans="1:10">
      <c r="A131" s="883">
        <v>22201</v>
      </c>
      <c r="B131" s="302" t="s">
        <v>944</v>
      </c>
      <c r="C131" s="317"/>
      <c r="D131" s="304">
        <v>67933.899999999994</v>
      </c>
      <c r="E131" s="317"/>
      <c r="F131" s="317"/>
      <c r="G131" s="317">
        <f t="shared" si="6"/>
        <v>0</v>
      </c>
      <c r="H131" s="317">
        <f>E131-D131</f>
        <v>-67933.899999999994</v>
      </c>
      <c r="I131" s="317"/>
    </row>
    <row r="132" spans="1:10">
      <c r="A132" s="883">
        <v>22202</v>
      </c>
      <c r="B132" s="302" t="s">
        <v>945</v>
      </c>
      <c r="C132" s="317"/>
      <c r="D132" s="353"/>
      <c r="E132" s="317"/>
      <c r="F132" s="317"/>
      <c r="G132" s="317">
        <f t="shared" si="6"/>
        <v>0</v>
      </c>
      <c r="H132" s="317">
        <f>D132-E132</f>
        <v>0</v>
      </c>
      <c r="I132" s="317"/>
    </row>
    <row r="133" spans="1:10">
      <c r="A133" s="883"/>
      <c r="B133" s="302"/>
      <c r="C133" s="317"/>
      <c r="D133" s="353"/>
      <c r="E133" s="317"/>
      <c r="F133" s="317"/>
      <c r="G133" s="327"/>
      <c r="H133" s="327"/>
      <c r="I133" s="317"/>
    </row>
    <row r="134" spans="1:10" s="537" customFormat="1">
      <c r="A134" s="326">
        <v>31</v>
      </c>
      <c r="B134" s="315" t="s">
        <v>933</v>
      </c>
      <c r="C134" s="327"/>
      <c r="D134" s="355">
        <f>D135</f>
        <v>0</v>
      </c>
      <c r="E134" s="327"/>
      <c r="F134" s="327">
        <f>F135</f>
        <v>3250000</v>
      </c>
      <c r="G134" s="327">
        <f>F134+E134</f>
        <v>3250000</v>
      </c>
      <c r="H134" s="327">
        <f>SUM(H136:H137)</f>
        <v>-3250000</v>
      </c>
      <c r="I134" s="327"/>
      <c r="J134" s="536"/>
    </row>
    <row r="135" spans="1:10" s="537" customFormat="1">
      <c r="A135" s="326">
        <v>313</v>
      </c>
      <c r="B135" s="315" t="s">
        <v>934</v>
      </c>
      <c r="C135" s="327"/>
      <c r="D135" s="355">
        <f>D137</f>
        <v>0</v>
      </c>
      <c r="E135" s="327"/>
      <c r="F135" s="327">
        <f>F136</f>
        <v>3250000</v>
      </c>
      <c r="G135" s="327">
        <f>F135+E135</f>
        <v>3250000</v>
      </c>
      <c r="H135" s="327">
        <f>D135-G135</f>
        <v>-3250000</v>
      </c>
      <c r="I135" s="327"/>
      <c r="J135" s="536"/>
    </row>
    <row r="136" spans="1:10">
      <c r="A136" s="883">
        <v>31304</v>
      </c>
      <c r="B136" s="302" t="s">
        <v>1140</v>
      </c>
      <c r="C136" s="317"/>
      <c r="D136" s="353"/>
      <c r="E136" s="317"/>
      <c r="F136" s="317">
        <v>3250000</v>
      </c>
      <c r="G136" s="317">
        <f>F136+E136</f>
        <v>3250000</v>
      </c>
      <c r="H136" s="327">
        <f>D136-G136</f>
        <v>-3250000</v>
      </c>
      <c r="I136" s="317"/>
    </row>
    <row r="137" spans="1:10">
      <c r="A137" s="883">
        <v>31308</v>
      </c>
      <c r="B137" s="302" t="s">
        <v>935</v>
      </c>
      <c r="C137" s="317"/>
      <c r="D137" s="353"/>
      <c r="E137" s="317"/>
      <c r="F137" s="317"/>
      <c r="G137" s="317">
        <f>F137+E137</f>
        <v>0</v>
      </c>
      <c r="H137" s="317">
        <f>D137-F137</f>
        <v>0</v>
      </c>
      <c r="I137" s="317"/>
    </row>
    <row r="138" spans="1:10">
      <c r="A138" s="883"/>
      <c r="B138" s="302"/>
      <c r="C138" s="317"/>
      <c r="D138" s="353"/>
      <c r="E138" s="317"/>
      <c r="F138" s="317"/>
      <c r="G138" s="327"/>
      <c r="H138" s="327"/>
      <c r="I138" s="317"/>
    </row>
    <row r="139" spans="1:10" hidden="1">
      <c r="A139" s="883"/>
      <c r="B139" s="302"/>
      <c r="C139" s="317"/>
      <c r="D139" s="353"/>
      <c r="E139" s="317"/>
      <c r="F139" s="317"/>
      <c r="G139" s="327"/>
      <c r="H139" s="327"/>
      <c r="I139" s="317"/>
    </row>
    <row r="140" spans="1:10" hidden="1">
      <c r="A140" s="883"/>
      <c r="B140" s="302"/>
      <c r="C140" s="317"/>
      <c r="D140" s="353"/>
      <c r="E140" s="317"/>
      <c r="F140" s="317"/>
      <c r="G140" s="327"/>
      <c r="H140" s="327"/>
      <c r="I140" s="317"/>
    </row>
    <row r="141" spans="1:10" hidden="1">
      <c r="A141" s="883"/>
      <c r="B141" s="302"/>
      <c r="C141" s="317"/>
      <c r="D141" s="353"/>
      <c r="E141" s="317"/>
      <c r="F141" s="317"/>
      <c r="G141" s="327"/>
      <c r="H141" s="327"/>
      <c r="I141" s="317"/>
    </row>
    <row r="142" spans="1:10">
      <c r="A142" s="326">
        <v>32</v>
      </c>
      <c r="B142" s="315" t="s">
        <v>310</v>
      </c>
      <c r="C142" s="327"/>
      <c r="D142" s="361">
        <f>D144</f>
        <v>267666.25</v>
      </c>
      <c r="E142" s="327">
        <f>E143</f>
        <v>34830.49</v>
      </c>
      <c r="F142" s="327">
        <f>F143</f>
        <v>0</v>
      </c>
      <c r="G142" s="327">
        <f t="shared" ref="G142:G151" si="7">F142+E142</f>
        <v>34830.49</v>
      </c>
      <c r="H142" s="327"/>
      <c r="I142" s="317"/>
      <c r="J142" s="903"/>
    </row>
    <row r="143" spans="1:10" ht="13.5" customHeight="1">
      <c r="A143" s="326">
        <v>321</v>
      </c>
      <c r="B143" s="315" t="s">
        <v>311</v>
      </c>
      <c r="C143" s="327"/>
      <c r="D143" s="361">
        <f>SUM(D144:D148)</f>
        <v>522698.20999999996</v>
      </c>
      <c r="E143" s="327">
        <f>E144+E145+E146+E147</f>
        <v>34830.49</v>
      </c>
      <c r="F143" s="327">
        <f>F148</f>
        <v>0</v>
      </c>
      <c r="G143" s="327">
        <f t="shared" si="7"/>
        <v>34830.49</v>
      </c>
      <c r="H143" s="327"/>
      <c r="I143" s="302"/>
    </row>
    <row r="144" spans="1:10">
      <c r="A144" s="883">
        <v>32102</v>
      </c>
      <c r="B144" s="302" t="s">
        <v>1171</v>
      </c>
      <c r="C144" s="317"/>
      <c r="D144" s="353">
        <v>267666.25</v>
      </c>
      <c r="E144" s="317">
        <v>34830.49</v>
      </c>
      <c r="F144" s="317"/>
      <c r="G144" s="317">
        <f t="shared" si="7"/>
        <v>34830.49</v>
      </c>
      <c r="H144" s="317"/>
      <c r="I144" s="317"/>
    </row>
    <row r="145" spans="1:10">
      <c r="A145" s="888">
        <v>32103</v>
      </c>
      <c r="B145" s="302" t="s">
        <v>1170</v>
      </c>
      <c r="C145" s="317"/>
      <c r="D145" s="304">
        <v>47650.04</v>
      </c>
      <c r="E145" s="317"/>
      <c r="F145" s="317"/>
      <c r="G145" s="317"/>
      <c r="H145" s="317"/>
      <c r="I145" s="317"/>
    </row>
    <row r="146" spans="1:10">
      <c r="A146" s="883">
        <v>32102</v>
      </c>
      <c r="B146" s="302" t="s">
        <v>882</v>
      </c>
      <c r="C146" s="302"/>
      <c r="D146" s="304">
        <v>137581.51</v>
      </c>
      <c r="E146" s="317"/>
      <c r="F146" s="317"/>
      <c r="G146" s="317">
        <f t="shared" si="7"/>
        <v>0</v>
      </c>
      <c r="H146" s="317"/>
      <c r="I146" s="317"/>
    </row>
    <row r="147" spans="1:10">
      <c r="A147" s="883">
        <v>32102</v>
      </c>
      <c r="B147" s="302" t="s">
        <v>883</v>
      </c>
      <c r="C147" s="317"/>
      <c r="D147" s="304">
        <v>69800.41</v>
      </c>
      <c r="E147" s="317"/>
      <c r="F147" s="317"/>
      <c r="G147" s="317">
        <f t="shared" si="7"/>
        <v>0</v>
      </c>
      <c r="H147" s="317"/>
      <c r="I147" s="317"/>
    </row>
    <row r="148" spans="1:10">
      <c r="A148" s="883">
        <v>32102</v>
      </c>
      <c r="B148" s="302" t="s">
        <v>1162</v>
      </c>
      <c r="C148" s="317"/>
      <c r="D148" s="353"/>
      <c r="E148" s="317">
        <v>0</v>
      </c>
      <c r="F148" s="317"/>
      <c r="G148" s="317">
        <f t="shared" si="7"/>
        <v>0</v>
      </c>
      <c r="H148" s="317"/>
      <c r="I148" s="317"/>
    </row>
    <row r="149" spans="1:10" s="537" customFormat="1">
      <c r="A149" s="326"/>
      <c r="B149" s="315" t="s">
        <v>331</v>
      </c>
      <c r="C149" s="327"/>
      <c r="D149" s="355">
        <f>D143+D127+D134</f>
        <v>2341310.79</v>
      </c>
      <c r="E149" s="327">
        <f>E127+E142</f>
        <v>1613409.01</v>
      </c>
      <c r="F149" s="327">
        <f>F135+F142</f>
        <v>3250000</v>
      </c>
      <c r="G149" s="327">
        <f t="shared" si="7"/>
        <v>4863409.01</v>
      </c>
      <c r="H149" s="327">
        <f>E149-D149</f>
        <v>-727901.78</v>
      </c>
      <c r="I149" s="327"/>
      <c r="J149" s="536"/>
    </row>
    <row r="150" spans="1:10" s="537" customFormat="1">
      <c r="A150" s="326"/>
      <c r="B150" s="315" t="s">
        <v>332</v>
      </c>
      <c r="C150" s="327"/>
      <c r="D150" s="355">
        <f>D143+D128+D135</f>
        <v>2341310.79</v>
      </c>
      <c r="E150" s="327">
        <f>E128+E143</f>
        <v>1613409.01</v>
      </c>
      <c r="F150" s="327">
        <f>F135+F143</f>
        <v>3250000</v>
      </c>
      <c r="G150" s="327">
        <f t="shared" si="7"/>
        <v>4863409.01</v>
      </c>
      <c r="H150" s="327">
        <f>E150-D150</f>
        <v>-727901.78</v>
      </c>
      <c r="I150" s="327"/>
      <c r="J150" s="536"/>
    </row>
    <row r="151" spans="1:10" s="537" customFormat="1">
      <c r="A151" s="326"/>
      <c r="B151" s="315" t="s">
        <v>333</v>
      </c>
      <c r="C151" s="327"/>
      <c r="D151" s="355">
        <f>D143+D137+D128</f>
        <v>2341310.79</v>
      </c>
      <c r="E151" s="327">
        <f>E129+E144+E145+E146+E130+E131+E147</f>
        <v>1613409.01</v>
      </c>
      <c r="F151" s="327">
        <f>F136+F142</f>
        <v>3250000</v>
      </c>
      <c r="G151" s="327">
        <f t="shared" si="7"/>
        <v>4863409.01</v>
      </c>
      <c r="H151" s="327">
        <f>E151-D151</f>
        <v>-727901.78</v>
      </c>
      <c r="I151" s="327"/>
      <c r="J151" s="536"/>
    </row>
    <row r="152" spans="1:10">
      <c r="A152" s="883"/>
      <c r="B152" s="302"/>
      <c r="C152" s="317"/>
      <c r="D152" s="353"/>
      <c r="E152" s="317"/>
      <c r="F152" s="317"/>
      <c r="G152" s="317"/>
      <c r="H152" s="317"/>
      <c r="I152" s="317"/>
    </row>
    <row r="153" spans="1:10">
      <c r="A153" s="884"/>
      <c r="B153" s="306"/>
      <c r="C153" s="343"/>
      <c r="D153" s="356"/>
      <c r="E153" s="343"/>
      <c r="F153" s="343"/>
      <c r="G153" s="343"/>
      <c r="H153" s="343"/>
      <c r="I153" s="306"/>
    </row>
    <row r="156" spans="1:10" ht="51.75" hidden="1" customHeight="1">
      <c r="G156" s="757">
        <f>G151+G97</f>
        <v>6267188.0899999999</v>
      </c>
    </row>
    <row r="157" spans="1:10" hidden="1"/>
    <row r="158" spans="1:10" hidden="1">
      <c r="E158" s="304">
        <f>G151+G97</f>
        <v>6267188.0899999999</v>
      </c>
    </row>
    <row r="159" spans="1:10" hidden="1">
      <c r="E159" s="304">
        <f>E129+F97</f>
        <v>2456164.7999999998</v>
      </c>
    </row>
    <row r="160" spans="1:10" hidden="1"/>
    <row r="161" spans="1:9" hidden="1"/>
    <row r="162" spans="1:9" hidden="1"/>
    <row r="163" spans="1:9" hidden="1"/>
    <row r="164" spans="1:9" hidden="1">
      <c r="E164" s="304">
        <f>E151+F151+E97+F97</f>
        <v>6267188.0899999999</v>
      </c>
    </row>
    <row r="165" spans="1:9" hidden="1"/>
    <row r="166" spans="1:9" hidden="1">
      <c r="E166" s="318">
        <v>400000</v>
      </c>
    </row>
    <row r="167" spans="1:9" hidden="1">
      <c r="E167" s="304">
        <f>G151+G97</f>
        <v>6267188.0899999999</v>
      </c>
    </row>
    <row r="169" spans="1:9" hidden="1"/>
    <row r="170" spans="1:9" hidden="1">
      <c r="A170" s="1648" t="s">
        <v>252</v>
      </c>
      <c r="B170" s="1648"/>
      <c r="C170" s="1648"/>
      <c r="D170" s="1648"/>
      <c r="E170" s="1648"/>
      <c r="F170" s="1648"/>
      <c r="G170" s="1648"/>
      <c r="H170" s="1648"/>
      <c r="I170" s="1648"/>
    </row>
    <row r="171" spans="1:9" hidden="1">
      <c r="A171" s="1648" t="s">
        <v>251</v>
      </c>
      <c r="B171" s="1648"/>
      <c r="C171" s="1648"/>
      <c r="D171" s="1648"/>
      <c r="E171" s="1648"/>
      <c r="F171" s="1648"/>
      <c r="G171" s="1648"/>
      <c r="H171" s="1648"/>
      <c r="I171" s="1648"/>
    </row>
    <row r="172" spans="1:9" hidden="1"/>
    <row r="173" spans="1:9" hidden="1">
      <c r="A173" s="307" t="s">
        <v>758</v>
      </c>
      <c r="B173" s="307"/>
      <c r="C173" s="307"/>
    </row>
    <row r="174" spans="1:9" hidden="1">
      <c r="A174" s="307" t="str">
        <f>A118</f>
        <v>( 2 ) EJERCICICIO FINANCIERO FISCAL : 2017</v>
      </c>
      <c r="B174" s="307"/>
      <c r="C174" s="307"/>
    </row>
    <row r="175" spans="1:9" hidden="1">
      <c r="A175" s="307" t="s">
        <v>688</v>
      </c>
      <c r="B175" s="307"/>
      <c r="C175" s="307"/>
    </row>
    <row r="176" spans="1:9" hidden="1">
      <c r="A176" s="1649" t="s">
        <v>287</v>
      </c>
      <c r="B176" s="1650"/>
      <c r="C176" s="319" t="s">
        <v>313</v>
      </c>
      <c r="D176" s="320" t="s">
        <v>315</v>
      </c>
      <c r="E176" s="319" t="s">
        <v>384</v>
      </c>
      <c r="F176" s="898" t="s">
        <v>60</v>
      </c>
      <c r="G176" s="1653" t="s">
        <v>61</v>
      </c>
      <c r="H176" s="321" t="s">
        <v>454</v>
      </c>
      <c r="I176" s="1658" t="s">
        <v>437</v>
      </c>
    </row>
    <row r="177" spans="1:9" hidden="1">
      <c r="A177" s="1651" t="s">
        <v>288</v>
      </c>
      <c r="B177" s="1652"/>
      <c r="C177" s="316" t="s">
        <v>317</v>
      </c>
      <c r="D177" s="302" t="s">
        <v>319</v>
      </c>
      <c r="E177" s="302" t="s">
        <v>385</v>
      </c>
      <c r="F177" s="317" t="s">
        <v>385</v>
      </c>
      <c r="G177" s="1654"/>
      <c r="H177" s="301"/>
      <c r="I177" s="1659"/>
    </row>
    <row r="178" spans="1:9" ht="29.25" hidden="1" customHeight="1">
      <c r="A178" s="1656" t="s">
        <v>19</v>
      </c>
      <c r="B178" s="1657"/>
      <c r="C178" s="322" t="s">
        <v>318</v>
      </c>
      <c r="D178" s="306" t="s">
        <v>320</v>
      </c>
      <c r="E178" s="306" t="s">
        <v>386</v>
      </c>
      <c r="F178" s="343" t="s">
        <v>386</v>
      </c>
      <c r="G178" s="1655"/>
      <c r="H178" s="305" t="s">
        <v>322</v>
      </c>
      <c r="I178" s="1660"/>
    </row>
    <row r="179" spans="1:9" hidden="1">
      <c r="A179" s="312" t="s">
        <v>298</v>
      </c>
      <c r="B179" s="323"/>
      <c r="C179" s="313" t="s">
        <v>314</v>
      </c>
      <c r="D179" s="314" t="s">
        <v>316</v>
      </c>
      <c r="E179" s="324" t="s">
        <v>363</v>
      </c>
      <c r="F179" s="342" t="s">
        <v>1175</v>
      </c>
      <c r="G179" s="764"/>
      <c r="H179" s="325"/>
      <c r="I179" s="314"/>
    </row>
    <row r="180" spans="1:9" hidden="1">
      <c r="A180" s="888"/>
      <c r="B180" s="320"/>
      <c r="C180" s="302"/>
      <c r="D180" s="355"/>
      <c r="E180" s="765"/>
      <c r="F180" s="327"/>
      <c r="G180" s="755"/>
      <c r="H180" s="327"/>
      <c r="I180" s="327"/>
    </row>
    <row r="181" spans="1:9" hidden="1">
      <c r="A181" s="888"/>
      <c r="B181" s="302"/>
      <c r="C181" s="327"/>
      <c r="D181" s="355"/>
      <c r="E181" s="327"/>
      <c r="F181" s="327"/>
      <c r="G181" s="755"/>
      <c r="H181" s="327"/>
      <c r="I181" s="317"/>
    </row>
    <row r="182" spans="1:9" hidden="1">
      <c r="A182" s="888"/>
      <c r="B182" s="302"/>
      <c r="C182" s="317"/>
      <c r="D182" s="353"/>
      <c r="E182" s="317"/>
      <c r="F182" s="317"/>
      <c r="G182" s="758"/>
      <c r="H182" s="327"/>
      <c r="I182" s="317"/>
    </row>
    <row r="183" spans="1:9" hidden="1">
      <c r="A183" s="888"/>
      <c r="B183" s="302"/>
      <c r="C183" s="317"/>
      <c r="D183" s="754"/>
      <c r="E183" s="758"/>
      <c r="F183" s="317"/>
      <c r="G183" s="755"/>
      <c r="H183" s="755"/>
      <c r="I183" s="317"/>
    </row>
    <row r="184" spans="1:9" hidden="1">
      <c r="A184" s="888"/>
      <c r="B184" s="302"/>
      <c r="C184" s="317"/>
      <c r="D184" s="754"/>
      <c r="E184" s="758"/>
      <c r="F184" s="317"/>
      <c r="G184" s="755"/>
      <c r="H184" s="755"/>
      <c r="I184" s="317"/>
    </row>
    <row r="185" spans="1:9" hidden="1">
      <c r="A185" s="326">
        <v>32</v>
      </c>
      <c r="B185" s="315" t="s">
        <v>310</v>
      </c>
      <c r="C185" s="327"/>
      <c r="D185" s="761"/>
      <c r="E185" s="912">
        <f>E186</f>
        <v>0</v>
      </c>
      <c r="F185" s="912">
        <f>F186</f>
        <v>0</v>
      </c>
      <c r="G185" s="912">
        <f t="shared" ref="G185:G190" si="8">F185+E185</f>
        <v>0</v>
      </c>
      <c r="H185" s="912"/>
      <c r="I185" s="317"/>
    </row>
    <row r="186" spans="1:9" hidden="1">
      <c r="A186" s="326">
        <v>321</v>
      </c>
      <c r="B186" s="315" t="s">
        <v>311</v>
      </c>
      <c r="C186" s="327"/>
      <c r="D186" s="761"/>
      <c r="E186" s="912">
        <f>E187:E187</f>
        <v>0</v>
      </c>
      <c r="F186" s="912">
        <f>F187</f>
        <v>0</v>
      </c>
      <c r="G186" s="912">
        <f t="shared" si="8"/>
        <v>0</v>
      </c>
      <c r="H186" s="912"/>
      <c r="I186" s="302"/>
    </row>
    <row r="187" spans="1:9" hidden="1">
      <c r="A187" s="888">
        <v>32102</v>
      </c>
      <c r="B187" s="302" t="s">
        <v>1176</v>
      </c>
      <c r="C187" s="317"/>
      <c r="D187" s="754"/>
      <c r="E187" s="981"/>
      <c r="F187" s="913"/>
      <c r="G187" s="912">
        <f t="shared" si="8"/>
        <v>0</v>
      </c>
      <c r="H187" s="913"/>
      <c r="I187" s="317"/>
    </row>
    <row r="188" spans="1:9" hidden="1">
      <c r="A188" s="326"/>
      <c r="B188" s="315" t="s">
        <v>331</v>
      </c>
      <c r="C188" s="327"/>
      <c r="D188" s="756"/>
      <c r="E188" s="912">
        <f>E184</f>
        <v>0</v>
      </c>
      <c r="F188" s="912">
        <f>F185</f>
        <v>0</v>
      </c>
      <c r="G188" s="912">
        <f t="shared" si="8"/>
        <v>0</v>
      </c>
      <c r="H188" s="912">
        <f>E188-D188</f>
        <v>0</v>
      </c>
      <c r="I188" s="327"/>
    </row>
    <row r="189" spans="1:9" hidden="1">
      <c r="A189" s="326"/>
      <c r="B189" s="315" t="s">
        <v>332</v>
      </c>
      <c r="C189" s="327"/>
      <c r="D189" s="756"/>
      <c r="E189" s="912">
        <f>E185</f>
        <v>0</v>
      </c>
      <c r="F189" s="912">
        <f>F186</f>
        <v>0</v>
      </c>
      <c r="G189" s="912">
        <f t="shared" si="8"/>
        <v>0</v>
      </c>
      <c r="H189" s="912">
        <f>E189-D189</f>
        <v>0</v>
      </c>
      <c r="I189" s="327"/>
    </row>
    <row r="190" spans="1:9" hidden="1">
      <c r="A190" s="326"/>
      <c r="B190" s="315" t="s">
        <v>333</v>
      </c>
      <c r="C190" s="327"/>
      <c r="D190" s="756"/>
      <c r="E190" s="912">
        <f>E186</f>
        <v>0</v>
      </c>
      <c r="F190" s="912">
        <f>F185</f>
        <v>0</v>
      </c>
      <c r="G190" s="912">
        <f t="shared" si="8"/>
        <v>0</v>
      </c>
      <c r="H190" s="912">
        <f>E190-D190</f>
        <v>0</v>
      </c>
      <c r="I190" s="327"/>
    </row>
    <row r="191" spans="1:9" hidden="1">
      <c r="A191" s="888"/>
      <c r="B191" s="302"/>
      <c r="C191" s="317"/>
      <c r="D191" s="353"/>
      <c r="E191" s="913"/>
      <c r="F191" s="913"/>
      <c r="G191" s="913"/>
      <c r="H191" s="913"/>
      <c r="I191" s="317"/>
    </row>
    <row r="192" spans="1:9" hidden="1">
      <c r="A192" s="889"/>
      <c r="B192" s="306"/>
      <c r="C192" s="343"/>
      <c r="D192" s="356"/>
      <c r="E192" s="343"/>
      <c r="F192" s="343"/>
      <c r="G192" s="759"/>
      <c r="H192" s="343"/>
      <c r="I192" s="306"/>
    </row>
    <row r="193" spans="7:7" hidden="1"/>
    <row r="196" spans="7:7" hidden="1">
      <c r="G196" s="304">
        <f>G190+G151+G97</f>
        <v>6267188.0899999999</v>
      </c>
    </row>
  </sheetData>
  <mergeCells count="27">
    <mergeCell ref="A170:I170"/>
    <mergeCell ref="A171:I171"/>
    <mergeCell ref="A176:B176"/>
    <mergeCell ref="G176:G178"/>
    <mergeCell ref="I176:I178"/>
    <mergeCell ref="A177:B177"/>
    <mergeCell ref="A178:B178"/>
    <mergeCell ref="A59:I59"/>
    <mergeCell ref="A60:I60"/>
    <mergeCell ref="G64:G66"/>
    <mergeCell ref="A65:B65"/>
    <mergeCell ref="A66:B66"/>
    <mergeCell ref="I64:I66"/>
    <mergeCell ref="G120:G122"/>
    <mergeCell ref="A114:I114"/>
    <mergeCell ref="A115:I115"/>
    <mergeCell ref="A120:B120"/>
    <mergeCell ref="A121:B121"/>
    <mergeCell ref="A122:B122"/>
    <mergeCell ref="I120:I122"/>
    <mergeCell ref="A1:I1"/>
    <mergeCell ref="A2:I2"/>
    <mergeCell ref="A6:B6"/>
    <mergeCell ref="A7:B7"/>
    <mergeCell ref="G6:G8"/>
    <mergeCell ref="A8:B8"/>
    <mergeCell ref="I6:I8"/>
  </mergeCells>
  <phoneticPr fontId="5" type="noConversion"/>
  <pageMargins left="0.76" right="0.15748031496062992" top="0.27559055118110237" bottom="0.19685039370078741" header="0" footer="0"/>
  <pageSetup scale="95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K64"/>
  <sheetViews>
    <sheetView topLeftCell="A21" workbookViewId="0">
      <selection activeCell="A8" sqref="A8"/>
    </sheetView>
  </sheetViews>
  <sheetFormatPr baseColWidth="10" defaultColWidth="11.42578125" defaultRowHeight="12.75"/>
  <cols>
    <col min="1" max="1" width="19.42578125" customWidth="1"/>
    <col min="2" max="3" width="6.5703125" customWidth="1"/>
    <col min="4" max="4" width="22.42578125" customWidth="1"/>
    <col min="5" max="5" width="15" customWidth="1"/>
    <col min="6" max="6" width="16" customWidth="1"/>
    <col min="7" max="7" width="14.7109375" customWidth="1"/>
    <col min="8" max="8" width="12.42578125" customWidth="1"/>
    <col min="9" max="9" width="13.7109375" style="242" customWidth="1"/>
    <col min="10" max="10" width="12.28515625" bestFit="1" customWidth="1"/>
  </cols>
  <sheetData>
    <row r="1" spans="1:10" hidden="1"/>
    <row r="2" spans="1:10" hidden="1">
      <c r="A2" s="1664"/>
      <c r="B2" s="1664"/>
      <c r="C2" s="1664"/>
      <c r="D2" s="1664"/>
      <c r="E2" s="1664"/>
      <c r="F2" s="1664"/>
      <c r="G2" s="1664"/>
      <c r="H2" s="1664"/>
      <c r="I2" s="1664"/>
      <c r="J2" s="1664"/>
    </row>
    <row r="3" spans="1:10">
      <c r="A3" s="1665" t="s">
        <v>388</v>
      </c>
      <c r="B3" s="1665"/>
      <c r="C3" s="1665"/>
      <c r="D3" s="1665"/>
      <c r="E3" s="1665"/>
      <c r="F3" s="1665"/>
      <c r="G3" s="1665"/>
      <c r="H3" s="1665"/>
      <c r="I3" s="1665"/>
      <c r="J3" s="1665"/>
    </row>
    <row r="4" spans="1:10">
      <c r="A4" s="1565" t="s">
        <v>416</v>
      </c>
      <c r="B4" s="1565"/>
      <c r="C4" s="1565"/>
      <c r="D4" s="1565"/>
      <c r="E4" s="1565"/>
      <c r="F4" s="1565"/>
      <c r="G4" s="1565"/>
      <c r="H4" s="1565"/>
      <c r="I4" s="1565"/>
      <c r="J4" s="1565"/>
    </row>
    <row r="6" spans="1:10" ht="10.5" customHeight="1">
      <c r="A6" s="21" t="s">
        <v>450</v>
      </c>
      <c r="B6" s="13"/>
      <c r="C6" s="13"/>
      <c r="D6" s="13"/>
      <c r="E6" s="13"/>
      <c r="F6" s="13"/>
      <c r="G6" s="13"/>
      <c r="H6" s="13"/>
      <c r="I6" s="272"/>
      <c r="J6" s="14"/>
    </row>
    <row r="7" spans="1:10" ht="10.5" customHeight="1">
      <c r="A7" s="21" t="s">
        <v>1394</v>
      </c>
      <c r="B7" s="13"/>
      <c r="C7" s="13"/>
      <c r="D7" s="13"/>
      <c r="E7" s="13"/>
      <c r="F7" s="13"/>
      <c r="G7" s="13"/>
      <c r="H7" s="20"/>
      <c r="I7" s="272"/>
      <c r="J7" s="14"/>
    </row>
    <row r="8" spans="1:10" ht="10.5" customHeight="1">
      <c r="A8" s="21" t="s">
        <v>897</v>
      </c>
      <c r="B8" s="13"/>
      <c r="C8" s="13"/>
      <c r="D8" s="13"/>
      <c r="E8" s="13"/>
      <c r="F8" s="13"/>
      <c r="G8" s="13"/>
      <c r="H8" s="13"/>
      <c r="I8" s="273"/>
      <c r="J8" s="14"/>
    </row>
    <row r="9" spans="1:10" ht="10.5" customHeight="1">
      <c r="A9" s="41"/>
      <c r="B9" s="1"/>
      <c r="C9" s="1"/>
      <c r="D9" s="1"/>
      <c r="E9" s="1"/>
      <c r="F9" s="1"/>
      <c r="G9" s="1"/>
      <c r="H9" s="1"/>
      <c r="I9" s="40"/>
      <c r="J9" s="10"/>
    </row>
    <row r="10" spans="1:10" ht="10.5" customHeight="1">
      <c r="A10" s="1666" t="s">
        <v>414</v>
      </c>
      <c r="B10" s="30"/>
      <c r="C10" s="31"/>
      <c r="D10" s="31"/>
      <c r="E10" s="13"/>
      <c r="F10" s="32"/>
      <c r="G10" s="1554"/>
      <c r="H10" s="1554"/>
      <c r="I10" s="1554"/>
      <c r="J10" s="33"/>
    </row>
    <row r="11" spans="1:10" ht="10.5" customHeight="1">
      <c r="A11" s="1667"/>
      <c r="B11" s="1560" t="s">
        <v>417</v>
      </c>
      <c r="C11" s="1672" t="s">
        <v>418</v>
      </c>
      <c r="D11" s="1560" t="s">
        <v>419</v>
      </c>
      <c r="E11" s="1560" t="s">
        <v>420</v>
      </c>
      <c r="F11" s="1551" t="s">
        <v>421</v>
      </c>
      <c r="G11" s="1552" t="s">
        <v>422</v>
      </c>
      <c r="H11" s="1674" t="s">
        <v>1252</v>
      </c>
      <c r="I11" s="1675" t="s">
        <v>423</v>
      </c>
      <c r="J11" s="1556" t="s">
        <v>424</v>
      </c>
    </row>
    <row r="12" spans="1:10" ht="33" customHeight="1" thickBot="1">
      <c r="A12" s="1668"/>
      <c r="B12" s="1671"/>
      <c r="C12" s="1673"/>
      <c r="D12" s="1671"/>
      <c r="E12" s="1671"/>
      <c r="F12" s="1669"/>
      <c r="G12" s="1552"/>
      <c r="H12" s="1674"/>
      <c r="I12" s="1675"/>
      <c r="J12" s="1670"/>
    </row>
    <row r="13" spans="1:10" s="573" customFormat="1" ht="10.5" customHeight="1">
      <c r="A13" s="572" t="s">
        <v>894</v>
      </c>
      <c r="C13" s="574" t="s">
        <v>59</v>
      </c>
      <c r="D13" s="575" t="s">
        <v>895</v>
      </c>
      <c r="E13" s="597"/>
      <c r="F13" s="572"/>
      <c r="G13" s="576">
        <v>200000</v>
      </c>
      <c r="H13" s="576"/>
      <c r="I13" s="577"/>
      <c r="J13" s="578"/>
    </row>
    <row r="14" spans="1:10" s="573" customFormat="1" ht="10.5" customHeight="1">
      <c r="A14" s="548"/>
      <c r="B14" s="548"/>
      <c r="D14" s="104" t="s">
        <v>910</v>
      </c>
      <c r="E14" s="132"/>
      <c r="F14" s="104"/>
      <c r="G14" s="548"/>
      <c r="H14" s="548"/>
      <c r="I14" s="982">
        <v>16981.98</v>
      </c>
      <c r="J14" s="579"/>
    </row>
    <row r="15" spans="1:10" s="573" customFormat="1" ht="10.5" customHeight="1" thickBot="1">
      <c r="A15" s="548"/>
      <c r="B15" s="548"/>
      <c r="C15" s="580"/>
      <c r="D15" s="548" t="s">
        <v>898</v>
      </c>
      <c r="E15" s="598"/>
      <c r="F15" s="548"/>
      <c r="G15" s="548"/>
      <c r="H15" s="548"/>
      <c r="I15" s="982">
        <v>8808.5400000000009</v>
      </c>
      <c r="J15" s="579"/>
    </row>
    <row r="16" spans="1:10" s="573" customFormat="1" ht="10.5" hidden="1" customHeight="1" thickBot="1">
      <c r="A16" s="581"/>
      <c r="B16" s="581"/>
      <c r="C16" s="582"/>
      <c r="D16" s="581"/>
      <c r="E16" s="599"/>
      <c r="F16" s="600"/>
      <c r="G16" s="583"/>
      <c r="H16" s="583"/>
      <c r="I16" s="983"/>
      <c r="J16" s="584"/>
    </row>
    <row r="17" spans="1:10" s="585" customFormat="1" ht="10.5" customHeight="1">
      <c r="A17" s="196"/>
      <c r="B17" s="100"/>
      <c r="C17" s="574" t="s">
        <v>59</v>
      </c>
      <c r="D17" s="575" t="s">
        <v>899</v>
      </c>
      <c r="E17" s="597"/>
      <c r="F17" s="572"/>
      <c r="G17" s="576">
        <v>400000</v>
      </c>
      <c r="H17" s="576"/>
      <c r="I17" s="984"/>
      <c r="J17" s="578"/>
    </row>
    <row r="18" spans="1:10" s="585" customFormat="1" ht="10.5" customHeight="1">
      <c r="A18" s="196"/>
      <c r="B18" s="196"/>
      <c r="C18" s="573"/>
      <c r="D18" s="104" t="s">
        <v>910</v>
      </c>
      <c r="E18" s="132"/>
      <c r="F18" s="104"/>
      <c r="G18" s="548"/>
      <c r="H18" s="548"/>
      <c r="I18" s="982">
        <v>33963.949999999997</v>
      </c>
      <c r="J18" s="579"/>
    </row>
    <row r="19" spans="1:10" s="585" customFormat="1" ht="10.5" customHeight="1" thickBot="1">
      <c r="A19" s="196"/>
      <c r="B19" s="196"/>
      <c r="C19" s="580"/>
      <c r="D19" s="548" t="s">
        <v>898</v>
      </c>
      <c r="E19" s="598"/>
      <c r="F19" s="548"/>
      <c r="G19" s="548"/>
      <c r="H19" s="548"/>
      <c r="I19" s="982">
        <v>17617.09</v>
      </c>
      <c r="J19" s="579"/>
    </row>
    <row r="20" spans="1:10" s="585" customFormat="1" ht="10.5" hidden="1" customHeight="1" thickBot="1">
      <c r="A20" s="196"/>
      <c r="B20" s="196"/>
      <c r="C20" s="198"/>
      <c r="D20" s="196"/>
      <c r="E20" s="41"/>
      <c r="F20" s="196"/>
      <c r="G20" s="196"/>
      <c r="H20" s="196"/>
      <c r="I20" s="828"/>
      <c r="J20" s="587"/>
    </row>
    <row r="21" spans="1:10" s="585" customFormat="1" ht="10.5" customHeight="1">
      <c r="A21" s="196"/>
      <c r="B21" s="196"/>
      <c r="C21" s="574" t="s">
        <v>59</v>
      </c>
      <c r="D21" s="575" t="s">
        <v>900</v>
      </c>
      <c r="E21" s="597"/>
      <c r="F21" s="572"/>
      <c r="G21" s="576">
        <v>100000</v>
      </c>
      <c r="H21" s="576"/>
      <c r="I21" s="984"/>
      <c r="J21" s="578"/>
    </row>
    <row r="22" spans="1:10" s="585" customFormat="1" ht="10.5" customHeight="1">
      <c r="A22" s="196"/>
      <c r="B22" s="196"/>
      <c r="C22" s="573"/>
      <c r="D22" s="104" t="s">
        <v>910</v>
      </c>
      <c r="E22" s="132"/>
      <c r="F22" s="104"/>
      <c r="G22" s="548"/>
      <c r="H22" s="548"/>
      <c r="I22" s="982">
        <v>8490.99</v>
      </c>
      <c r="J22" s="579"/>
    </row>
    <row r="23" spans="1:10" s="585" customFormat="1" ht="10.5" customHeight="1" thickBot="1">
      <c r="A23" s="196"/>
      <c r="B23" s="196"/>
      <c r="C23" s="580"/>
      <c r="D23" s="548" t="s">
        <v>898</v>
      </c>
      <c r="E23" s="598"/>
      <c r="F23" s="548"/>
      <c r="G23" s="548"/>
      <c r="H23" s="548"/>
      <c r="I23" s="982">
        <v>4404.33</v>
      </c>
      <c r="J23" s="579"/>
    </row>
    <row r="24" spans="1:10" s="585" customFormat="1" ht="10.5" hidden="1" customHeight="1" thickBot="1">
      <c r="A24" s="196"/>
      <c r="B24" s="196"/>
      <c r="C24" s="580"/>
      <c r="D24" s="548"/>
      <c r="E24" s="598"/>
      <c r="F24" s="548"/>
      <c r="G24" s="548"/>
      <c r="H24" s="548"/>
      <c r="I24" s="982"/>
      <c r="J24" s="579"/>
    </row>
    <row r="25" spans="1:10" s="585" customFormat="1" ht="10.5" customHeight="1">
      <c r="A25" s="196"/>
      <c r="B25" s="196"/>
      <c r="C25" s="574" t="s">
        <v>59</v>
      </c>
      <c r="D25" s="575" t="s">
        <v>901</v>
      </c>
      <c r="E25" s="597"/>
      <c r="F25" s="572"/>
      <c r="G25" s="576">
        <v>100000</v>
      </c>
      <c r="H25" s="576"/>
      <c r="I25" s="984"/>
      <c r="J25" s="578"/>
    </row>
    <row r="26" spans="1:10" s="585" customFormat="1" ht="10.5" customHeight="1">
      <c r="A26" s="196"/>
      <c r="B26" s="196"/>
      <c r="C26" s="573"/>
      <c r="D26" s="104" t="s">
        <v>910</v>
      </c>
      <c r="E26" s="132"/>
      <c r="F26" s="104"/>
      <c r="G26" s="548"/>
      <c r="H26" s="548"/>
      <c r="I26" s="982">
        <v>8490.99</v>
      </c>
      <c r="J26" s="579"/>
    </row>
    <row r="27" spans="1:10" s="585" customFormat="1" ht="9.9499999999999993" customHeight="1" thickBot="1">
      <c r="A27" s="196"/>
      <c r="B27" s="196"/>
      <c r="C27" s="580"/>
      <c r="D27" s="548" t="s">
        <v>898</v>
      </c>
      <c r="E27" s="598"/>
      <c r="F27" s="548"/>
      <c r="G27" s="548"/>
      <c r="H27" s="548"/>
      <c r="I27" s="982">
        <v>4404.33</v>
      </c>
      <c r="J27" s="579"/>
    </row>
    <row r="28" spans="1:10" s="585" customFormat="1" ht="9.9499999999999993" hidden="1" customHeight="1" thickBot="1">
      <c r="A28" s="196"/>
      <c r="B28" s="196"/>
      <c r="C28" s="580"/>
      <c r="D28" s="548"/>
      <c r="E28" s="598"/>
      <c r="F28" s="548"/>
      <c r="G28" s="548"/>
      <c r="H28" s="548"/>
      <c r="I28" s="982"/>
      <c r="J28" s="579"/>
    </row>
    <row r="29" spans="1:10" s="585" customFormat="1" ht="9.9499999999999993" customHeight="1">
      <c r="A29" s="196"/>
      <c r="B29" s="196"/>
      <c r="C29" s="574" t="s">
        <v>59</v>
      </c>
      <c r="D29" s="575" t="s">
        <v>902</v>
      </c>
      <c r="E29" s="597"/>
      <c r="F29" s="572"/>
      <c r="G29" s="576">
        <v>100000</v>
      </c>
      <c r="H29" s="576"/>
      <c r="I29" s="984"/>
      <c r="J29" s="578"/>
    </row>
    <row r="30" spans="1:10" s="585" customFormat="1" ht="9.9499999999999993" customHeight="1">
      <c r="A30" s="196"/>
      <c r="B30" s="196"/>
      <c r="C30" s="573"/>
      <c r="D30" s="104" t="s">
        <v>910</v>
      </c>
      <c r="E30" s="132"/>
      <c r="F30" s="104"/>
      <c r="G30" s="548"/>
      <c r="H30" s="548"/>
      <c r="I30" s="982">
        <v>8490.99</v>
      </c>
      <c r="J30" s="579"/>
    </row>
    <row r="31" spans="1:10" s="585" customFormat="1" ht="9.9499999999999993" customHeight="1" thickBot="1">
      <c r="A31" s="196"/>
      <c r="B31" s="196"/>
      <c r="C31" s="580"/>
      <c r="D31" s="548" t="s">
        <v>898</v>
      </c>
      <c r="E31" s="598"/>
      <c r="F31" s="548"/>
      <c r="G31" s="548"/>
      <c r="H31" s="548"/>
      <c r="I31" s="982">
        <v>4403.13</v>
      </c>
      <c r="J31" s="579"/>
    </row>
    <row r="32" spans="1:10" s="585" customFormat="1" ht="9.9499999999999993" hidden="1" customHeight="1" thickBot="1">
      <c r="A32" s="196"/>
      <c r="B32" s="196"/>
      <c r="C32" s="580"/>
      <c r="D32" s="548"/>
      <c r="E32" s="598"/>
      <c r="F32" s="548"/>
      <c r="G32" s="548"/>
      <c r="H32" s="548"/>
      <c r="I32" s="982"/>
      <c r="J32" s="579"/>
    </row>
    <row r="33" spans="1:10" s="585" customFormat="1" ht="9.9499999999999993" customHeight="1">
      <c r="A33" s="196"/>
      <c r="B33" s="196"/>
      <c r="C33" s="574" t="s">
        <v>59</v>
      </c>
      <c r="D33" s="575" t="s">
        <v>903</v>
      </c>
      <c r="E33" s="597"/>
      <c r="F33" s="572"/>
      <c r="G33" s="576">
        <v>100000</v>
      </c>
      <c r="H33" s="576"/>
      <c r="I33" s="984"/>
      <c r="J33" s="578"/>
    </row>
    <row r="34" spans="1:10" s="585" customFormat="1" ht="9.9499999999999993" customHeight="1">
      <c r="A34" s="196"/>
      <c r="B34" s="196"/>
      <c r="C34" s="573"/>
      <c r="D34" s="104" t="s">
        <v>910</v>
      </c>
      <c r="E34" s="132"/>
      <c r="F34" s="104"/>
      <c r="G34" s="548"/>
      <c r="H34" s="548"/>
      <c r="I34" s="982">
        <v>8490.99</v>
      </c>
      <c r="J34" s="579"/>
    </row>
    <row r="35" spans="1:10" s="585" customFormat="1" ht="9.9499999999999993" customHeight="1" thickBot="1">
      <c r="A35" s="196"/>
      <c r="B35" s="196"/>
      <c r="C35" s="580"/>
      <c r="D35" s="548" t="s">
        <v>898</v>
      </c>
      <c r="E35" s="598"/>
      <c r="F35" s="548"/>
      <c r="G35" s="548"/>
      <c r="H35" s="548"/>
      <c r="I35" s="982">
        <v>4403.13</v>
      </c>
      <c r="J35" s="579"/>
    </row>
    <row r="36" spans="1:10" s="585" customFormat="1" ht="9.9499999999999993" hidden="1" customHeight="1" thickBot="1">
      <c r="A36" s="196"/>
      <c r="B36" s="196"/>
      <c r="C36" s="580"/>
      <c r="D36" s="548"/>
      <c r="E36" s="598"/>
      <c r="F36" s="548"/>
      <c r="G36" s="548"/>
      <c r="H36" s="548"/>
      <c r="I36" s="982"/>
      <c r="J36" s="579"/>
    </row>
    <row r="37" spans="1:10" s="585" customFormat="1" ht="9.9499999999999993" customHeight="1">
      <c r="A37" s="196"/>
      <c r="B37" s="196"/>
      <c r="C37" s="574" t="s">
        <v>59</v>
      </c>
      <c r="D37" s="575" t="s">
        <v>904</v>
      </c>
      <c r="E37" s="597"/>
      <c r="F37" s="572"/>
      <c r="G37" s="576">
        <v>414000</v>
      </c>
      <c r="H37" s="576"/>
      <c r="I37" s="984"/>
      <c r="J37" s="578"/>
    </row>
    <row r="38" spans="1:10" s="585" customFormat="1" ht="9.9499999999999993" customHeight="1">
      <c r="A38" s="196"/>
      <c r="B38" s="196"/>
      <c r="C38" s="573"/>
      <c r="D38" s="104" t="s">
        <v>910</v>
      </c>
      <c r="E38" s="132"/>
      <c r="F38" s="104"/>
      <c r="G38" s="548"/>
      <c r="H38" s="548"/>
      <c r="I38" s="982">
        <v>35152.69</v>
      </c>
      <c r="J38" s="579"/>
    </row>
    <row r="39" spans="1:10" s="585" customFormat="1" ht="9.9499999999999993" customHeight="1" thickBot="1">
      <c r="A39" s="196"/>
      <c r="B39" s="196"/>
      <c r="C39" s="580"/>
      <c r="D39" s="548" t="s">
        <v>898</v>
      </c>
      <c r="E39" s="598"/>
      <c r="F39" s="548"/>
      <c r="G39" s="548"/>
      <c r="H39" s="548"/>
      <c r="I39" s="982">
        <v>18233.75</v>
      </c>
      <c r="J39" s="579"/>
    </row>
    <row r="40" spans="1:10" s="585" customFormat="1" ht="9.9499999999999993" hidden="1" customHeight="1" thickBot="1">
      <c r="A40" s="196"/>
      <c r="B40" s="196"/>
      <c r="C40" s="580"/>
      <c r="D40" s="548"/>
      <c r="E40" s="598"/>
      <c r="F40" s="548"/>
      <c r="G40" s="548"/>
      <c r="H40" s="548"/>
      <c r="I40" s="982"/>
      <c r="J40" s="579"/>
    </row>
    <row r="41" spans="1:10" s="585" customFormat="1" ht="9.9499999999999993" customHeight="1">
      <c r="A41" s="196"/>
      <c r="B41" s="196"/>
      <c r="C41" s="574" t="s">
        <v>59</v>
      </c>
      <c r="D41" s="575" t="s">
        <v>905</v>
      </c>
      <c r="E41" s="597"/>
      <c r="F41" s="572"/>
      <c r="G41" s="576">
        <v>100000</v>
      </c>
      <c r="H41" s="576"/>
      <c r="I41" s="984"/>
      <c r="J41" s="578"/>
    </row>
    <row r="42" spans="1:10" s="585" customFormat="1" ht="9.9499999999999993" customHeight="1">
      <c r="A42" s="196"/>
      <c r="B42" s="196"/>
      <c r="C42" s="573"/>
      <c r="D42" s="104" t="s">
        <v>910</v>
      </c>
      <c r="E42" s="132"/>
      <c r="F42" s="104"/>
      <c r="G42" s="548"/>
      <c r="H42" s="548"/>
      <c r="I42" s="982">
        <v>8490.99</v>
      </c>
      <c r="J42" s="579"/>
    </row>
    <row r="43" spans="1:10" s="585" customFormat="1" ht="9.9499999999999993" customHeight="1" thickBot="1">
      <c r="A43" s="196"/>
      <c r="B43" s="196"/>
      <c r="C43" s="580"/>
      <c r="D43" s="548" t="s">
        <v>898</v>
      </c>
      <c r="E43" s="598"/>
      <c r="F43" s="548"/>
      <c r="G43" s="548"/>
      <c r="H43" s="548"/>
      <c r="I43" s="982">
        <v>4404.33</v>
      </c>
      <c r="J43" s="579"/>
    </row>
    <row r="44" spans="1:10" s="585" customFormat="1" ht="9.9499999999999993" hidden="1" customHeight="1" thickBot="1">
      <c r="A44" s="196"/>
      <c r="B44" s="196"/>
      <c r="C44" s="580"/>
      <c r="D44" s="548"/>
      <c r="E44" s="598"/>
      <c r="F44" s="548"/>
      <c r="G44" s="548"/>
      <c r="H44" s="548"/>
      <c r="I44" s="982"/>
      <c r="J44" s="579"/>
    </row>
    <row r="45" spans="1:10" s="585" customFormat="1" ht="9.9499999999999993" customHeight="1">
      <c r="A45" s="196"/>
      <c r="B45" s="196"/>
      <c r="C45" s="574" t="s">
        <v>59</v>
      </c>
      <c r="D45" s="575" t="s">
        <v>906</v>
      </c>
      <c r="E45" s="597"/>
      <c r="F45" s="572"/>
      <c r="G45" s="576">
        <v>400000</v>
      </c>
      <c r="H45" s="576"/>
      <c r="I45" s="984"/>
      <c r="J45" s="578"/>
    </row>
    <row r="46" spans="1:10" s="585" customFormat="1" ht="9.9499999999999993" customHeight="1">
      <c r="A46" s="196"/>
      <c r="B46" s="196"/>
      <c r="C46" s="573"/>
      <c r="D46" s="104" t="s">
        <v>910</v>
      </c>
      <c r="E46" s="132"/>
      <c r="F46" s="104"/>
      <c r="G46" s="548"/>
      <c r="H46" s="548"/>
      <c r="I46" s="982">
        <v>33963.949999999997</v>
      </c>
      <c r="J46" s="579"/>
    </row>
    <row r="47" spans="1:10" s="585" customFormat="1" ht="9.9499999999999993" customHeight="1" thickBot="1">
      <c r="A47" s="196"/>
      <c r="B47" s="196"/>
      <c r="C47" s="580"/>
      <c r="D47" s="548" t="s">
        <v>898</v>
      </c>
      <c r="E47" s="598"/>
      <c r="F47" s="548"/>
      <c r="G47" s="548"/>
      <c r="H47" s="548"/>
      <c r="I47" s="982">
        <v>17617.09</v>
      </c>
      <c r="J47" s="579"/>
    </row>
    <row r="48" spans="1:10" s="585" customFormat="1" ht="9.9499999999999993" hidden="1" customHeight="1" thickBot="1">
      <c r="A48" s="196"/>
      <c r="B48" s="196"/>
      <c r="C48" s="580"/>
      <c r="D48" s="548"/>
      <c r="E48" s="598"/>
      <c r="F48" s="548"/>
      <c r="G48" s="548"/>
      <c r="H48" s="548"/>
      <c r="I48" s="982"/>
      <c r="J48" s="579"/>
    </row>
    <row r="49" spans="1:11" s="585" customFormat="1" ht="9.9499999999999993" customHeight="1">
      <c r="A49" s="196"/>
      <c r="B49" s="196"/>
      <c r="C49" s="574" t="s">
        <v>59</v>
      </c>
      <c r="D49" s="575" t="s">
        <v>907</v>
      </c>
      <c r="E49" s="597"/>
      <c r="F49" s="572"/>
      <c r="G49" s="576">
        <v>300000</v>
      </c>
      <c r="H49" s="576"/>
      <c r="I49" s="984"/>
      <c r="J49" s="578"/>
    </row>
    <row r="50" spans="1:11" s="585" customFormat="1" ht="9.9499999999999993" customHeight="1">
      <c r="A50" s="196"/>
      <c r="B50" s="196"/>
      <c r="C50" s="573"/>
      <c r="D50" s="104" t="s">
        <v>910</v>
      </c>
      <c r="E50" s="132"/>
      <c r="F50" s="104"/>
      <c r="G50" s="548"/>
      <c r="H50" s="548"/>
      <c r="I50" s="982">
        <v>25472.959999999999</v>
      </c>
      <c r="J50" s="579"/>
    </row>
    <row r="51" spans="1:11" s="585" customFormat="1" ht="9.9499999999999993" customHeight="1" thickBot="1">
      <c r="A51" s="196"/>
      <c r="B51" s="196"/>
      <c r="C51" s="580"/>
      <c r="D51" s="548" t="s">
        <v>898</v>
      </c>
      <c r="E51" s="598"/>
      <c r="F51" s="548"/>
      <c r="G51" s="548"/>
      <c r="H51" s="548"/>
      <c r="I51" s="982">
        <v>13212.88</v>
      </c>
      <c r="J51" s="579"/>
    </row>
    <row r="52" spans="1:11" s="585" customFormat="1" ht="9.9499999999999993" customHeight="1">
      <c r="A52" s="196"/>
      <c r="B52" s="196"/>
      <c r="C52" s="574" t="s">
        <v>59</v>
      </c>
      <c r="D52" s="575" t="s">
        <v>1167</v>
      </c>
      <c r="E52" s="597"/>
      <c r="F52" s="572"/>
      <c r="G52" s="576">
        <v>588000</v>
      </c>
      <c r="H52" s="576"/>
      <c r="I52" s="984"/>
      <c r="J52" s="578"/>
    </row>
    <row r="53" spans="1:11" s="585" customFormat="1" ht="9.9499999999999993" customHeight="1">
      <c r="A53" s="196"/>
      <c r="B53" s="196"/>
      <c r="C53" s="573"/>
      <c r="D53" s="104" t="s">
        <v>908</v>
      </c>
      <c r="E53" s="132"/>
      <c r="F53" s="104"/>
      <c r="G53" s="548"/>
      <c r="H53" s="548"/>
      <c r="I53" s="982">
        <v>45256.04</v>
      </c>
      <c r="J53" s="579"/>
    </row>
    <row r="54" spans="1:11" s="585" customFormat="1" ht="9.9499999999999993" customHeight="1" thickBot="1">
      <c r="A54" s="196"/>
      <c r="B54" s="196"/>
      <c r="C54" s="580"/>
      <c r="D54" s="601" t="s">
        <v>909</v>
      </c>
      <c r="E54" s="602"/>
      <c r="F54" s="601"/>
      <c r="G54" s="601"/>
      <c r="H54" s="601"/>
      <c r="I54" s="985">
        <v>101214.88</v>
      </c>
      <c r="J54" s="603"/>
    </row>
    <row r="55" spans="1:11" s="585" customFormat="1" ht="9.9499999999999993" customHeight="1">
      <c r="A55" s="196"/>
      <c r="B55" s="196"/>
      <c r="C55" s="574" t="s">
        <v>59</v>
      </c>
      <c r="D55" s="575" t="s">
        <v>1168</v>
      </c>
      <c r="E55" s="597"/>
      <c r="F55" s="572"/>
      <c r="G55" s="576">
        <v>1482000</v>
      </c>
      <c r="H55" s="576"/>
      <c r="I55" s="984"/>
      <c r="J55" s="578"/>
    </row>
    <row r="56" spans="1:11" s="585" customFormat="1" ht="9.9499999999999993" customHeight="1">
      <c r="A56" s="196"/>
      <c r="B56" s="196"/>
      <c r="C56" s="573"/>
      <c r="D56" s="104" t="s">
        <v>908</v>
      </c>
      <c r="E56" s="132"/>
      <c r="F56" s="104"/>
      <c r="G56" s="548"/>
      <c r="H56" s="548"/>
      <c r="I56" s="982">
        <v>114063.69</v>
      </c>
      <c r="J56" s="579"/>
    </row>
    <row r="57" spans="1:11" s="585" customFormat="1" ht="9.9499999999999993" customHeight="1">
      <c r="A57" s="196"/>
      <c r="B57" s="196"/>
      <c r="C57" s="580"/>
      <c r="D57" s="601" t="s">
        <v>909</v>
      </c>
      <c r="E57" s="602"/>
      <c r="F57" s="601"/>
      <c r="G57" s="601"/>
      <c r="H57" s="601"/>
      <c r="I57" s="985">
        <v>255102.87</v>
      </c>
      <c r="J57" s="603"/>
    </row>
    <row r="58" spans="1:11" s="585" customFormat="1" ht="9.9499999999999993" customHeight="1">
      <c r="A58" s="196" t="s">
        <v>893</v>
      </c>
      <c r="B58" s="196"/>
      <c r="C58" s="574" t="s">
        <v>59</v>
      </c>
      <c r="D58" s="197" t="s">
        <v>147</v>
      </c>
      <c r="E58" s="198"/>
      <c r="F58" s="196"/>
      <c r="H58" s="196"/>
      <c r="I58" s="828"/>
      <c r="J58" s="587"/>
      <c r="K58" s="879">
        <f>I14+I18+I22+I26+I30+I34+I38+I42+I46+I50</f>
        <v>187990.48</v>
      </c>
    </row>
    <row r="59" spans="1:11" s="585" customFormat="1" ht="9.9499999999999993" customHeight="1">
      <c r="A59" s="196"/>
      <c r="B59" s="196"/>
      <c r="C59" s="196"/>
      <c r="D59" s="196" t="s">
        <v>148</v>
      </c>
      <c r="E59" s="198"/>
      <c r="F59" s="196"/>
      <c r="G59" s="588"/>
      <c r="H59" s="196"/>
      <c r="I59" s="828"/>
      <c r="J59" s="589"/>
      <c r="K59" s="879">
        <f>I15+I19+I23+I27+I31+I35+I39+I43+I47+I51</f>
        <v>97508.599999999991</v>
      </c>
    </row>
    <row r="60" spans="1:11" s="585" customFormat="1" ht="9.9499999999999993" customHeight="1">
      <c r="A60" s="196"/>
      <c r="B60" s="196"/>
      <c r="C60" s="196"/>
      <c r="D60" s="104" t="s">
        <v>1166</v>
      </c>
      <c r="E60" s="198"/>
      <c r="F60" s="196"/>
      <c r="G60" s="196"/>
      <c r="H60" s="196"/>
      <c r="I60" s="828">
        <f>'desagregacion de ctas.'!H297</f>
        <v>8423.7800000000007</v>
      </c>
      <c r="J60" s="587"/>
    </row>
    <row r="61" spans="1:11" s="585" customFormat="1" ht="9.9499999999999993" customHeight="1">
      <c r="A61" s="196"/>
      <c r="B61" s="196"/>
      <c r="C61" s="196"/>
      <c r="D61" s="196"/>
      <c r="E61" s="198"/>
      <c r="F61" s="196"/>
      <c r="G61" s="196"/>
      <c r="H61" s="196"/>
      <c r="I61" s="828"/>
      <c r="J61" s="587"/>
    </row>
    <row r="62" spans="1:11" s="585" customFormat="1" ht="9.9499999999999993" customHeight="1">
      <c r="A62" s="196"/>
      <c r="B62" s="196"/>
      <c r="C62" s="196"/>
      <c r="D62" s="196"/>
      <c r="E62" s="198"/>
      <c r="F62" s="196"/>
      <c r="G62" s="196"/>
      <c r="H62" s="196"/>
      <c r="I62" s="586"/>
      <c r="J62" s="587"/>
    </row>
    <row r="63" spans="1:11" s="585" customFormat="1" ht="9.9499999999999993" customHeight="1" thickBot="1">
      <c r="A63" s="590"/>
      <c r="B63" s="590"/>
      <c r="C63" s="590"/>
      <c r="D63" s="590"/>
      <c r="E63" s="103"/>
      <c r="F63" s="590"/>
      <c r="G63" s="590"/>
      <c r="H63" s="590"/>
      <c r="I63" s="591"/>
      <c r="J63" s="592"/>
    </row>
    <row r="64" spans="1:11" s="585" customFormat="1" ht="9.9499999999999993" customHeight="1">
      <c r="A64" s="593" t="s">
        <v>425</v>
      </c>
      <c r="B64" s="594"/>
      <c r="C64" s="594"/>
      <c r="D64" s="594"/>
      <c r="E64" s="21"/>
      <c r="F64" s="594"/>
      <c r="G64" s="595">
        <f>SUM(G13:G63)</f>
        <v>4284000</v>
      </c>
      <c r="H64" s="595">
        <f>SUM(H13:H63)</f>
        <v>0</v>
      </c>
      <c r="I64" s="546">
        <f>SUM(I13:I63)</f>
        <v>809560.34</v>
      </c>
      <c r="J64" s="596">
        <f>SUM(J13:J63)</f>
        <v>0</v>
      </c>
    </row>
  </sheetData>
  <mergeCells count="14">
    <mergeCell ref="A2:J2"/>
    <mergeCell ref="A3:J3"/>
    <mergeCell ref="A4:J4"/>
    <mergeCell ref="A10:A12"/>
    <mergeCell ref="G10:I10"/>
    <mergeCell ref="F11:F12"/>
    <mergeCell ref="J11:J12"/>
    <mergeCell ref="B11:B12"/>
    <mergeCell ref="C11:C12"/>
    <mergeCell ref="D11:D12"/>
    <mergeCell ref="E11:E12"/>
    <mergeCell ref="G11:G12"/>
    <mergeCell ref="H11:H12"/>
    <mergeCell ref="I11:I12"/>
  </mergeCells>
  <phoneticPr fontId="5" type="noConversion"/>
  <pageMargins left="0.51" right="0.21" top="0.27" bottom="0.23" header="0" footer="0"/>
  <pageSetup paperSize="9" orientation="landscape" horizontalDpi="120" verticalDpi="7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2:G40"/>
  <sheetViews>
    <sheetView zoomScale="75" workbookViewId="0">
      <selection activeCell="B21" sqref="B21:B22"/>
    </sheetView>
  </sheetViews>
  <sheetFormatPr baseColWidth="10" defaultColWidth="11.42578125" defaultRowHeight="12.75"/>
  <cols>
    <col min="1" max="1" width="30.140625" customWidth="1"/>
    <col min="2" max="2" width="21.7109375" customWidth="1"/>
    <col min="3" max="3" width="15.7109375" customWidth="1"/>
    <col min="4" max="4" width="12.140625" customWidth="1"/>
    <col min="5" max="5" width="14.28515625" customWidth="1"/>
    <col min="7" max="7" width="21" customWidth="1"/>
  </cols>
  <sheetData>
    <row r="2" spans="1:7">
      <c r="A2" s="1664"/>
      <c r="B2" s="1664"/>
      <c r="C2" s="1664"/>
      <c r="D2" s="1664"/>
      <c r="E2" s="1664"/>
      <c r="F2" s="1664"/>
      <c r="G2" s="1664"/>
    </row>
    <row r="3" spans="1:7">
      <c r="A3" s="1665" t="s">
        <v>388</v>
      </c>
      <c r="B3" s="1665"/>
      <c r="C3" s="1665"/>
      <c r="D3" s="1665"/>
      <c r="E3" s="1665"/>
      <c r="F3" s="1665"/>
      <c r="G3" s="1665"/>
    </row>
    <row r="4" spans="1:7">
      <c r="A4" s="1565" t="s">
        <v>426</v>
      </c>
      <c r="B4" s="1565"/>
      <c r="C4" s="1565"/>
      <c r="D4" s="1565"/>
      <c r="E4" s="1565"/>
      <c r="F4" s="1565"/>
      <c r="G4" s="1565"/>
    </row>
    <row r="6" spans="1:7">
      <c r="A6" s="21" t="s">
        <v>450</v>
      </c>
      <c r="B6" s="13"/>
      <c r="C6" s="13"/>
      <c r="D6" s="13"/>
      <c r="E6" s="13"/>
      <c r="F6" s="13"/>
      <c r="G6" s="14"/>
    </row>
    <row r="7" spans="1:7">
      <c r="A7" s="21" t="s">
        <v>1394</v>
      </c>
      <c r="B7" s="13"/>
      <c r="C7" s="13"/>
      <c r="D7" s="13"/>
      <c r="E7" s="13"/>
      <c r="F7" s="13"/>
      <c r="G7" s="14"/>
    </row>
    <row r="8" spans="1:7">
      <c r="A8" s="17" t="s">
        <v>119</v>
      </c>
      <c r="B8" s="13"/>
      <c r="C8" s="13"/>
      <c r="D8" s="13"/>
      <c r="E8" s="13"/>
      <c r="F8" s="13"/>
      <c r="G8" s="14"/>
    </row>
    <row r="9" spans="1:7">
      <c r="A9" s="16"/>
      <c r="B9" s="1"/>
      <c r="C9" s="1"/>
      <c r="D9" s="1"/>
      <c r="E9" s="1"/>
      <c r="F9" s="1"/>
      <c r="G9" s="11"/>
    </row>
    <row r="10" spans="1:7" ht="11.25" customHeight="1">
      <c r="A10" s="1677" t="s">
        <v>436</v>
      </c>
      <c r="B10" s="1551" t="s">
        <v>427</v>
      </c>
      <c r="C10" s="1680" t="s">
        <v>428</v>
      </c>
      <c r="D10" s="1677" t="s">
        <v>429</v>
      </c>
      <c r="E10" s="1683" t="s">
        <v>430</v>
      </c>
      <c r="F10" s="1677" t="s">
        <v>217</v>
      </c>
      <c r="G10" s="1551" t="s">
        <v>431</v>
      </c>
    </row>
    <row r="11" spans="1:7" ht="9.75" customHeight="1">
      <c r="A11" s="1678"/>
      <c r="B11" s="1676"/>
      <c r="C11" s="1681"/>
      <c r="D11" s="1678"/>
      <c r="E11" s="1684"/>
      <c r="F11" s="1678"/>
      <c r="G11" s="1676"/>
    </row>
    <row r="12" spans="1:7" ht="7.5" customHeight="1">
      <c r="A12" s="1679"/>
      <c r="B12" s="1669"/>
      <c r="C12" s="1682"/>
      <c r="D12" s="1679"/>
      <c r="E12" s="1685"/>
      <c r="F12" s="1679"/>
      <c r="G12" s="1669"/>
    </row>
    <row r="13" spans="1:7">
      <c r="A13" s="24"/>
      <c r="B13" s="25"/>
      <c r="C13" s="25"/>
      <c r="D13" s="25"/>
      <c r="E13" s="271"/>
      <c r="F13" s="25"/>
      <c r="G13" s="25"/>
    </row>
    <row r="14" spans="1:7">
      <c r="A14" s="25"/>
      <c r="B14" s="25"/>
      <c r="C14" s="25"/>
      <c r="D14" s="25"/>
      <c r="E14" s="271"/>
      <c r="F14" s="25"/>
      <c r="G14" s="25"/>
    </row>
    <row r="15" spans="1:7">
      <c r="A15" s="196" t="s">
        <v>911</v>
      </c>
      <c r="B15" s="25" t="s">
        <v>254</v>
      </c>
      <c r="C15" s="25"/>
      <c r="D15" s="25"/>
      <c r="E15" s="271">
        <v>8400</v>
      </c>
      <c r="F15" s="25"/>
      <c r="G15" s="25"/>
    </row>
    <row r="16" spans="1:7">
      <c r="A16" s="27"/>
      <c r="B16" s="880" t="s">
        <v>1169</v>
      </c>
      <c r="C16" s="29"/>
      <c r="D16" s="29"/>
      <c r="E16" s="270">
        <v>5258.04</v>
      </c>
      <c r="F16" s="29"/>
      <c r="G16" s="29"/>
    </row>
    <row r="17" spans="1:7">
      <c r="A17" s="27"/>
      <c r="B17" s="25"/>
      <c r="C17" s="25"/>
      <c r="D17" s="25"/>
      <c r="E17" s="271"/>
      <c r="F17" s="25"/>
      <c r="G17" s="25"/>
    </row>
    <row r="18" spans="1:7">
      <c r="A18" s="27"/>
      <c r="B18" s="25"/>
      <c r="C18" s="25"/>
      <c r="D18" s="25"/>
      <c r="E18" s="271"/>
      <c r="F18" s="25"/>
      <c r="G18" s="25"/>
    </row>
    <row r="19" spans="1:7">
      <c r="A19" s="27"/>
      <c r="B19" s="25"/>
      <c r="C19" s="25"/>
      <c r="D19" s="25"/>
      <c r="E19" s="271"/>
      <c r="F19" s="25"/>
      <c r="G19" s="25"/>
    </row>
    <row r="20" spans="1:7">
      <c r="A20" s="196" t="s">
        <v>912</v>
      </c>
      <c r="B20" s="25" t="s">
        <v>642</v>
      </c>
      <c r="C20" s="25"/>
      <c r="D20" s="25"/>
      <c r="E20" s="271">
        <f>'Remurac. X Lt'!G14</f>
        <v>6775.55</v>
      </c>
      <c r="F20" s="25"/>
      <c r="G20" s="25"/>
    </row>
    <row r="21" spans="1:7">
      <c r="A21" s="27"/>
      <c r="B21" s="25"/>
      <c r="C21" s="25"/>
      <c r="D21" s="25"/>
      <c r="E21" s="271"/>
      <c r="F21" s="25"/>
      <c r="G21" s="25"/>
    </row>
    <row r="22" spans="1:7">
      <c r="A22" s="27"/>
      <c r="B22" s="25"/>
      <c r="C22" s="25"/>
      <c r="D22" s="25"/>
      <c r="E22" s="271"/>
      <c r="F22" s="25"/>
      <c r="G22" s="25"/>
    </row>
    <row r="23" spans="1:7">
      <c r="A23" s="27"/>
      <c r="B23" s="25"/>
      <c r="C23" s="25"/>
      <c r="D23" s="25"/>
      <c r="E23" s="271"/>
      <c r="F23" s="25"/>
      <c r="G23" s="25"/>
    </row>
    <row r="24" spans="1:7">
      <c r="A24" s="25"/>
      <c r="B24" s="25"/>
      <c r="C24" s="25"/>
      <c r="D24" s="25"/>
      <c r="E24" s="25"/>
      <c r="F24" s="25"/>
      <c r="G24" s="25"/>
    </row>
    <row r="25" spans="1:7">
      <c r="A25" s="26"/>
      <c r="B25" s="25"/>
      <c r="C25" s="25"/>
      <c r="D25" s="25"/>
      <c r="E25" s="25"/>
      <c r="F25" s="25"/>
      <c r="G25" s="25"/>
    </row>
    <row r="26" spans="1:7">
      <c r="A26" s="25"/>
      <c r="B26" s="25"/>
      <c r="C26" s="25"/>
      <c r="D26" s="25"/>
      <c r="E26" s="25"/>
      <c r="F26" s="25"/>
      <c r="G26" s="25"/>
    </row>
    <row r="27" spans="1:7">
      <c r="A27" s="25"/>
      <c r="B27" s="25"/>
      <c r="C27" s="25"/>
      <c r="D27" s="25"/>
      <c r="E27" s="25"/>
      <c r="F27" s="25"/>
      <c r="G27" s="25"/>
    </row>
    <row r="28" spans="1:7">
      <c r="A28" s="25"/>
      <c r="B28" s="25"/>
      <c r="C28" s="25"/>
      <c r="D28" s="25"/>
      <c r="E28" s="25"/>
      <c r="F28" s="25"/>
      <c r="G28" s="25"/>
    </row>
    <row r="29" spans="1:7">
      <c r="A29" s="25"/>
      <c r="B29" s="25"/>
      <c r="C29" s="25"/>
      <c r="D29" s="25"/>
      <c r="E29" s="25"/>
      <c r="F29" s="25"/>
      <c r="G29" s="25"/>
    </row>
    <row r="30" spans="1:7">
      <c r="A30" s="25"/>
      <c r="B30" s="25"/>
      <c r="C30" s="25"/>
      <c r="D30" s="25"/>
      <c r="E30" s="25"/>
      <c r="F30" s="25"/>
      <c r="G30" s="25"/>
    </row>
    <row r="31" spans="1:7">
      <c r="A31" s="25"/>
      <c r="B31" s="25"/>
      <c r="C31" s="25"/>
      <c r="D31" s="25"/>
      <c r="E31" s="25"/>
      <c r="F31" s="25"/>
      <c r="G31" s="25"/>
    </row>
    <row r="32" spans="1:7">
      <c r="A32" s="25"/>
      <c r="B32" s="25"/>
      <c r="C32" s="25"/>
      <c r="D32" s="25"/>
      <c r="E32" s="25"/>
      <c r="F32" s="25"/>
      <c r="G32" s="25"/>
    </row>
    <row r="33" spans="1:7">
      <c r="A33" s="25"/>
      <c r="B33" s="25"/>
      <c r="C33" s="25"/>
      <c r="D33" s="25"/>
      <c r="E33" s="25"/>
      <c r="F33" s="25"/>
      <c r="G33" s="25"/>
    </row>
    <row r="34" spans="1:7">
      <c r="A34" s="25"/>
      <c r="B34" s="25"/>
      <c r="C34" s="25"/>
      <c r="D34" s="25"/>
      <c r="E34" s="25"/>
      <c r="F34" s="25"/>
      <c r="G34" s="25"/>
    </row>
    <row r="35" spans="1:7">
      <c r="A35" s="25"/>
      <c r="B35" s="25"/>
      <c r="C35" s="25"/>
      <c r="D35" s="25"/>
      <c r="E35" s="25"/>
      <c r="F35" s="25"/>
      <c r="G35" s="25"/>
    </row>
    <row r="36" spans="1:7">
      <c r="A36" s="25"/>
      <c r="B36" s="25"/>
      <c r="C36" s="25"/>
      <c r="D36" s="25"/>
      <c r="E36" s="25"/>
      <c r="F36" s="25"/>
      <c r="G36" s="25"/>
    </row>
    <row r="37" spans="1:7">
      <c r="A37" s="25"/>
      <c r="B37" s="25"/>
      <c r="C37" s="25"/>
      <c r="D37" s="25"/>
      <c r="E37" s="25"/>
      <c r="F37" s="25"/>
      <c r="G37" s="25"/>
    </row>
    <row r="38" spans="1:7">
      <c r="A38" s="27"/>
      <c r="B38" s="25"/>
      <c r="C38" s="25"/>
      <c r="D38" s="25"/>
      <c r="E38" s="25"/>
      <c r="F38" s="25"/>
      <c r="G38" s="25"/>
    </row>
    <row r="39" spans="1:7">
      <c r="A39" s="18"/>
      <c r="B39" s="19"/>
      <c r="C39" s="19"/>
      <c r="D39" s="19"/>
      <c r="E39" s="19"/>
      <c r="F39" s="19"/>
      <c r="G39" s="19"/>
    </row>
    <row r="40" spans="1:7" s="8" customFormat="1" ht="21" customHeight="1">
      <c r="A40" s="363" t="s">
        <v>425</v>
      </c>
      <c r="B40" s="364"/>
      <c r="C40" s="364"/>
      <c r="D40" s="364"/>
      <c r="E40" s="269">
        <f>SUM(E15:E39)</f>
        <v>20433.59</v>
      </c>
      <c r="F40" s="364"/>
      <c r="G40" s="364"/>
    </row>
  </sheetData>
  <mergeCells count="10">
    <mergeCell ref="G10:G12"/>
    <mergeCell ref="A2:G2"/>
    <mergeCell ref="A3:G3"/>
    <mergeCell ref="A4:G4"/>
    <mergeCell ref="A10:A12"/>
    <mergeCell ref="F10:F12"/>
    <mergeCell ref="C10:C12"/>
    <mergeCell ref="B10:B12"/>
    <mergeCell ref="D10:D12"/>
    <mergeCell ref="E10:E12"/>
  </mergeCells>
  <phoneticPr fontId="5" type="noConversion"/>
  <pageMargins left="0.47" right="0.53" top="0.48" bottom="0.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170"/>
  <sheetViews>
    <sheetView tabSelected="1" workbookViewId="0">
      <selection activeCell="A11" sqref="A11:F11"/>
    </sheetView>
  </sheetViews>
  <sheetFormatPr baseColWidth="10" defaultColWidth="8.42578125" defaultRowHeight="17.25"/>
  <cols>
    <col min="1" max="2" width="8.42578125" style="3" customWidth="1"/>
    <col min="3" max="3" width="44.42578125" style="3" customWidth="1"/>
    <col min="4" max="4" width="20.28515625" style="3" customWidth="1"/>
    <col min="5" max="5" width="3.28515625" style="3" customWidth="1"/>
    <col min="6" max="6" width="4.85546875" style="3" customWidth="1"/>
    <col min="7" max="10" width="8.42578125" style="3" customWidth="1"/>
    <col min="11" max="11" width="4.7109375" style="3" customWidth="1"/>
    <col min="12" max="16384" width="8.42578125" style="3"/>
  </cols>
  <sheetData>
    <row r="1" spans="1:12">
      <c r="A1" s="558" t="s">
        <v>1403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96"/>
    </row>
    <row r="2" spans="1:12">
      <c r="A2" s="1181" t="s">
        <v>869</v>
      </c>
      <c r="B2" s="1181"/>
      <c r="C2" s="1181"/>
      <c r="D2" s="1181"/>
      <c r="E2" s="1181"/>
      <c r="F2" s="1181"/>
      <c r="G2" s="558"/>
      <c r="H2" s="558"/>
      <c r="I2" s="558"/>
      <c r="J2" s="558"/>
      <c r="K2" s="558"/>
      <c r="L2" s="246"/>
    </row>
    <row r="3" spans="1:12">
      <c r="A3" s="1181"/>
      <c r="B3" s="1181"/>
      <c r="C3" s="1181"/>
      <c r="D3" s="1181"/>
      <c r="E3" s="1181"/>
      <c r="F3" s="1181"/>
      <c r="G3" s="558"/>
      <c r="H3" s="558"/>
      <c r="I3" s="558"/>
      <c r="J3" s="558"/>
      <c r="K3" s="558"/>
      <c r="L3" s="246"/>
    </row>
    <row r="4" spans="1:12">
      <c r="A4" s="1181"/>
      <c r="B4" s="1181"/>
      <c r="C4" s="1181"/>
      <c r="D4" s="1181"/>
      <c r="E4" s="1181"/>
      <c r="F4" s="1181"/>
      <c r="G4" s="558"/>
      <c r="H4" s="558"/>
      <c r="I4" s="558"/>
      <c r="J4" s="558"/>
      <c r="K4" s="558"/>
      <c r="L4" s="246"/>
    </row>
    <row r="5" spans="1:12">
      <c r="A5" s="558"/>
      <c r="B5" s="558"/>
      <c r="C5" s="558"/>
      <c r="D5" s="558"/>
      <c r="E5" s="558"/>
      <c r="F5" s="558"/>
      <c r="G5" s="558"/>
      <c r="H5" s="558"/>
      <c r="I5" s="558"/>
      <c r="J5" s="558"/>
      <c r="K5" s="558"/>
      <c r="L5" s="246"/>
    </row>
    <row r="6" spans="1:12">
      <c r="A6" s="558" t="s">
        <v>441</v>
      </c>
      <c r="B6" s="558"/>
      <c r="C6" s="558"/>
      <c r="D6" s="558"/>
      <c r="E6" s="558"/>
      <c r="F6" s="558"/>
      <c r="G6" s="558"/>
      <c r="H6" s="558"/>
      <c r="I6" s="558"/>
      <c r="J6" s="558"/>
      <c r="K6" s="558"/>
      <c r="L6" s="246"/>
    </row>
    <row r="7" spans="1:12" ht="23.25" customHeight="1">
      <c r="A7" s="1181" t="s">
        <v>1274</v>
      </c>
      <c r="B7" s="1181"/>
      <c r="C7" s="1181"/>
      <c r="D7" s="1181"/>
      <c r="E7" s="1181"/>
      <c r="F7" s="1181"/>
      <c r="G7" s="559"/>
      <c r="H7" s="559"/>
      <c r="I7" s="559"/>
      <c r="J7" s="559"/>
      <c r="K7" s="559"/>
      <c r="L7" s="247"/>
    </row>
    <row r="8" spans="1:12" ht="10.5" customHeight="1">
      <c r="A8" s="1181"/>
      <c r="B8" s="1181"/>
      <c r="C8" s="1181"/>
      <c r="D8" s="1181"/>
      <c r="E8" s="1181"/>
      <c r="F8" s="1181"/>
      <c r="G8" s="559"/>
      <c r="H8" s="559"/>
      <c r="I8" s="559"/>
      <c r="J8" s="559"/>
      <c r="K8" s="559"/>
      <c r="L8" s="247"/>
    </row>
    <row r="9" spans="1:12" ht="16.5" customHeight="1">
      <c r="A9" s="1181"/>
      <c r="B9" s="1181"/>
      <c r="C9" s="1181"/>
      <c r="D9" s="1181"/>
      <c r="E9" s="1181"/>
      <c r="F9" s="1181"/>
      <c r="G9" s="559"/>
      <c r="H9" s="559"/>
      <c r="I9" s="559"/>
      <c r="J9" s="559"/>
      <c r="K9" s="559"/>
      <c r="L9" s="135"/>
    </row>
    <row r="10" spans="1:12" ht="8.25" customHeight="1">
      <c r="A10" s="558"/>
      <c r="B10" s="558"/>
      <c r="C10" s="558"/>
      <c r="D10" s="558"/>
      <c r="E10" s="558"/>
      <c r="F10" s="558"/>
      <c r="G10" s="558"/>
      <c r="H10" s="558"/>
      <c r="I10" s="558"/>
      <c r="J10" s="558"/>
      <c r="K10" s="558"/>
      <c r="L10" s="246"/>
    </row>
    <row r="11" spans="1:12" ht="63" customHeight="1">
      <c r="A11" s="1181" t="s">
        <v>1409</v>
      </c>
      <c r="B11" s="1181"/>
      <c r="C11" s="1181"/>
      <c r="D11" s="1181"/>
      <c r="E11" s="1181"/>
      <c r="F11" s="1181"/>
      <c r="G11" s="559"/>
      <c r="H11" s="559"/>
      <c r="I11" s="559"/>
      <c r="J11" s="559"/>
      <c r="K11" s="559"/>
      <c r="L11" s="246"/>
    </row>
    <row r="12" spans="1:12">
      <c r="A12" s="559"/>
      <c r="B12" s="559"/>
      <c r="C12" s="559"/>
      <c r="D12" s="559"/>
      <c r="E12" s="559"/>
      <c r="F12" s="559"/>
      <c r="G12" s="559"/>
      <c r="H12" s="559"/>
      <c r="I12" s="559"/>
      <c r="J12" s="559"/>
      <c r="K12" s="559"/>
      <c r="L12" s="246"/>
    </row>
    <row r="13" spans="1:12">
      <c r="B13" s="1188" t="s">
        <v>561</v>
      </c>
      <c r="C13" s="1188"/>
      <c r="D13" s="1188"/>
      <c r="E13" s="551"/>
      <c r="F13" s="298"/>
      <c r="G13" s="298"/>
      <c r="H13" s="298"/>
      <c r="I13" s="298"/>
      <c r="J13" s="298"/>
      <c r="K13" s="298"/>
      <c r="L13" s="246"/>
    </row>
    <row r="14" spans="1:12">
      <c r="A14"/>
      <c r="B14" s="1188" t="s">
        <v>562</v>
      </c>
      <c r="C14" s="1188"/>
      <c r="D14" s="1188"/>
      <c r="E14"/>
      <c r="F14" s="298"/>
      <c r="G14" s="298"/>
      <c r="H14" s="298"/>
      <c r="I14" s="298"/>
      <c r="J14" s="298"/>
      <c r="K14" s="298"/>
      <c r="L14" s="246"/>
    </row>
    <row r="15" spans="1:12">
      <c r="A15"/>
      <c r="B15" s="560">
        <v>11</v>
      </c>
      <c r="C15" s="561" t="s">
        <v>225</v>
      </c>
      <c r="D15" s="562">
        <f>'Plan 10'!F10</f>
        <v>67921.8</v>
      </c>
      <c r="E15"/>
      <c r="F15" s="298"/>
      <c r="G15" s="298"/>
      <c r="H15" s="298"/>
      <c r="I15" s="298"/>
      <c r="J15" s="298"/>
      <c r="K15" s="298"/>
      <c r="L15" s="246"/>
    </row>
    <row r="16" spans="1:12">
      <c r="A16"/>
      <c r="B16" s="560">
        <v>12</v>
      </c>
      <c r="C16" s="561" t="s">
        <v>223</v>
      </c>
      <c r="D16" s="562">
        <f>'Plan 10'!F27</f>
        <v>741111.0199999999</v>
      </c>
      <c r="E16"/>
      <c r="F16" s="298"/>
      <c r="G16" s="298"/>
      <c r="H16" s="298"/>
      <c r="I16" s="298"/>
      <c r="J16" s="298"/>
      <c r="K16" s="298"/>
      <c r="L16" s="246"/>
    </row>
    <row r="17" spans="1:12">
      <c r="A17"/>
      <c r="B17" s="560">
        <v>14</v>
      </c>
      <c r="C17" s="561" t="s">
        <v>749</v>
      </c>
      <c r="D17" s="562">
        <f>'Plan 10'!F44</f>
        <v>57393.19</v>
      </c>
      <c r="E17"/>
      <c r="F17" s="245"/>
      <c r="G17" s="245"/>
      <c r="H17" s="245"/>
      <c r="I17" s="245"/>
      <c r="J17" s="245"/>
      <c r="K17" s="245"/>
      <c r="L17" s="246"/>
    </row>
    <row r="18" spans="1:12">
      <c r="A18"/>
      <c r="B18" s="560">
        <v>15</v>
      </c>
      <c r="C18" s="561" t="s">
        <v>220</v>
      </c>
      <c r="D18" s="562">
        <f>'Plan 10'!F68</f>
        <v>11160.27</v>
      </c>
      <c r="E18"/>
      <c r="F18" s="245"/>
      <c r="G18" s="245"/>
      <c r="H18" s="245"/>
      <c r="I18" s="245"/>
      <c r="J18" s="245"/>
      <c r="K18" s="245"/>
      <c r="L18" s="246"/>
    </row>
    <row r="19" spans="1:12">
      <c r="A19"/>
      <c r="B19" s="560">
        <v>16</v>
      </c>
      <c r="C19" s="561" t="s">
        <v>307</v>
      </c>
      <c r="D19" s="562">
        <f>'Plan 10'!E82</f>
        <v>526192.80000000005</v>
      </c>
      <c r="E19"/>
      <c r="F19" s="95"/>
      <c r="G19" s="95"/>
      <c r="H19" s="95"/>
      <c r="I19" s="95"/>
      <c r="J19" s="95"/>
      <c r="K19" s="95"/>
      <c r="L19" s="96"/>
    </row>
    <row r="20" spans="1:12">
      <c r="A20"/>
      <c r="B20" s="560">
        <v>22</v>
      </c>
      <c r="C20" s="561" t="s">
        <v>309</v>
      </c>
      <c r="D20" s="562">
        <f>'Plan 10'!E127</f>
        <v>1578578.52</v>
      </c>
      <c r="E20"/>
      <c r="F20" s="95"/>
      <c r="G20" s="95"/>
      <c r="H20" s="95"/>
      <c r="I20" s="95"/>
      <c r="J20" s="95"/>
      <c r="K20" s="95"/>
      <c r="L20" s="96"/>
    </row>
    <row r="21" spans="1:12">
      <c r="A21"/>
      <c r="B21" s="571">
        <v>31</v>
      </c>
      <c r="C21" s="561" t="s">
        <v>933</v>
      </c>
      <c r="D21" s="562">
        <f>'Plan 10'!F134</f>
        <v>3250000</v>
      </c>
      <c r="E21"/>
      <c r="F21" s="95"/>
      <c r="G21" s="95"/>
      <c r="H21" s="95"/>
      <c r="I21" s="95"/>
      <c r="J21" s="95"/>
      <c r="K21" s="95"/>
      <c r="L21" s="96"/>
    </row>
    <row r="22" spans="1:12">
      <c r="A22"/>
      <c r="B22" s="560">
        <v>32</v>
      </c>
      <c r="C22" s="561" t="s">
        <v>310</v>
      </c>
      <c r="D22" s="562">
        <f>'Plan 10'!E89+'Plan 10'!F89+'Plan 10'!E142+'Plan 10'!F142+'Plan 10'!F187</f>
        <v>34830.49</v>
      </c>
      <c r="E22"/>
      <c r="F22" s="95"/>
      <c r="G22" s="95"/>
      <c r="H22" s="95"/>
      <c r="I22" s="95"/>
      <c r="J22" s="95"/>
      <c r="K22" s="95"/>
      <c r="L22" s="96"/>
    </row>
    <row r="23" spans="1:12">
      <c r="A23"/>
      <c r="B23" s="561"/>
      <c r="C23" s="561" t="s">
        <v>415</v>
      </c>
      <c r="D23" s="562">
        <f>SUM(D15:D22)+0.01</f>
        <v>6267188.0999999996</v>
      </c>
      <c r="E23"/>
      <c r="F23" s="95"/>
      <c r="G23" s="95"/>
      <c r="H23" s="95"/>
      <c r="I23" s="95"/>
      <c r="J23" s="95"/>
      <c r="K23" s="95"/>
      <c r="L23" s="96"/>
    </row>
    <row r="24" spans="1:12">
      <c r="A24"/>
      <c r="E24"/>
      <c r="F24" s="95"/>
      <c r="G24" s="95"/>
      <c r="H24" s="95"/>
      <c r="I24" s="95"/>
      <c r="J24" s="95"/>
      <c r="K24" s="95"/>
      <c r="L24" s="96"/>
    </row>
    <row r="25" spans="1:12">
      <c r="A25"/>
      <c r="B25" s="558"/>
      <c r="C25" s="558"/>
      <c r="D25" s="563"/>
      <c r="E25"/>
      <c r="F25" s="95"/>
      <c r="G25" s="95"/>
      <c r="H25" s="95"/>
      <c r="I25" s="95"/>
      <c r="J25" s="95"/>
      <c r="K25" s="95"/>
      <c r="L25" s="96"/>
    </row>
    <row r="26" spans="1:12">
      <c r="A26"/>
      <c r="B26" s="1182" t="s">
        <v>563</v>
      </c>
      <c r="C26" s="1183"/>
      <c r="D26" s="1184"/>
      <c r="E26"/>
      <c r="F26" s="95"/>
      <c r="G26" s="95"/>
      <c r="H26" s="95"/>
      <c r="I26" s="95"/>
      <c r="J26" s="95"/>
      <c r="K26" s="95"/>
      <c r="L26" s="96"/>
    </row>
    <row r="27" spans="1:12">
      <c r="A27"/>
      <c r="B27" s="1185" t="s">
        <v>564</v>
      </c>
      <c r="C27" s="1186"/>
      <c r="D27" s="1187"/>
      <c r="E27"/>
      <c r="F27" s="95"/>
      <c r="G27" s="95"/>
      <c r="H27" s="95"/>
      <c r="I27" s="95"/>
      <c r="J27" s="95"/>
      <c r="K27" s="95"/>
      <c r="L27" s="96"/>
    </row>
    <row r="28" spans="1:12">
      <c r="A28"/>
      <c r="B28" s="560">
        <v>51</v>
      </c>
      <c r="C28" s="561" t="s">
        <v>341</v>
      </c>
      <c r="D28" s="562">
        <f>PRESU.INSTITUCIONAL!D27</f>
        <v>868959.48250000004</v>
      </c>
      <c r="E28"/>
      <c r="F28" s="95"/>
      <c r="G28" s="95"/>
      <c r="H28" s="95"/>
      <c r="I28" s="95"/>
      <c r="J28" s="95"/>
      <c r="K28" s="95"/>
      <c r="L28" s="96"/>
    </row>
    <row r="29" spans="1:12">
      <c r="A29"/>
      <c r="B29" s="560">
        <v>54</v>
      </c>
      <c r="C29" s="561" t="s">
        <v>565</v>
      </c>
      <c r="D29" s="562">
        <f>PRESU.INSTITUCIONAL!D28</f>
        <v>397770.35</v>
      </c>
      <c r="E29"/>
      <c r="F29" s="95"/>
      <c r="G29" s="95"/>
      <c r="H29" s="95"/>
      <c r="I29" s="95"/>
      <c r="J29" s="95"/>
      <c r="K29" s="95"/>
      <c r="L29" s="96"/>
    </row>
    <row r="30" spans="1:12">
      <c r="A30"/>
      <c r="B30" s="560">
        <v>55</v>
      </c>
      <c r="C30" s="561" t="s">
        <v>355</v>
      </c>
      <c r="D30" s="562">
        <f>PRESU.INSTITUCIONAL!D29</f>
        <v>496869.26</v>
      </c>
      <c r="E30"/>
      <c r="F30" s="95"/>
      <c r="G30" s="95"/>
      <c r="H30" s="95"/>
      <c r="I30" s="95"/>
      <c r="J30" s="95"/>
      <c r="K30" s="95"/>
      <c r="L30" s="96"/>
    </row>
    <row r="31" spans="1:12">
      <c r="A31"/>
      <c r="B31" s="560">
        <v>56</v>
      </c>
      <c r="C31" s="561" t="s">
        <v>307</v>
      </c>
      <c r="D31" s="562">
        <f>PRESU.INSTITUCIONAL!D30</f>
        <v>28705.719999999998</v>
      </c>
      <c r="E31"/>
      <c r="F31" s="95"/>
      <c r="G31" s="95"/>
      <c r="H31" s="95"/>
      <c r="I31" s="95"/>
      <c r="J31" s="95"/>
      <c r="K31" s="95"/>
      <c r="L31" s="96"/>
    </row>
    <row r="32" spans="1:12">
      <c r="A32"/>
      <c r="B32" s="560">
        <v>61</v>
      </c>
      <c r="C32" s="561" t="s">
        <v>361</v>
      </c>
      <c r="D32" s="562">
        <f>PRESU.INSTITUCIONAL!D31</f>
        <v>4021452.966</v>
      </c>
      <c r="E32"/>
      <c r="F32" s="95"/>
      <c r="G32" s="95"/>
      <c r="H32" s="95"/>
      <c r="I32" s="95"/>
      <c r="J32" s="95"/>
      <c r="K32" s="95"/>
      <c r="L32" s="96"/>
    </row>
    <row r="33" spans="1:12">
      <c r="A33"/>
      <c r="B33" s="560">
        <v>71</v>
      </c>
      <c r="C33" s="561" t="s">
        <v>566</v>
      </c>
      <c r="D33" s="562">
        <f>PRESU.INSTITUCIONAL!D32</f>
        <v>323830.32</v>
      </c>
      <c r="E33"/>
      <c r="F33" s="95"/>
      <c r="G33" s="95"/>
      <c r="H33" s="95"/>
      <c r="I33" s="95"/>
      <c r="J33" s="95"/>
      <c r="K33" s="95"/>
      <c r="L33" s="96"/>
    </row>
    <row r="34" spans="1:12">
      <c r="A34"/>
      <c r="B34" s="560">
        <v>72</v>
      </c>
      <c r="C34" s="561" t="s">
        <v>149</v>
      </c>
      <c r="D34" s="562">
        <f>PRESU.INSTITUCIONAL!D33</f>
        <v>0</v>
      </c>
      <c r="E34"/>
      <c r="F34" s="95"/>
      <c r="G34" s="95"/>
      <c r="H34" s="95"/>
      <c r="I34" s="95"/>
      <c r="J34" s="95"/>
      <c r="K34" s="95"/>
      <c r="L34" s="96"/>
    </row>
    <row r="35" spans="1:12">
      <c r="A35"/>
      <c r="B35" s="561"/>
      <c r="C35" s="561" t="s">
        <v>415</v>
      </c>
      <c r="D35" s="562">
        <f>SUM(D28:D34)</f>
        <v>6137588.0985000003</v>
      </c>
      <c r="E35"/>
      <c r="F35" s="95"/>
      <c r="G35" s="95"/>
      <c r="H35" s="95"/>
      <c r="I35" s="95"/>
      <c r="J35" s="95"/>
      <c r="K35" s="95"/>
      <c r="L35" s="96"/>
    </row>
    <row r="36" spans="1:12" ht="18">
      <c r="A36" s="95"/>
      <c r="B36" s="94"/>
      <c r="C36" s="94"/>
      <c r="D36" s="94"/>
      <c r="E36" s="95"/>
      <c r="F36" s="95"/>
      <c r="G36" s="95"/>
      <c r="H36" s="95"/>
      <c r="I36" s="95"/>
      <c r="J36" s="95"/>
      <c r="K36" s="95"/>
      <c r="L36" s="96"/>
    </row>
    <row r="37" spans="1:1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6"/>
    </row>
    <row r="38" spans="1:12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6"/>
    </row>
    <row r="39" spans="1:12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6"/>
    </row>
    <row r="40" spans="1:12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6"/>
    </row>
    <row r="41" spans="1:12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6"/>
    </row>
    <row r="42" spans="1:12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6"/>
    </row>
    <row r="43" spans="1:12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6"/>
    </row>
    <row r="44" spans="1:12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6"/>
    </row>
    <row r="45" spans="1:12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6"/>
    </row>
    <row r="46" spans="1:12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6"/>
    </row>
    <row r="47" spans="1:12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6"/>
    </row>
    <row r="48" spans="1:12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6"/>
    </row>
    <row r="49" spans="1:12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6"/>
    </row>
    <row r="50" spans="1:12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6"/>
    </row>
    <row r="51" spans="1:12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6"/>
    </row>
    <row r="52" spans="1:12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6"/>
    </row>
    <row r="53" spans="1:1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6"/>
    </row>
    <row r="54" spans="1:12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6"/>
    </row>
    <row r="55" spans="1:12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6"/>
    </row>
    <row r="56" spans="1:12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6"/>
    </row>
    <row r="57" spans="1:12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6"/>
    </row>
    <row r="58" spans="1:12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6"/>
    </row>
    <row r="59" spans="1:12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6"/>
    </row>
    <row r="60" spans="1:12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6"/>
    </row>
    <row r="61" spans="1:12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6"/>
    </row>
    <row r="62" spans="1:12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6"/>
    </row>
    <row r="63" spans="1:12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6"/>
    </row>
    <row r="64" spans="1:12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6"/>
    </row>
    <row r="65" spans="1:12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6"/>
    </row>
    <row r="66" spans="1:12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6"/>
    </row>
    <row r="67" spans="1:12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6"/>
    </row>
    <row r="68" spans="1:12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6"/>
    </row>
    <row r="69" spans="1:12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6"/>
    </row>
    <row r="70" spans="1:12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6"/>
    </row>
    <row r="71" spans="1:12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6"/>
    </row>
    <row r="72" spans="1:12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6"/>
    </row>
    <row r="73" spans="1:12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6"/>
    </row>
    <row r="74" spans="1:12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6"/>
    </row>
    <row r="75" spans="1:12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6"/>
    </row>
    <row r="76" spans="1:12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6"/>
    </row>
    <row r="77" spans="1:12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6"/>
    </row>
    <row r="78" spans="1:12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6"/>
    </row>
    <row r="79" spans="1:12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6"/>
    </row>
    <row r="80" spans="1:12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6"/>
    </row>
    <row r="81" spans="1:12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6"/>
    </row>
    <row r="82" spans="1:12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6"/>
    </row>
    <row r="83" spans="1:12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6"/>
    </row>
    <row r="84" spans="1:12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6"/>
    </row>
    <row r="85" spans="1:12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6"/>
    </row>
    <row r="86" spans="1:12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6"/>
    </row>
    <row r="87" spans="1:12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6"/>
    </row>
    <row r="88" spans="1:12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6"/>
    </row>
    <row r="89" spans="1:12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6"/>
    </row>
    <row r="90" spans="1:12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6"/>
    </row>
    <row r="91" spans="1:12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6"/>
    </row>
    <row r="92" spans="1:12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6"/>
    </row>
    <row r="93" spans="1:12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6"/>
    </row>
    <row r="94" spans="1:12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6"/>
    </row>
    <row r="95" spans="1:12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6"/>
    </row>
    <row r="96" spans="1:12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6"/>
    </row>
    <row r="97" spans="1:12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6"/>
    </row>
    <row r="98" spans="1:12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6"/>
    </row>
    <row r="99" spans="1:12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6"/>
    </row>
    <row r="100" spans="1:12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6"/>
    </row>
    <row r="101" spans="1:12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6"/>
    </row>
    <row r="102" spans="1:12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6"/>
    </row>
    <row r="103" spans="1:12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6"/>
    </row>
    <row r="104" spans="1:12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6"/>
    </row>
    <row r="105" spans="1:12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6"/>
    </row>
    <row r="106" spans="1:12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6"/>
    </row>
    <row r="107" spans="1:12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6"/>
    </row>
    <row r="108" spans="1:12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6"/>
    </row>
    <row r="109" spans="1:12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6"/>
    </row>
    <row r="110" spans="1:12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6"/>
    </row>
    <row r="111" spans="1:12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6"/>
    </row>
    <row r="112" spans="1:12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6"/>
    </row>
    <row r="113" spans="1:12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6"/>
    </row>
    <row r="114" spans="1:12" ht="18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87"/>
    </row>
    <row r="115" spans="1:12" ht="18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87"/>
    </row>
    <row r="116" spans="1:12" ht="18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87"/>
    </row>
    <row r="117" spans="1:12" ht="18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87"/>
    </row>
    <row r="118" spans="1:12" ht="18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87"/>
    </row>
    <row r="119" spans="1:12" ht="18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87"/>
    </row>
    <row r="120" spans="1:12" ht="18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</row>
    <row r="121" spans="1:12" ht="18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</row>
    <row r="122" spans="1:12" ht="18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</row>
    <row r="123" spans="1:12" ht="18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</row>
    <row r="124" spans="1:12" ht="18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</row>
    <row r="125" spans="1:12" ht="18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</row>
    <row r="126" spans="1:12" ht="18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</row>
    <row r="127" spans="1:12" ht="18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</row>
    <row r="128" spans="1:12" ht="18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</row>
    <row r="129" spans="1:11" ht="18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</row>
    <row r="130" spans="1:11" ht="18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</row>
    <row r="131" spans="1:11" ht="18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</row>
    <row r="132" spans="1:11" ht="18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</row>
    <row r="133" spans="1:11" ht="18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</row>
    <row r="134" spans="1:11" ht="18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</row>
    <row r="135" spans="1:11" ht="18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</row>
    <row r="136" spans="1:11" ht="18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</row>
    <row r="137" spans="1:11" ht="18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</row>
    <row r="138" spans="1:11" ht="18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</row>
    <row r="139" spans="1:11" ht="18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</row>
    <row r="140" spans="1:11" ht="18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</row>
    <row r="141" spans="1:11" ht="18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</row>
    <row r="142" spans="1:11" ht="18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</row>
    <row r="143" spans="1:11" ht="18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</row>
    <row r="144" spans="1:11" ht="18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</row>
    <row r="145" spans="1:11" ht="18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</row>
    <row r="146" spans="1:11" ht="18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</row>
    <row r="147" spans="1:11" ht="18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</row>
    <row r="148" spans="1:11" ht="18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</row>
    <row r="149" spans="1:11" ht="18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</row>
    <row r="150" spans="1:11" ht="18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</row>
    <row r="151" spans="1:11" ht="18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</row>
    <row r="152" spans="1:11" ht="18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</row>
    <row r="153" spans="1:11" ht="18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</row>
    <row r="154" spans="1:11" ht="18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</row>
    <row r="155" spans="1:11" ht="18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</row>
    <row r="156" spans="1:11" ht="18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</row>
    <row r="157" spans="1:11" ht="18">
      <c r="A157" s="94"/>
      <c r="B157" s="94"/>
      <c r="C157" s="94"/>
      <c r="D157" s="94"/>
      <c r="E157" s="94"/>
      <c r="F157" s="94"/>
      <c r="G157" s="94"/>
      <c r="H157" s="94"/>
      <c r="I157" s="94"/>
      <c r="J157" s="94"/>
      <c r="K157" s="94"/>
    </row>
    <row r="158" spans="1:11" ht="18">
      <c r="A158" s="94"/>
      <c r="B158" s="94"/>
      <c r="C158" s="94"/>
      <c r="D158" s="94"/>
      <c r="E158" s="94"/>
      <c r="F158" s="94"/>
      <c r="G158" s="94"/>
      <c r="H158" s="94"/>
      <c r="I158" s="94"/>
      <c r="J158" s="94"/>
      <c r="K158" s="94"/>
    </row>
    <row r="159" spans="1:11" ht="18">
      <c r="A159" s="94"/>
      <c r="B159" s="94"/>
      <c r="C159" s="94"/>
      <c r="D159" s="94"/>
      <c r="E159" s="94"/>
      <c r="F159" s="94"/>
      <c r="G159" s="94"/>
      <c r="H159" s="94"/>
      <c r="I159" s="94"/>
      <c r="J159" s="94"/>
      <c r="K159" s="94"/>
    </row>
    <row r="160" spans="1:11" ht="18">
      <c r="A160" s="94"/>
      <c r="B160" s="94"/>
      <c r="C160" s="94"/>
      <c r="D160" s="94"/>
      <c r="E160" s="94"/>
      <c r="F160" s="94"/>
      <c r="G160" s="94"/>
      <c r="H160" s="94"/>
      <c r="I160" s="94"/>
      <c r="J160" s="94"/>
      <c r="K160" s="94"/>
    </row>
    <row r="161" spans="1:11" ht="18">
      <c r="A161" s="94"/>
      <c r="B161" s="94"/>
      <c r="C161" s="94"/>
      <c r="D161" s="94"/>
      <c r="E161" s="94"/>
      <c r="F161" s="94"/>
      <c r="G161" s="94"/>
      <c r="H161" s="94"/>
      <c r="I161" s="94"/>
      <c r="J161" s="94"/>
      <c r="K161" s="94"/>
    </row>
    <row r="162" spans="1:11" ht="18">
      <c r="A162" s="94"/>
      <c r="B162" s="94"/>
      <c r="C162" s="94"/>
      <c r="D162" s="94"/>
      <c r="E162" s="94"/>
      <c r="F162" s="94"/>
      <c r="G162" s="94"/>
      <c r="H162" s="94"/>
      <c r="I162" s="94"/>
      <c r="J162" s="94"/>
      <c r="K162" s="94"/>
    </row>
    <row r="163" spans="1:11" ht="18">
      <c r="A163" s="94"/>
      <c r="B163" s="94"/>
      <c r="C163" s="94"/>
      <c r="D163" s="94"/>
      <c r="E163" s="94"/>
      <c r="F163" s="94"/>
      <c r="G163" s="94"/>
      <c r="H163" s="94"/>
      <c r="I163" s="94"/>
      <c r="J163" s="94"/>
      <c r="K163" s="94"/>
    </row>
    <row r="164" spans="1:11" ht="18">
      <c r="A164" s="94"/>
      <c r="B164" s="94"/>
      <c r="C164" s="94"/>
      <c r="D164" s="94"/>
      <c r="E164" s="94"/>
      <c r="F164" s="94"/>
      <c r="G164" s="94"/>
      <c r="H164" s="94"/>
      <c r="I164" s="94"/>
      <c r="J164" s="94"/>
      <c r="K164" s="94"/>
    </row>
    <row r="165" spans="1:11" ht="18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</row>
    <row r="166" spans="1:11" ht="18">
      <c r="A166" s="94"/>
      <c r="B166" s="94"/>
      <c r="C166" s="94"/>
      <c r="D166" s="94"/>
      <c r="E166" s="94"/>
      <c r="F166" s="94"/>
      <c r="G166" s="94"/>
      <c r="H166" s="94"/>
      <c r="I166" s="94"/>
      <c r="J166" s="94"/>
      <c r="K166" s="94"/>
    </row>
    <row r="167" spans="1:11" ht="18">
      <c r="A167" s="94"/>
      <c r="B167" s="94"/>
      <c r="C167" s="94"/>
      <c r="D167" s="94"/>
      <c r="E167" s="94"/>
      <c r="F167" s="94"/>
      <c r="G167" s="94"/>
      <c r="H167" s="94"/>
      <c r="I167" s="94"/>
      <c r="J167" s="94"/>
      <c r="K167" s="94"/>
    </row>
    <row r="168" spans="1:11" ht="18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</row>
    <row r="169" spans="1:11" ht="18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</row>
    <row r="170" spans="1:11" ht="18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</row>
  </sheetData>
  <mergeCells count="7">
    <mergeCell ref="A2:F4"/>
    <mergeCell ref="B26:D26"/>
    <mergeCell ref="B27:D27"/>
    <mergeCell ref="B13:D13"/>
    <mergeCell ref="B14:D14"/>
    <mergeCell ref="A7:F9"/>
    <mergeCell ref="A11:F11"/>
  </mergeCells>
  <phoneticPr fontId="5" type="noConversion"/>
  <pageMargins left="0.63" right="0.36" top="1" bottom="1" header="0" footer="0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V346"/>
  <sheetViews>
    <sheetView workbookViewId="0">
      <selection activeCell="C20" sqref="C20"/>
    </sheetView>
  </sheetViews>
  <sheetFormatPr baseColWidth="10" defaultColWidth="11.42578125" defaultRowHeight="12.75"/>
  <cols>
    <col min="1" max="1" width="5" style="90" customWidth="1"/>
    <col min="2" max="2" width="26.85546875" style="90" hidden="1" customWidth="1"/>
    <col min="3" max="3" width="29.28515625" style="90" customWidth="1"/>
    <col min="4" max="9" width="11" style="525" customWidth="1"/>
    <col min="10" max="10" width="11" style="522" customWidth="1"/>
    <col min="11" max="11" width="11.85546875" style="522" customWidth="1"/>
    <col min="12" max="12" width="11" style="519" customWidth="1"/>
    <col min="13" max="13" width="10.85546875" style="519" bestFit="1" customWidth="1"/>
    <col min="14" max="14" width="10.7109375" style="526" customWidth="1"/>
    <col min="15" max="15" width="10" style="520" hidden="1" customWidth="1"/>
    <col min="16" max="16" width="9.28515625" style="520" hidden="1" customWidth="1"/>
    <col min="17" max="17" width="31.28515625" style="517" hidden="1" customWidth="1"/>
    <col min="18" max="18" width="11.28515625" style="516" customWidth="1"/>
    <col min="19" max="19" width="12.140625" style="517" bestFit="1" customWidth="1"/>
    <col min="20" max="21" width="12.85546875" style="92" hidden="1" customWidth="1"/>
    <col min="22" max="16384" width="11.42578125" style="92"/>
  </cols>
  <sheetData>
    <row r="1" spans="1:22" ht="12.75" customHeight="1">
      <c r="A1" s="1694" t="s">
        <v>1165</v>
      </c>
      <c r="B1" s="1694"/>
      <c r="C1" s="1694"/>
      <c r="D1" s="1694"/>
      <c r="E1" s="1694"/>
      <c r="F1" s="1694"/>
      <c r="G1" s="1694"/>
      <c r="H1" s="1694"/>
      <c r="I1" s="1694"/>
      <c r="J1" s="1694"/>
      <c r="K1" s="1694"/>
      <c r="L1" s="1694"/>
      <c r="M1" s="605"/>
      <c r="N1" s="605"/>
      <c r="O1" s="605"/>
      <c r="P1" s="605"/>
      <c r="Q1" s="605"/>
    </row>
    <row r="2" spans="1:22" ht="12.75" hidden="1" customHeight="1">
      <c r="A2" s="605"/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428"/>
      <c r="M2" s="428"/>
      <c r="N2" s="428"/>
      <c r="O2" s="428"/>
      <c r="P2" s="428"/>
      <c r="Q2" s="428"/>
      <c r="R2" s="543"/>
      <c r="T2" s="92" t="s">
        <v>807</v>
      </c>
    </row>
    <row r="3" spans="1:22" ht="15.75">
      <c r="A3" s="1696" t="s">
        <v>940</v>
      </c>
      <c r="B3" s="1697"/>
      <c r="C3" s="1697"/>
      <c r="D3" s="1158" t="s">
        <v>884</v>
      </c>
      <c r="E3" s="1158" t="s">
        <v>885</v>
      </c>
      <c r="F3" s="1158" t="s">
        <v>887</v>
      </c>
      <c r="G3" s="1158" t="s">
        <v>886</v>
      </c>
      <c r="H3" s="1158" t="s">
        <v>888</v>
      </c>
      <c r="I3" s="1158" t="s">
        <v>889</v>
      </c>
      <c r="J3" s="1699" t="s">
        <v>938</v>
      </c>
      <c r="K3" s="1699" t="s">
        <v>939</v>
      </c>
      <c r="L3" s="877"/>
      <c r="M3" s="877"/>
      <c r="N3" s="877"/>
      <c r="O3" s="877"/>
      <c r="P3" s="877"/>
      <c r="Q3" s="877"/>
      <c r="R3" s="543"/>
    </row>
    <row r="4" spans="1:22">
      <c r="A4" s="1697"/>
      <c r="B4" s="1697"/>
      <c r="C4" s="1697"/>
      <c r="D4" s="1695" t="s">
        <v>541</v>
      </c>
      <c r="E4" s="1695"/>
      <c r="F4" s="1695" t="s">
        <v>552</v>
      </c>
      <c r="G4" s="1695"/>
      <c r="H4" s="1695" t="s">
        <v>558</v>
      </c>
      <c r="I4" s="1695"/>
      <c r="J4" s="1700"/>
      <c r="K4" s="1700"/>
      <c r="L4" s="1688"/>
      <c r="M4" s="1688"/>
      <c r="N4" s="1688"/>
      <c r="O4" s="1688"/>
      <c r="P4" s="1688"/>
      <c r="Q4" s="1688"/>
      <c r="R4" s="1100"/>
    </row>
    <row r="5" spans="1:22" ht="10.5" customHeight="1">
      <c r="A5" s="1697"/>
      <c r="B5" s="1697"/>
      <c r="C5" s="1697"/>
      <c r="D5" s="523" t="s">
        <v>73</v>
      </c>
      <c r="E5" s="1123">
        <v>0.25</v>
      </c>
      <c r="F5" s="523" t="s">
        <v>73</v>
      </c>
      <c r="G5" s="1123">
        <v>0.25</v>
      </c>
      <c r="H5" s="523" t="s">
        <v>73</v>
      </c>
      <c r="I5" s="1123">
        <v>0.25</v>
      </c>
      <c r="J5" s="1701"/>
      <c r="K5" s="1701"/>
      <c r="L5" s="1103"/>
      <c r="M5" s="1103"/>
      <c r="N5" s="1104"/>
      <c r="O5" s="1105"/>
      <c r="P5" s="1105"/>
      <c r="Q5" s="1103"/>
      <c r="R5" s="1100"/>
      <c r="T5" s="92">
        <v>689366</v>
      </c>
    </row>
    <row r="6" spans="1:22">
      <c r="A6" s="88">
        <v>51101</v>
      </c>
      <c r="B6" s="88" t="s">
        <v>11</v>
      </c>
      <c r="C6" s="88" t="s">
        <v>74</v>
      </c>
      <c r="D6" s="521"/>
      <c r="E6" s="521">
        <f>'Remurac. X Lt'!C8</f>
        <v>114868.8</v>
      </c>
      <c r="F6" s="521"/>
      <c r="G6" s="521">
        <f>'Remurac. X Lt'!D8+660.5</f>
        <v>138522.62</v>
      </c>
      <c r="H6" s="521">
        <f>'Remurac. X Lt'!G8</f>
        <v>218017.68</v>
      </c>
      <c r="I6" s="521">
        <f>'Remurac. X Lt'!E8</f>
        <v>69957.600000000006</v>
      </c>
      <c r="J6" s="420">
        <f t="shared" ref="J6:J46" si="0">H6+F6+D6</f>
        <v>218017.68</v>
      </c>
      <c r="K6" s="420">
        <f>I6+G6+E6</f>
        <v>323349.02</v>
      </c>
      <c r="L6" s="540"/>
      <c r="M6" s="540"/>
      <c r="N6" s="541"/>
      <c r="O6" s="542"/>
      <c r="P6" s="542"/>
      <c r="Q6" s="132"/>
      <c r="R6" s="543"/>
    </row>
    <row r="7" spans="1:22" hidden="1">
      <c r="A7" s="88">
        <v>51102</v>
      </c>
      <c r="B7" s="88" t="s">
        <v>12</v>
      </c>
      <c r="C7" s="88" t="s">
        <v>69</v>
      </c>
      <c r="D7" s="521"/>
      <c r="E7" s="521"/>
      <c r="F7" s="521"/>
      <c r="G7" s="521"/>
      <c r="H7" s="521"/>
      <c r="I7" s="521"/>
      <c r="J7" s="420">
        <f t="shared" si="0"/>
        <v>0</v>
      </c>
      <c r="K7" s="420">
        <f t="shared" ref="K7:K41" si="1">I7+G7+E7</f>
        <v>0</v>
      </c>
      <c r="L7" s="540"/>
      <c r="M7" s="540"/>
      <c r="N7" s="541"/>
      <c r="O7" s="542"/>
      <c r="P7" s="542"/>
      <c r="Q7" s="132"/>
      <c r="R7" s="543"/>
    </row>
    <row r="8" spans="1:22">
      <c r="A8" s="88">
        <v>51103</v>
      </c>
      <c r="B8" s="88" t="s">
        <v>13</v>
      </c>
      <c r="C8" s="88" t="s">
        <v>15</v>
      </c>
      <c r="D8" s="1162"/>
      <c r="E8" s="521">
        <f>'Remurac. X Lt'!C9</f>
        <v>7033.68</v>
      </c>
      <c r="F8" s="1162"/>
      <c r="G8" s="521">
        <f>'Remurac. X Lt'!D9+85</f>
        <v>8695.9570000000003</v>
      </c>
      <c r="H8" s="1163">
        <f>'Remurac. X Lt'!G9+355.6</f>
        <v>16802.811999999998</v>
      </c>
      <c r="I8" s="521">
        <f>'Remurac. X Lt'!E9+90</f>
        <v>5254.8</v>
      </c>
      <c r="J8" s="420">
        <f>H8+F8+D8</f>
        <v>16802.811999999998</v>
      </c>
      <c r="K8" s="420">
        <f t="shared" si="1"/>
        <v>20984.437000000002</v>
      </c>
      <c r="L8" s="540"/>
      <c r="M8" s="540"/>
      <c r="N8" s="541"/>
      <c r="O8" s="542"/>
      <c r="P8" s="542"/>
      <c r="Q8" s="132"/>
      <c r="R8" s="543"/>
    </row>
    <row r="9" spans="1:22" hidden="1">
      <c r="A9" s="88">
        <v>51104</v>
      </c>
      <c r="B9" s="88" t="s">
        <v>14</v>
      </c>
      <c r="C9" s="88" t="s">
        <v>75</v>
      </c>
      <c r="D9" s="521"/>
      <c r="E9" s="521"/>
      <c r="F9" s="521"/>
      <c r="G9" s="521"/>
      <c r="H9" s="521"/>
      <c r="I9" s="521"/>
      <c r="J9" s="420">
        <f t="shared" si="0"/>
        <v>0</v>
      </c>
      <c r="K9" s="420">
        <f t="shared" si="1"/>
        <v>0</v>
      </c>
      <c r="L9" s="540"/>
      <c r="M9" s="540"/>
      <c r="N9" s="541"/>
      <c r="O9" s="542"/>
      <c r="P9" s="542"/>
      <c r="Q9" s="132"/>
      <c r="R9" s="543"/>
    </row>
    <row r="10" spans="1:22">
      <c r="A10" s="88">
        <v>51105</v>
      </c>
      <c r="B10" s="88"/>
      <c r="C10" s="88" t="s">
        <v>11</v>
      </c>
      <c r="D10" s="521">
        <f>'Remurac. X Lt'!F10</f>
        <v>0</v>
      </c>
      <c r="E10" s="521"/>
      <c r="F10" s="521"/>
      <c r="G10" s="521"/>
      <c r="H10" s="521"/>
      <c r="I10" s="521"/>
      <c r="J10" s="420">
        <f t="shared" si="0"/>
        <v>0</v>
      </c>
      <c r="K10" s="420">
        <f t="shared" si="1"/>
        <v>0</v>
      </c>
      <c r="L10" s="540"/>
      <c r="M10" s="540"/>
      <c r="N10" s="541"/>
      <c r="O10" s="542"/>
      <c r="P10" s="542"/>
      <c r="Q10" s="132"/>
      <c r="R10" s="543"/>
      <c r="V10" s="1177"/>
    </row>
    <row r="11" spans="1:22" hidden="1">
      <c r="A11" s="88">
        <v>51107</v>
      </c>
      <c r="B11" s="88" t="s">
        <v>26</v>
      </c>
      <c r="C11" s="88" t="s">
        <v>76</v>
      </c>
      <c r="D11" s="521"/>
      <c r="E11" s="521"/>
      <c r="F11" s="521"/>
      <c r="G11" s="521"/>
      <c r="H11" s="521"/>
      <c r="I11" s="521"/>
      <c r="J11" s="420">
        <f t="shared" si="0"/>
        <v>0</v>
      </c>
      <c r="K11" s="420">
        <f t="shared" si="1"/>
        <v>0</v>
      </c>
      <c r="L11" s="540"/>
      <c r="M11" s="540"/>
      <c r="N11" s="541"/>
      <c r="O11" s="542"/>
      <c r="P11" s="542"/>
      <c r="Q11" s="132"/>
      <c r="R11" s="543"/>
    </row>
    <row r="12" spans="1:22" hidden="1">
      <c r="A12" s="88">
        <v>51201</v>
      </c>
      <c r="B12" s="88" t="s">
        <v>15</v>
      </c>
      <c r="C12" s="88" t="s">
        <v>77</v>
      </c>
      <c r="D12" s="521"/>
      <c r="E12" s="521"/>
      <c r="F12" s="521"/>
      <c r="G12" s="521"/>
      <c r="H12" s="521"/>
      <c r="I12" s="521"/>
      <c r="J12" s="420">
        <f t="shared" si="0"/>
        <v>0</v>
      </c>
      <c r="K12" s="420">
        <f t="shared" si="1"/>
        <v>0</v>
      </c>
      <c r="L12" s="540"/>
      <c r="M12" s="540"/>
      <c r="N12" s="541"/>
      <c r="O12" s="542"/>
      <c r="P12" s="542"/>
      <c r="Q12" s="132"/>
      <c r="R12" s="543"/>
      <c r="T12" s="530">
        <f>SUM(J6:J8,J16:J17)</f>
        <v>284125.4314</v>
      </c>
      <c r="U12" s="530">
        <f>SUM(K6:K8,K16:K17)</f>
        <v>387614.41109999997</v>
      </c>
    </row>
    <row r="13" spans="1:22">
      <c r="A13" s="88">
        <v>51202</v>
      </c>
      <c r="B13" s="88" t="s">
        <v>20</v>
      </c>
      <c r="C13" s="88" t="s">
        <v>69</v>
      </c>
      <c r="D13" s="521"/>
      <c r="E13" s="521"/>
      <c r="F13" s="521"/>
      <c r="G13" s="521"/>
      <c r="H13" s="521">
        <v>25000</v>
      </c>
      <c r="I13" s="521"/>
      <c r="J13" s="420">
        <f t="shared" si="0"/>
        <v>25000</v>
      </c>
      <c r="K13" s="420">
        <f t="shared" si="1"/>
        <v>0</v>
      </c>
      <c r="L13" s="540"/>
      <c r="M13" s="540"/>
      <c r="N13" s="541"/>
      <c r="O13" s="542"/>
      <c r="P13" s="542"/>
      <c r="Q13" s="132"/>
      <c r="R13" s="543"/>
    </row>
    <row r="14" spans="1:22" hidden="1">
      <c r="A14" s="88">
        <v>51203</v>
      </c>
      <c r="B14" s="88" t="s">
        <v>21</v>
      </c>
      <c r="C14" s="88" t="s">
        <v>15</v>
      </c>
      <c r="D14" s="521"/>
      <c r="E14" s="521"/>
      <c r="F14" s="521"/>
      <c r="G14" s="521"/>
      <c r="H14" s="521"/>
      <c r="I14" s="521"/>
      <c r="J14" s="420">
        <f t="shared" si="0"/>
        <v>0</v>
      </c>
      <c r="K14" s="420">
        <f t="shared" si="1"/>
        <v>0</v>
      </c>
      <c r="L14" s="540"/>
      <c r="M14" s="540"/>
      <c r="N14" s="541"/>
      <c r="O14" s="542"/>
      <c r="P14" s="542"/>
      <c r="Q14" s="132"/>
      <c r="R14" s="543"/>
    </row>
    <row r="15" spans="1:22" hidden="1">
      <c r="A15" s="88">
        <v>51301</v>
      </c>
      <c r="B15" s="88" t="s">
        <v>25</v>
      </c>
      <c r="C15" s="88" t="s">
        <v>70</v>
      </c>
      <c r="D15" s="521"/>
      <c r="E15" s="521"/>
      <c r="F15" s="521"/>
      <c r="G15" s="521"/>
      <c r="H15" s="521"/>
      <c r="I15" s="521"/>
      <c r="J15" s="420">
        <f t="shared" si="0"/>
        <v>0</v>
      </c>
      <c r="K15" s="420">
        <f t="shared" si="1"/>
        <v>0</v>
      </c>
      <c r="L15" s="540"/>
      <c r="M15" s="540"/>
      <c r="N15" s="541"/>
      <c r="O15" s="542"/>
      <c r="P15" s="542"/>
      <c r="Q15" s="132"/>
      <c r="R15" s="543"/>
    </row>
    <row r="16" spans="1:22">
      <c r="A16" s="88">
        <v>51401</v>
      </c>
      <c r="B16" s="88" t="s">
        <v>27</v>
      </c>
      <c r="C16" s="88" t="s">
        <v>37</v>
      </c>
      <c r="D16" s="521">
        <f>'Remurac. X Lt'!F12</f>
        <v>9720</v>
      </c>
      <c r="E16" s="521">
        <f>'Remurac. X Lt'!C12</f>
        <v>6084</v>
      </c>
      <c r="F16" s="521"/>
      <c r="G16" s="521">
        <f>'Remurac. X Lt'!D12</f>
        <v>10168.659</v>
      </c>
      <c r="H16" s="521">
        <f>'Remurac. X Lt'!G12</f>
        <v>16656.966</v>
      </c>
      <c r="I16" s="521">
        <f>'Remurac. X Lt'!E12</f>
        <v>5246.8200000000006</v>
      </c>
      <c r="J16" s="420">
        <f t="shared" si="0"/>
        <v>26376.966</v>
      </c>
      <c r="K16" s="420">
        <f>I16+G16+E16</f>
        <v>21499.478999999999</v>
      </c>
      <c r="L16" s="540"/>
      <c r="M16" s="540"/>
      <c r="N16" s="541"/>
      <c r="O16" s="542"/>
      <c r="P16" s="542"/>
      <c r="Q16" s="132"/>
      <c r="R16" s="543"/>
    </row>
    <row r="17" spans="1:18">
      <c r="A17" s="88">
        <v>51501</v>
      </c>
      <c r="B17" s="88" t="s">
        <v>16</v>
      </c>
      <c r="C17" s="88" t="s">
        <v>38</v>
      </c>
      <c r="D17" s="521">
        <f>'Remurac. X Lt'!F13</f>
        <v>8748</v>
      </c>
      <c r="E17" s="521">
        <f>'Remurac. X Lt'!C13</f>
        <v>7753.6439999999993</v>
      </c>
      <c r="F17" s="521"/>
      <c r="G17" s="521">
        <f>'Remurac. X Lt'!D13</f>
        <v>9305.6931000000004</v>
      </c>
      <c r="H17" s="521">
        <f>'Remurac. X Lt'!G13</f>
        <v>14179.973399999999</v>
      </c>
      <c r="I17" s="521">
        <f>'Remurac. X Lt'!E13</f>
        <v>4722.1380000000008</v>
      </c>
      <c r="J17" s="420">
        <f t="shared" si="0"/>
        <v>22927.973399999999</v>
      </c>
      <c r="K17" s="420">
        <f t="shared" si="1"/>
        <v>21781.4751</v>
      </c>
      <c r="L17" s="540"/>
      <c r="M17" s="540"/>
      <c r="N17" s="541"/>
      <c r="O17" s="542"/>
      <c r="P17" s="542"/>
      <c r="Q17" s="132"/>
      <c r="R17" s="543"/>
    </row>
    <row r="18" spans="1:18">
      <c r="A18" s="88">
        <v>51601</v>
      </c>
      <c r="B18" s="88" t="s">
        <v>29</v>
      </c>
      <c r="C18" s="485" t="s">
        <v>1127</v>
      </c>
      <c r="D18" s="521">
        <v>12000</v>
      </c>
      <c r="E18" s="521"/>
      <c r="F18" s="521"/>
      <c r="G18" s="521"/>
      <c r="H18" s="521"/>
      <c r="I18" s="521"/>
      <c r="J18" s="420">
        <f t="shared" ref="J18:J23" si="2">H18+F18+D18</f>
        <v>12000</v>
      </c>
      <c r="K18" s="420">
        <f t="shared" ref="K18:K23" si="3">I18+G18+E18</f>
        <v>0</v>
      </c>
      <c r="L18" s="540"/>
      <c r="M18" s="540"/>
      <c r="N18" s="541"/>
      <c r="O18" s="542"/>
      <c r="P18" s="542"/>
      <c r="Q18" s="132"/>
      <c r="R18" s="543"/>
    </row>
    <row r="19" spans="1:18" ht="16.5" hidden="1" customHeight="1">
      <c r="A19" s="88">
        <v>51602</v>
      </c>
      <c r="B19" s="88" t="s">
        <v>29</v>
      </c>
      <c r="C19" s="88" t="s">
        <v>490</v>
      </c>
      <c r="D19" s="521"/>
      <c r="E19" s="521"/>
      <c r="F19" s="521"/>
      <c r="G19" s="521"/>
      <c r="H19" s="521"/>
      <c r="I19" s="521"/>
      <c r="J19" s="420">
        <f t="shared" si="2"/>
        <v>0</v>
      </c>
      <c r="K19" s="420">
        <f t="shared" si="3"/>
        <v>0</v>
      </c>
      <c r="L19" s="540"/>
      <c r="M19" s="540"/>
      <c r="N19" s="541"/>
      <c r="O19" s="542"/>
      <c r="P19" s="542"/>
      <c r="Q19" s="132"/>
      <c r="R19" s="543"/>
    </row>
    <row r="20" spans="1:18">
      <c r="A20" s="88">
        <v>51701</v>
      </c>
      <c r="B20" s="88"/>
      <c r="C20" s="88" t="s">
        <v>39</v>
      </c>
      <c r="D20" s="521">
        <v>27400</v>
      </c>
      <c r="E20" s="521">
        <v>2600</v>
      </c>
      <c r="F20" s="521"/>
      <c r="G20" s="521">
        <f>'Remurac. X Lt'!D16</f>
        <v>0</v>
      </c>
      <c r="H20" s="521">
        <f>'Remurac. X Lt'!G16</f>
        <v>0</v>
      </c>
      <c r="I20" s="521">
        <f>'Remurac. X Lt'!E16</f>
        <v>0</v>
      </c>
      <c r="J20" s="420">
        <f t="shared" si="2"/>
        <v>27400</v>
      </c>
      <c r="K20" s="420">
        <f t="shared" si="3"/>
        <v>2600</v>
      </c>
      <c r="L20" s="540"/>
      <c r="M20" s="540"/>
      <c r="N20" s="541"/>
      <c r="O20" s="542"/>
      <c r="P20" s="542"/>
      <c r="Q20" s="132"/>
      <c r="R20" s="543"/>
    </row>
    <row r="21" spans="1:18" ht="16.5" hidden="1" customHeight="1">
      <c r="A21" s="88">
        <v>51901</v>
      </c>
      <c r="B21" s="88"/>
      <c r="C21" s="88" t="s">
        <v>12</v>
      </c>
      <c r="D21" s="521"/>
      <c r="E21" s="521">
        <f>'Remurac. X Lt'!C17</f>
        <v>0</v>
      </c>
      <c r="F21" s="521"/>
      <c r="G21" s="521">
        <f>'Remurac. X Lt'!D17</f>
        <v>0</v>
      </c>
      <c r="H21" s="521">
        <f>'Remurac. X Lt'!G17</f>
        <v>0</v>
      </c>
      <c r="I21" s="521">
        <f>'Remurac. X Lt'!E17</f>
        <v>0</v>
      </c>
      <c r="J21" s="420">
        <f t="shared" si="2"/>
        <v>0</v>
      </c>
      <c r="K21" s="420">
        <f t="shared" si="3"/>
        <v>0</v>
      </c>
      <c r="L21" s="540"/>
      <c r="M21" s="540"/>
      <c r="N21" s="541"/>
      <c r="O21" s="542"/>
      <c r="P21" s="542"/>
      <c r="Q21" s="132"/>
      <c r="R21" s="543"/>
    </row>
    <row r="22" spans="1:18" ht="16.5" hidden="1" customHeight="1">
      <c r="A22" s="88">
        <v>51902</v>
      </c>
      <c r="B22" s="88" t="s">
        <v>30</v>
      </c>
      <c r="C22" s="88" t="s">
        <v>78</v>
      </c>
      <c r="D22" s="521"/>
      <c r="E22" s="521">
        <f>'Remurac. X Lt'!C18</f>
        <v>0</v>
      </c>
      <c r="F22" s="521"/>
      <c r="G22" s="521">
        <f>'Remurac. X Lt'!D18</f>
        <v>0</v>
      </c>
      <c r="H22" s="521">
        <f>'Remurac. X Lt'!G18</f>
        <v>0</v>
      </c>
      <c r="I22" s="521">
        <f>'Remurac. X Lt'!E18</f>
        <v>0</v>
      </c>
      <c r="J22" s="420">
        <f t="shared" si="2"/>
        <v>0</v>
      </c>
      <c r="K22" s="420">
        <f t="shared" si="3"/>
        <v>0</v>
      </c>
      <c r="L22" s="540"/>
      <c r="M22" s="540"/>
      <c r="N22" s="541"/>
      <c r="O22" s="542"/>
      <c r="P22" s="542"/>
      <c r="Q22" s="132"/>
      <c r="R22" s="543"/>
    </row>
    <row r="23" spans="1:18" ht="16.5" hidden="1" customHeight="1">
      <c r="A23" s="88">
        <v>51999</v>
      </c>
      <c r="B23" s="88" t="s">
        <v>28</v>
      </c>
      <c r="C23" s="88" t="s">
        <v>120</v>
      </c>
      <c r="D23" s="521"/>
      <c r="E23" s="521">
        <f>'Remurac. X Lt'!C19</f>
        <v>0</v>
      </c>
      <c r="F23" s="521"/>
      <c r="G23" s="521">
        <f>'Remurac. X Lt'!D19</f>
        <v>0</v>
      </c>
      <c r="H23" s="521">
        <f>'Remurac. X Lt'!G19</f>
        <v>0</v>
      </c>
      <c r="I23" s="521">
        <f>'Remurac. X Lt'!E19</f>
        <v>0</v>
      </c>
      <c r="J23" s="420">
        <f t="shared" si="2"/>
        <v>0</v>
      </c>
      <c r="K23" s="420">
        <f t="shared" si="3"/>
        <v>0</v>
      </c>
      <c r="L23" s="540"/>
      <c r="M23" s="540"/>
      <c r="N23" s="541"/>
      <c r="O23" s="542"/>
      <c r="P23" s="542"/>
      <c r="Q23" s="132"/>
      <c r="R23" s="543"/>
    </row>
    <row r="24" spans="1:18">
      <c r="A24" s="88"/>
      <c r="B24" s="88"/>
      <c r="C24" s="88" t="s">
        <v>491</v>
      </c>
      <c r="D24" s="521"/>
      <c r="E24" s="521"/>
      <c r="F24" s="521"/>
      <c r="G24" s="521"/>
      <c r="H24" s="521"/>
      <c r="I24" s="521"/>
      <c r="J24" s="420">
        <f t="shared" si="0"/>
        <v>0</v>
      </c>
      <c r="K24" s="420">
        <f t="shared" si="1"/>
        <v>0</v>
      </c>
      <c r="L24" s="540"/>
      <c r="M24" s="540"/>
      <c r="N24" s="541"/>
      <c r="O24" s="542"/>
      <c r="P24" s="542"/>
      <c r="Q24" s="132"/>
      <c r="R24" s="543"/>
    </row>
    <row r="25" spans="1:18">
      <c r="A25" s="88">
        <v>54101</v>
      </c>
      <c r="B25" s="88" t="s">
        <v>31</v>
      </c>
      <c r="C25" s="88" t="s">
        <v>121</v>
      </c>
      <c r="D25" s="521">
        <v>7000</v>
      </c>
      <c r="E25" s="521"/>
      <c r="F25" s="521"/>
      <c r="G25" s="521"/>
      <c r="H25" s="521"/>
      <c r="I25" s="521"/>
      <c r="J25" s="420">
        <f t="shared" si="0"/>
        <v>7000</v>
      </c>
      <c r="K25" s="420">
        <f t="shared" si="1"/>
        <v>0</v>
      </c>
      <c r="L25" s="540"/>
      <c r="M25" s="540"/>
      <c r="N25" s="541"/>
      <c r="O25" s="542"/>
      <c r="P25" s="542"/>
      <c r="Q25" s="132"/>
      <c r="R25" s="543"/>
    </row>
    <row r="26" spans="1:18">
      <c r="A26" s="88">
        <v>54103</v>
      </c>
      <c r="B26" s="88" t="s">
        <v>32</v>
      </c>
      <c r="C26" s="88" t="s">
        <v>122</v>
      </c>
      <c r="D26" s="521"/>
      <c r="E26" s="521"/>
      <c r="F26" s="521"/>
      <c r="G26" s="521"/>
      <c r="H26" s="521">
        <v>2000</v>
      </c>
      <c r="I26" s="521"/>
      <c r="J26" s="420">
        <f t="shared" si="0"/>
        <v>2000</v>
      </c>
      <c r="K26" s="420">
        <f t="shared" si="1"/>
        <v>0</v>
      </c>
      <c r="L26" s="540"/>
      <c r="M26" s="540"/>
      <c r="N26" s="541"/>
      <c r="O26" s="542"/>
      <c r="P26" s="542"/>
      <c r="Q26" s="132"/>
      <c r="R26" s="543"/>
    </row>
    <row r="27" spans="1:18">
      <c r="A27" s="88">
        <v>54104</v>
      </c>
      <c r="B27" s="88" t="s">
        <v>33</v>
      </c>
      <c r="C27" s="88" t="s">
        <v>123</v>
      </c>
      <c r="D27" s="521">
        <v>200</v>
      </c>
      <c r="E27" s="521"/>
      <c r="F27" s="521">
        <v>3750</v>
      </c>
      <c r="G27" s="521"/>
      <c r="H27" s="521">
        <v>7000</v>
      </c>
      <c r="I27" s="521"/>
      <c r="J27" s="420">
        <f t="shared" si="0"/>
        <v>10950</v>
      </c>
      <c r="K27" s="420">
        <f t="shared" si="1"/>
        <v>0</v>
      </c>
      <c r="L27" s="540"/>
      <c r="M27" s="540"/>
      <c r="N27" s="541"/>
      <c r="O27" s="542"/>
      <c r="P27" s="542"/>
      <c r="Q27" s="132"/>
      <c r="R27" s="543"/>
    </row>
    <row r="28" spans="1:18" hidden="1">
      <c r="A28" s="88">
        <v>54105</v>
      </c>
      <c r="B28" s="88"/>
      <c r="C28" s="88" t="s">
        <v>124</v>
      </c>
      <c r="D28" s="521"/>
      <c r="E28" s="521"/>
      <c r="F28" s="521"/>
      <c r="G28" s="521"/>
      <c r="H28" s="521"/>
      <c r="I28" s="521"/>
      <c r="J28" s="420">
        <f t="shared" si="0"/>
        <v>0</v>
      </c>
      <c r="K28" s="420"/>
      <c r="L28" s="540"/>
      <c r="M28" s="540"/>
      <c r="N28" s="541"/>
      <c r="O28" s="542"/>
      <c r="P28" s="542"/>
      <c r="Q28" s="132"/>
      <c r="R28" s="543"/>
    </row>
    <row r="29" spans="1:18" hidden="1">
      <c r="A29" s="88">
        <v>54106</v>
      </c>
      <c r="B29" s="88" t="s">
        <v>34</v>
      </c>
      <c r="C29" s="88" t="s">
        <v>125</v>
      </c>
      <c r="D29" s="521"/>
      <c r="E29" s="521"/>
      <c r="F29" s="521"/>
      <c r="G29" s="521"/>
      <c r="H29" s="521"/>
      <c r="I29" s="521"/>
      <c r="J29" s="420">
        <f t="shared" si="0"/>
        <v>0</v>
      </c>
      <c r="K29" s="420">
        <f t="shared" si="1"/>
        <v>0</v>
      </c>
      <c r="L29" s="540"/>
      <c r="M29" s="540"/>
      <c r="N29" s="541"/>
      <c r="O29" s="542"/>
      <c r="P29" s="542"/>
      <c r="Q29" s="132"/>
      <c r="R29" s="543"/>
    </row>
    <row r="30" spans="1:18">
      <c r="A30" s="88">
        <v>54107</v>
      </c>
      <c r="B30" s="88" t="s">
        <v>47</v>
      </c>
      <c r="C30" s="88" t="s">
        <v>126</v>
      </c>
      <c r="D30" s="521">
        <v>1000</v>
      </c>
      <c r="E30" s="521"/>
      <c r="F30" s="521"/>
      <c r="G30" s="521"/>
      <c r="H30" s="521">
        <v>9000</v>
      </c>
      <c r="I30" s="521"/>
      <c r="J30" s="420">
        <f t="shared" si="0"/>
        <v>10000</v>
      </c>
      <c r="K30" s="420">
        <f t="shared" si="1"/>
        <v>0</v>
      </c>
      <c r="L30" s="540"/>
      <c r="M30" s="540"/>
      <c r="N30" s="541"/>
      <c r="O30" s="542"/>
      <c r="P30" s="542"/>
      <c r="Q30" s="132"/>
      <c r="R30" s="543"/>
    </row>
    <row r="31" spans="1:18">
      <c r="A31" s="88">
        <v>54108</v>
      </c>
      <c r="B31" s="88" t="s">
        <v>48</v>
      </c>
      <c r="C31" s="88" t="s">
        <v>127</v>
      </c>
      <c r="D31" s="521">
        <v>100</v>
      </c>
      <c r="E31" s="521"/>
      <c r="F31" s="521"/>
      <c r="G31" s="521"/>
      <c r="H31" s="521">
        <v>200</v>
      </c>
      <c r="I31" s="521"/>
      <c r="J31" s="420">
        <f t="shared" si="0"/>
        <v>300</v>
      </c>
      <c r="K31" s="420">
        <f t="shared" si="1"/>
        <v>0</v>
      </c>
      <c r="L31" s="540"/>
      <c r="M31" s="540"/>
      <c r="N31" s="541"/>
      <c r="O31" s="542"/>
      <c r="P31" s="542"/>
      <c r="Q31" s="132"/>
      <c r="R31" s="543"/>
    </row>
    <row r="32" spans="1:18">
      <c r="A32" s="88">
        <v>54109</v>
      </c>
      <c r="B32" s="88" t="s">
        <v>49</v>
      </c>
      <c r="C32" s="88" t="s">
        <v>54</v>
      </c>
      <c r="D32" s="521">
        <v>1000</v>
      </c>
      <c r="E32" s="521"/>
      <c r="F32" s="521"/>
      <c r="G32" s="521"/>
      <c r="H32" s="521">
        <v>2500</v>
      </c>
      <c r="I32" s="521"/>
      <c r="J32" s="420">
        <f t="shared" si="0"/>
        <v>3500</v>
      </c>
      <c r="K32" s="420">
        <f t="shared" si="1"/>
        <v>0</v>
      </c>
      <c r="L32" s="540"/>
      <c r="M32" s="540"/>
      <c r="N32" s="541"/>
      <c r="O32" s="542"/>
      <c r="P32" s="542"/>
      <c r="Q32" s="132"/>
      <c r="R32" s="543"/>
    </row>
    <row r="33" spans="1:18">
      <c r="A33" s="88">
        <v>54110</v>
      </c>
      <c r="B33" s="88" t="s">
        <v>50</v>
      </c>
      <c r="C33" s="88" t="s">
        <v>128</v>
      </c>
      <c r="D33" s="521"/>
      <c r="E33" s="521"/>
      <c r="F33" s="521"/>
      <c r="G33" s="521"/>
      <c r="H33" s="521">
        <v>7000</v>
      </c>
      <c r="I33" s="521"/>
      <c r="J33" s="420">
        <f t="shared" si="0"/>
        <v>7000</v>
      </c>
      <c r="K33" s="420">
        <f t="shared" si="1"/>
        <v>0</v>
      </c>
      <c r="L33" s="540"/>
      <c r="M33" s="540"/>
      <c r="N33" s="541"/>
      <c r="O33" s="542"/>
      <c r="P33" s="542"/>
      <c r="Q33" s="132"/>
      <c r="R33" s="543"/>
    </row>
    <row r="34" spans="1:18">
      <c r="A34" s="88">
        <v>54111</v>
      </c>
      <c r="B34" s="88" t="s">
        <v>51</v>
      </c>
      <c r="C34" s="88" t="s">
        <v>129</v>
      </c>
      <c r="D34" s="521"/>
      <c r="E34" s="521"/>
      <c r="F34" s="521"/>
      <c r="G34" s="521"/>
      <c r="H34" s="521">
        <v>12000</v>
      </c>
      <c r="I34" s="521"/>
      <c r="J34" s="420">
        <f t="shared" si="0"/>
        <v>12000</v>
      </c>
      <c r="K34" s="420">
        <f t="shared" si="1"/>
        <v>0</v>
      </c>
      <c r="L34" s="540"/>
      <c r="M34" s="540"/>
      <c r="N34" s="541"/>
      <c r="O34" s="542"/>
      <c r="P34" s="542"/>
      <c r="Q34" s="132"/>
      <c r="R34" s="543"/>
    </row>
    <row r="35" spans="1:18">
      <c r="A35" s="88">
        <v>54112</v>
      </c>
      <c r="B35" s="88" t="s">
        <v>52</v>
      </c>
      <c r="C35" s="88" t="s">
        <v>130</v>
      </c>
      <c r="D35" s="521"/>
      <c r="E35" s="521"/>
      <c r="F35" s="521"/>
      <c r="G35" s="521"/>
      <c r="H35" s="521">
        <v>5500</v>
      </c>
      <c r="I35" s="521"/>
      <c r="J35" s="420">
        <f t="shared" si="0"/>
        <v>5500</v>
      </c>
      <c r="K35" s="420">
        <f t="shared" si="1"/>
        <v>0</v>
      </c>
      <c r="L35" s="540"/>
      <c r="M35" s="540"/>
      <c r="N35" s="541"/>
      <c r="O35" s="542"/>
      <c r="P35" s="542"/>
      <c r="Q35" s="132"/>
      <c r="R35" s="543"/>
    </row>
    <row r="36" spans="1:18" ht="11.45" customHeight="1">
      <c r="A36" s="88">
        <v>54114</v>
      </c>
      <c r="B36" s="88" t="s">
        <v>53</v>
      </c>
      <c r="C36" s="88" t="s">
        <v>52</v>
      </c>
      <c r="D36" s="521"/>
      <c r="E36" s="521"/>
      <c r="F36" s="521">
        <v>12000</v>
      </c>
      <c r="G36" s="521"/>
      <c r="H36" s="521"/>
      <c r="I36" s="521"/>
      <c r="J36" s="420">
        <f t="shared" si="0"/>
        <v>12000</v>
      </c>
      <c r="K36" s="420">
        <f t="shared" si="1"/>
        <v>0</v>
      </c>
      <c r="L36" s="540"/>
      <c r="M36" s="540"/>
      <c r="N36" s="541"/>
      <c r="O36" s="542"/>
      <c r="P36" s="542"/>
      <c r="Q36" s="132"/>
      <c r="R36" s="543"/>
    </row>
    <row r="37" spans="1:18" ht="16.5" hidden="1" customHeight="1">
      <c r="A37" s="88">
        <v>54115</v>
      </c>
      <c r="B37" s="88" t="s">
        <v>54</v>
      </c>
      <c r="C37" s="88" t="s">
        <v>131</v>
      </c>
      <c r="D37" s="521"/>
      <c r="E37" s="521"/>
      <c r="F37" s="521"/>
      <c r="G37" s="521"/>
      <c r="H37" s="521"/>
      <c r="I37" s="521"/>
      <c r="J37" s="420">
        <f t="shared" si="0"/>
        <v>0</v>
      </c>
      <c r="K37" s="420">
        <f t="shared" si="1"/>
        <v>0</v>
      </c>
      <c r="L37" s="540"/>
      <c r="M37" s="540"/>
      <c r="N37" s="541"/>
      <c r="O37" s="542"/>
      <c r="P37" s="542"/>
      <c r="Q37" s="132"/>
      <c r="R37" s="543"/>
    </row>
    <row r="38" spans="1:18" ht="16.5" hidden="1" customHeight="1">
      <c r="A38" s="88">
        <v>54116</v>
      </c>
      <c r="B38" s="88" t="s">
        <v>55</v>
      </c>
      <c r="C38" s="88" t="s">
        <v>132</v>
      </c>
      <c r="D38" s="521"/>
      <c r="E38" s="521"/>
      <c r="F38" s="521"/>
      <c r="G38" s="521"/>
      <c r="H38" s="521"/>
      <c r="I38" s="521"/>
      <c r="J38" s="420">
        <f t="shared" si="0"/>
        <v>0</v>
      </c>
      <c r="K38" s="420">
        <f t="shared" si="1"/>
        <v>0</v>
      </c>
      <c r="L38" s="540"/>
      <c r="M38" s="540"/>
      <c r="N38" s="541"/>
      <c r="O38" s="542"/>
      <c r="P38" s="542"/>
      <c r="Q38" s="132"/>
      <c r="R38" s="543"/>
    </row>
    <row r="39" spans="1:18" ht="16.5" hidden="1" customHeight="1">
      <c r="A39" s="88">
        <v>54117</v>
      </c>
      <c r="B39" s="88" t="s">
        <v>62</v>
      </c>
      <c r="C39" s="88" t="s">
        <v>133</v>
      </c>
      <c r="D39" s="521"/>
      <c r="E39" s="521"/>
      <c r="F39" s="521"/>
      <c r="G39" s="521"/>
      <c r="H39" s="521"/>
      <c r="I39" s="521"/>
      <c r="J39" s="420">
        <f t="shared" si="0"/>
        <v>0</v>
      </c>
      <c r="K39" s="420">
        <f t="shared" si="1"/>
        <v>0</v>
      </c>
      <c r="L39" s="540"/>
      <c r="M39" s="540"/>
      <c r="N39" s="541"/>
      <c r="O39" s="542"/>
      <c r="P39" s="542"/>
      <c r="Q39" s="132"/>
      <c r="R39" s="543"/>
    </row>
    <row r="40" spans="1:18" ht="10.15" customHeight="1">
      <c r="A40" s="88">
        <v>54118</v>
      </c>
      <c r="B40" s="88" t="s">
        <v>63</v>
      </c>
      <c r="C40" s="88" t="s">
        <v>134</v>
      </c>
      <c r="D40" s="521"/>
      <c r="E40" s="521"/>
      <c r="F40" s="521"/>
      <c r="G40" s="521"/>
      <c r="H40" s="521">
        <v>1900</v>
      </c>
      <c r="I40" s="521"/>
      <c r="J40" s="420">
        <f t="shared" si="0"/>
        <v>1900</v>
      </c>
      <c r="K40" s="420">
        <f t="shared" si="1"/>
        <v>0</v>
      </c>
      <c r="L40" s="540"/>
      <c r="M40" s="540"/>
      <c r="N40" s="541"/>
      <c r="O40" s="542"/>
      <c r="P40" s="542"/>
      <c r="Q40" s="132"/>
      <c r="R40" s="543"/>
    </row>
    <row r="41" spans="1:18" ht="10.15" customHeight="1">
      <c r="A41" s="88">
        <v>54119</v>
      </c>
      <c r="B41" s="88" t="s">
        <v>64</v>
      </c>
      <c r="C41" s="88" t="s">
        <v>135</v>
      </c>
      <c r="D41" s="521"/>
      <c r="E41" s="521"/>
      <c r="F41" s="521"/>
      <c r="G41" s="521"/>
      <c r="H41" s="521">
        <v>8000</v>
      </c>
      <c r="I41" s="521"/>
      <c r="J41" s="420">
        <f t="shared" si="0"/>
        <v>8000</v>
      </c>
      <c r="K41" s="420">
        <f t="shared" si="1"/>
        <v>0</v>
      </c>
      <c r="L41" s="540"/>
      <c r="M41" s="540"/>
      <c r="N41" s="541"/>
      <c r="O41" s="542"/>
      <c r="P41" s="542"/>
      <c r="Q41" s="132"/>
      <c r="R41" s="543"/>
    </row>
    <row r="42" spans="1:18" ht="10.15" customHeight="1">
      <c r="A42" s="88">
        <v>54121</v>
      </c>
      <c r="B42" s="88" t="s">
        <v>65</v>
      </c>
      <c r="C42" s="88" t="s">
        <v>136</v>
      </c>
      <c r="D42" s="521"/>
      <c r="E42" s="521"/>
      <c r="F42" s="521"/>
      <c r="G42" s="521"/>
      <c r="H42" s="521"/>
      <c r="I42" s="521">
        <v>6500</v>
      </c>
      <c r="J42" s="420">
        <f t="shared" si="0"/>
        <v>0</v>
      </c>
      <c r="K42" s="420">
        <f>I42+G42+E42</f>
        <v>6500</v>
      </c>
      <c r="L42" s="540"/>
      <c r="M42" s="540"/>
      <c r="N42" s="541"/>
      <c r="O42" s="542"/>
      <c r="P42" s="542"/>
      <c r="Q42" s="132"/>
      <c r="R42" s="543"/>
    </row>
    <row r="43" spans="1:18" ht="10.15" customHeight="1">
      <c r="A43" s="88">
        <v>54199</v>
      </c>
      <c r="B43" s="88" t="s">
        <v>66</v>
      </c>
      <c r="C43" s="88" t="s">
        <v>137</v>
      </c>
      <c r="D43" s="521"/>
      <c r="E43" s="521"/>
      <c r="F43" s="521"/>
      <c r="G43" s="521"/>
      <c r="H43" s="521">
        <v>66000</v>
      </c>
      <c r="I43" s="521"/>
      <c r="J43" s="420">
        <f t="shared" si="0"/>
        <v>66000</v>
      </c>
      <c r="K43" s="420">
        <f t="shared" ref="K43:K139" si="4">I43+G43+E43</f>
        <v>0</v>
      </c>
      <c r="L43" s="540"/>
      <c r="M43" s="540"/>
      <c r="N43" s="541"/>
      <c r="O43" s="542"/>
      <c r="P43" s="542"/>
      <c r="Q43" s="132"/>
      <c r="R43" s="543"/>
    </row>
    <row r="44" spans="1:18" ht="10.9" customHeight="1">
      <c r="A44" s="88">
        <v>54201</v>
      </c>
      <c r="B44" s="88" t="s">
        <v>67</v>
      </c>
      <c r="C44" s="88" t="s">
        <v>138</v>
      </c>
      <c r="D44" s="521"/>
      <c r="E44" s="521"/>
      <c r="F44" s="521"/>
      <c r="G44" s="521"/>
      <c r="H44" s="521"/>
      <c r="I44" s="521">
        <v>8000</v>
      </c>
      <c r="J44" s="420">
        <f t="shared" si="0"/>
        <v>0</v>
      </c>
      <c r="K44" s="420">
        <f t="shared" si="4"/>
        <v>8000</v>
      </c>
      <c r="L44" s="540"/>
      <c r="M44" s="540"/>
      <c r="N44" s="541"/>
      <c r="O44" s="542"/>
      <c r="P44" s="542"/>
      <c r="Q44" s="132"/>
      <c r="R44" s="543"/>
    </row>
    <row r="45" spans="1:18" ht="16.5" hidden="1" customHeight="1">
      <c r="A45" s="88">
        <v>54202</v>
      </c>
      <c r="B45" s="88" t="s">
        <v>68</v>
      </c>
      <c r="C45" s="88" t="s">
        <v>139</v>
      </c>
      <c r="D45" s="521"/>
      <c r="E45" s="521"/>
      <c r="F45" s="521"/>
      <c r="G45" s="521"/>
      <c r="H45" s="521"/>
      <c r="I45" s="521"/>
      <c r="J45" s="420">
        <f t="shared" si="0"/>
        <v>0</v>
      </c>
      <c r="K45" s="420">
        <f t="shared" si="4"/>
        <v>0</v>
      </c>
      <c r="L45" s="540"/>
      <c r="M45" s="540"/>
      <c r="N45" s="541"/>
      <c r="O45" s="542"/>
      <c r="P45" s="542"/>
      <c r="Q45" s="132"/>
      <c r="R45" s="543"/>
    </row>
    <row r="46" spans="1:18">
      <c r="A46" s="88">
        <v>54203</v>
      </c>
      <c r="B46" s="88"/>
      <c r="C46" s="88" t="s">
        <v>140</v>
      </c>
      <c r="D46" s="521"/>
      <c r="E46" s="521"/>
      <c r="F46" s="521"/>
      <c r="G46" s="521"/>
      <c r="H46" s="521">
        <v>13000</v>
      </c>
      <c r="I46" s="521"/>
      <c r="J46" s="420">
        <f t="shared" si="0"/>
        <v>13000</v>
      </c>
      <c r="K46" s="420">
        <f t="shared" si="4"/>
        <v>0</v>
      </c>
      <c r="L46" s="540"/>
      <c r="M46" s="540"/>
      <c r="N46" s="541"/>
      <c r="O46" s="542"/>
      <c r="P46" s="542"/>
      <c r="Q46" s="132"/>
      <c r="R46" s="543"/>
    </row>
    <row r="47" spans="1:18" ht="16.5" hidden="1" customHeight="1">
      <c r="A47" s="34"/>
      <c r="B47" s="34"/>
      <c r="C47" s="34"/>
      <c r="D47" s="538"/>
      <c r="E47" s="538"/>
      <c r="F47" s="538"/>
      <c r="G47" s="538"/>
      <c r="H47" s="538"/>
      <c r="I47" s="538"/>
      <c r="J47" s="539"/>
      <c r="K47" s="539"/>
      <c r="L47" s="540"/>
      <c r="M47" s="540"/>
      <c r="N47" s="541"/>
      <c r="O47" s="542"/>
      <c r="P47" s="542"/>
      <c r="Q47" s="132"/>
      <c r="R47" s="543"/>
    </row>
    <row r="48" spans="1:18" ht="16.5" hidden="1" customHeight="1">
      <c r="A48" s="34"/>
      <c r="B48" s="34"/>
      <c r="C48" s="34"/>
      <c r="D48" s="538"/>
      <c r="E48" s="538"/>
      <c r="F48" s="538"/>
      <c r="G48" s="538"/>
      <c r="H48" s="538"/>
      <c r="I48" s="538"/>
      <c r="J48" s="539"/>
      <c r="K48" s="539"/>
      <c r="L48" s="540"/>
      <c r="M48" s="540"/>
      <c r="N48" s="541"/>
      <c r="O48" s="542"/>
      <c r="P48" s="542"/>
      <c r="Q48" s="132"/>
      <c r="R48" s="543"/>
    </row>
    <row r="49" spans="1:18" ht="16.5" hidden="1" customHeight="1">
      <c r="A49" s="34"/>
      <c r="B49" s="34"/>
      <c r="C49" s="34"/>
      <c r="D49" s="538"/>
      <c r="E49" s="538"/>
      <c r="F49" s="538"/>
      <c r="G49" s="538"/>
      <c r="H49" s="538"/>
      <c r="I49" s="538"/>
      <c r="J49" s="539"/>
      <c r="K49" s="539"/>
      <c r="L49" s="540"/>
      <c r="M49" s="540"/>
      <c r="N49" s="541"/>
      <c r="O49" s="542"/>
      <c r="P49" s="542"/>
      <c r="Q49" s="132"/>
      <c r="R49" s="543"/>
    </row>
    <row r="50" spans="1:18" ht="16.5" hidden="1" customHeight="1">
      <c r="A50" s="34"/>
      <c r="B50" s="34"/>
      <c r="C50" s="34"/>
      <c r="D50" s="538"/>
      <c r="E50" s="538"/>
      <c r="F50" s="538"/>
      <c r="G50" s="538"/>
      <c r="H50" s="538"/>
      <c r="I50" s="538"/>
      <c r="J50" s="539"/>
      <c r="K50" s="539"/>
      <c r="L50" s="540"/>
      <c r="M50" s="540"/>
      <c r="N50" s="541"/>
      <c r="O50" s="542"/>
      <c r="P50" s="542"/>
      <c r="Q50" s="132"/>
      <c r="R50" s="543"/>
    </row>
    <row r="51" spans="1:18" ht="16.5" hidden="1" customHeight="1">
      <c r="A51" s="34"/>
      <c r="B51" s="34"/>
      <c r="C51" s="34"/>
      <c r="D51" s="538"/>
      <c r="E51" s="538"/>
      <c r="F51" s="538"/>
      <c r="G51" s="538"/>
      <c r="H51" s="538"/>
      <c r="I51" s="538"/>
      <c r="J51" s="539"/>
      <c r="K51" s="539"/>
      <c r="L51" s="540"/>
      <c r="M51" s="540"/>
      <c r="N51" s="541"/>
      <c r="O51" s="542"/>
      <c r="P51" s="542"/>
      <c r="Q51" s="132"/>
      <c r="R51" s="543"/>
    </row>
    <row r="52" spans="1:18" ht="16.5" hidden="1" customHeight="1">
      <c r="A52" s="34"/>
      <c r="B52" s="34"/>
      <c r="C52" s="34"/>
      <c r="D52" s="538"/>
      <c r="E52" s="538"/>
      <c r="F52" s="538"/>
      <c r="G52" s="538"/>
      <c r="H52" s="538"/>
      <c r="I52" s="538"/>
      <c r="J52" s="539"/>
      <c r="K52" s="539"/>
      <c r="L52" s="540"/>
      <c r="M52" s="540"/>
      <c r="N52" s="541"/>
      <c r="O52" s="542"/>
      <c r="P52" s="542"/>
      <c r="Q52" s="132"/>
      <c r="R52" s="543"/>
    </row>
    <row r="53" spans="1:18" ht="16.5" hidden="1" customHeight="1">
      <c r="A53" s="34"/>
      <c r="B53" s="34"/>
      <c r="C53" s="34"/>
      <c r="D53" s="538"/>
      <c r="E53" s="538"/>
      <c r="F53" s="538"/>
      <c r="G53" s="538"/>
      <c r="H53" s="538"/>
      <c r="I53" s="538"/>
      <c r="J53" s="539"/>
      <c r="K53" s="539"/>
      <c r="L53" s="540"/>
      <c r="M53" s="540"/>
      <c r="N53" s="541"/>
      <c r="O53" s="542"/>
      <c r="P53" s="542"/>
      <c r="Q53" s="132"/>
      <c r="R53" s="543"/>
    </row>
    <row r="54" spans="1:18" ht="16.5" hidden="1" customHeight="1">
      <c r="A54" s="34"/>
      <c r="B54" s="34"/>
      <c r="C54" s="34"/>
      <c r="D54" s="538"/>
      <c r="E54" s="538"/>
      <c r="F54" s="538"/>
      <c r="G54" s="538"/>
      <c r="H54" s="538"/>
      <c r="I54" s="538"/>
      <c r="J54" s="539"/>
      <c r="K54" s="539"/>
      <c r="L54" s="540"/>
      <c r="M54" s="540"/>
      <c r="N54" s="541"/>
      <c r="O54" s="542"/>
      <c r="P54" s="542"/>
      <c r="Q54" s="132"/>
      <c r="R54" s="543"/>
    </row>
    <row r="55" spans="1:18" ht="16.5" hidden="1" customHeight="1">
      <c r="A55" s="34"/>
      <c r="B55" s="34"/>
      <c r="C55" s="34"/>
      <c r="D55" s="538"/>
      <c r="E55" s="538"/>
      <c r="F55" s="538"/>
      <c r="G55" s="538"/>
      <c r="H55" s="538"/>
      <c r="I55" s="538"/>
      <c r="J55" s="539"/>
      <c r="K55" s="539"/>
      <c r="L55" s="540"/>
      <c r="M55" s="540"/>
      <c r="N55" s="541"/>
      <c r="O55" s="542"/>
      <c r="P55" s="542"/>
      <c r="Q55" s="132"/>
      <c r="R55" s="543"/>
    </row>
    <row r="56" spans="1:18" ht="16.5" hidden="1" customHeight="1">
      <c r="A56" s="34"/>
      <c r="B56" s="34"/>
      <c r="C56" s="34"/>
      <c r="D56" s="538"/>
      <c r="E56" s="538"/>
      <c r="F56" s="538"/>
      <c r="G56" s="538"/>
      <c r="H56" s="538"/>
      <c r="I56" s="538"/>
      <c r="J56" s="539"/>
      <c r="K56" s="539"/>
      <c r="L56" s="540"/>
      <c r="M56" s="540"/>
      <c r="N56" s="541"/>
      <c r="O56" s="542"/>
      <c r="P56" s="542"/>
      <c r="Q56" s="132"/>
      <c r="R56" s="543"/>
    </row>
    <row r="57" spans="1:18" ht="12.75" hidden="1" customHeight="1">
      <c r="A57" s="1694" t="s">
        <v>871</v>
      </c>
      <c r="B57" s="1694"/>
      <c r="C57" s="1694"/>
      <c r="D57" s="1694"/>
      <c r="E57" s="1694"/>
      <c r="F57" s="1694"/>
      <c r="G57" s="1694"/>
      <c r="H57" s="1694"/>
      <c r="I57" s="1694"/>
      <c r="J57" s="1694"/>
      <c r="K57" s="1694"/>
      <c r="L57" s="1694"/>
      <c r="M57" s="605"/>
      <c r="N57" s="605"/>
      <c r="O57" s="605"/>
      <c r="P57" s="605"/>
      <c r="Q57" s="605"/>
      <c r="R57" s="543"/>
    </row>
    <row r="58" spans="1:18" ht="12.75" hidden="1" customHeight="1">
      <c r="A58" s="605"/>
      <c r="B58" s="605"/>
      <c r="C58" s="605"/>
      <c r="D58" s="605"/>
      <c r="E58" s="605"/>
      <c r="F58" s="605"/>
      <c r="G58" s="605"/>
      <c r="H58" s="605"/>
      <c r="I58" s="605"/>
      <c r="J58" s="605"/>
      <c r="K58" s="605"/>
      <c r="L58" s="605"/>
      <c r="M58" s="605"/>
      <c r="N58" s="605"/>
      <c r="O58" s="605"/>
      <c r="P58" s="605"/>
      <c r="Q58" s="605"/>
      <c r="R58" s="543"/>
    </row>
    <row r="59" spans="1:18" ht="12.75" hidden="1" customHeight="1">
      <c r="A59" s="605"/>
      <c r="B59" s="605"/>
      <c r="C59" s="605"/>
      <c r="D59" s="605"/>
      <c r="E59" s="605"/>
      <c r="F59" s="605"/>
      <c r="G59" s="605"/>
      <c r="H59" s="605"/>
      <c r="I59" s="605"/>
      <c r="J59" s="605"/>
      <c r="K59" s="605"/>
      <c r="L59" s="605"/>
      <c r="M59" s="605"/>
      <c r="N59" s="605"/>
      <c r="O59" s="605"/>
      <c r="P59" s="605"/>
      <c r="Q59" s="605"/>
      <c r="R59" s="543"/>
    </row>
    <row r="60" spans="1:18" ht="12.75" hidden="1" customHeight="1">
      <c r="A60" s="605"/>
      <c r="B60" s="605"/>
      <c r="C60" s="605"/>
      <c r="D60" s="605"/>
      <c r="E60" s="605"/>
      <c r="F60" s="605"/>
      <c r="G60" s="605"/>
      <c r="H60" s="605"/>
      <c r="I60" s="605"/>
      <c r="J60" s="605"/>
      <c r="K60" s="605"/>
      <c r="L60" s="605"/>
      <c r="M60" s="605"/>
      <c r="N60" s="605"/>
      <c r="O60" s="605"/>
      <c r="P60" s="605"/>
      <c r="Q60" s="605"/>
      <c r="R60" s="543"/>
    </row>
    <row r="61" spans="1:18" ht="12.75" hidden="1" customHeight="1">
      <c r="A61" s="605"/>
      <c r="B61" s="605"/>
      <c r="C61" s="605"/>
      <c r="D61" s="605"/>
      <c r="E61" s="605"/>
      <c r="F61" s="605"/>
      <c r="G61" s="605"/>
      <c r="H61" s="605"/>
      <c r="I61" s="605"/>
      <c r="J61" s="605"/>
      <c r="K61" s="605"/>
      <c r="L61" s="605"/>
      <c r="M61" s="605"/>
      <c r="N61" s="605"/>
      <c r="O61" s="605"/>
      <c r="P61" s="605"/>
      <c r="Q61" s="605"/>
      <c r="R61" s="543"/>
    </row>
    <row r="62" spans="1:18" ht="12.75" hidden="1" customHeight="1">
      <c r="A62" s="605"/>
      <c r="B62" s="605"/>
      <c r="C62" s="605"/>
      <c r="D62" s="605"/>
      <c r="E62" s="605"/>
      <c r="F62" s="605"/>
      <c r="G62" s="605"/>
      <c r="H62" s="605"/>
      <c r="I62" s="605"/>
      <c r="J62" s="605"/>
      <c r="K62" s="605"/>
      <c r="L62" s="605"/>
      <c r="M62" s="605"/>
      <c r="N62" s="605"/>
      <c r="O62" s="605"/>
      <c r="P62" s="605"/>
      <c r="Q62" s="605"/>
      <c r="R62" s="543"/>
    </row>
    <row r="63" spans="1:18" ht="12.75" hidden="1" customHeight="1">
      <c r="A63" s="605"/>
      <c r="B63" s="605"/>
      <c r="C63" s="605"/>
      <c r="D63" s="605"/>
      <c r="E63" s="605"/>
      <c r="F63" s="605"/>
      <c r="G63" s="605"/>
      <c r="H63" s="605"/>
      <c r="I63" s="605"/>
      <c r="J63" s="605"/>
      <c r="K63" s="605"/>
      <c r="L63" s="605"/>
      <c r="M63" s="605"/>
      <c r="N63" s="605"/>
      <c r="O63" s="605"/>
      <c r="P63" s="605"/>
      <c r="Q63" s="605"/>
      <c r="R63" s="543"/>
    </row>
    <row r="64" spans="1:18" ht="12.75" hidden="1" customHeight="1">
      <c r="A64" s="605"/>
      <c r="B64" s="605"/>
      <c r="C64" s="605"/>
      <c r="D64" s="605"/>
      <c r="E64" s="605"/>
      <c r="F64" s="605"/>
      <c r="G64" s="605"/>
      <c r="H64" s="605"/>
      <c r="I64" s="605"/>
      <c r="J64" s="605"/>
      <c r="K64" s="605"/>
      <c r="L64" s="605"/>
      <c r="M64" s="605"/>
      <c r="N64" s="605"/>
      <c r="O64" s="605"/>
      <c r="P64" s="605"/>
      <c r="Q64" s="605"/>
      <c r="R64" s="543"/>
    </row>
    <row r="65" spans="1:18" ht="12.75" hidden="1" customHeight="1">
      <c r="A65" s="605"/>
      <c r="B65" s="605"/>
      <c r="C65" s="605"/>
      <c r="D65" s="605"/>
      <c r="E65" s="605"/>
      <c r="F65" s="605"/>
      <c r="G65" s="605"/>
      <c r="H65" s="605"/>
      <c r="I65" s="605"/>
      <c r="J65" s="605"/>
      <c r="K65" s="605"/>
      <c r="L65" s="605"/>
      <c r="M65" s="605"/>
      <c r="N65" s="605"/>
      <c r="O65" s="605"/>
      <c r="P65" s="605"/>
      <c r="Q65" s="605"/>
      <c r="R65" s="543"/>
    </row>
    <row r="66" spans="1:18" ht="12.75" hidden="1" customHeight="1">
      <c r="A66" s="605"/>
      <c r="B66" s="605"/>
      <c r="C66" s="605"/>
      <c r="D66" s="605"/>
      <c r="E66" s="605"/>
      <c r="F66" s="605"/>
      <c r="G66" s="605"/>
      <c r="H66" s="605"/>
      <c r="I66" s="605"/>
      <c r="J66" s="605"/>
      <c r="K66" s="605"/>
      <c r="L66" s="605"/>
      <c r="M66" s="605"/>
      <c r="N66" s="605"/>
      <c r="O66" s="605"/>
      <c r="P66" s="605"/>
      <c r="Q66" s="605"/>
      <c r="R66" s="543"/>
    </row>
    <row r="67" spans="1:18" ht="12.75" hidden="1" customHeight="1">
      <c r="A67" s="605"/>
      <c r="B67" s="605"/>
      <c r="C67" s="605"/>
      <c r="D67" s="605"/>
      <c r="E67" s="605"/>
      <c r="F67" s="605"/>
      <c r="G67" s="605"/>
      <c r="H67" s="605"/>
      <c r="I67" s="605"/>
      <c r="J67" s="605"/>
      <c r="K67" s="605"/>
      <c r="L67" s="605"/>
      <c r="M67" s="605"/>
      <c r="N67" s="605"/>
      <c r="O67" s="605"/>
      <c r="P67" s="605"/>
      <c r="Q67" s="605"/>
      <c r="R67" s="543"/>
    </row>
    <row r="68" spans="1:18" ht="12.75" hidden="1" customHeight="1">
      <c r="A68" s="605"/>
      <c r="B68" s="605"/>
      <c r="C68" s="605"/>
      <c r="D68" s="605"/>
      <c r="E68" s="605"/>
      <c r="F68" s="605"/>
      <c r="G68" s="605"/>
      <c r="H68" s="605"/>
      <c r="I68" s="605"/>
      <c r="J68" s="605"/>
      <c r="K68" s="605"/>
      <c r="L68" s="605"/>
      <c r="M68" s="605"/>
      <c r="N68" s="605"/>
      <c r="O68" s="605"/>
      <c r="P68" s="605"/>
      <c r="Q68" s="605"/>
      <c r="R68" s="543"/>
    </row>
    <row r="69" spans="1:18" ht="12.75" hidden="1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543"/>
    </row>
    <row r="70" spans="1:18" ht="12.75" hidden="1" customHeight="1">
      <c r="A70" s="605"/>
      <c r="B70" s="605"/>
      <c r="C70" s="605"/>
      <c r="D70" s="605"/>
      <c r="E70" s="605"/>
      <c r="F70" s="605"/>
      <c r="G70" s="605"/>
      <c r="H70" s="605"/>
      <c r="I70" s="605"/>
      <c r="J70" s="605"/>
      <c r="K70" s="605"/>
      <c r="L70" s="605"/>
      <c r="M70" s="605"/>
      <c r="N70" s="605"/>
      <c r="O70" s="605"/>
      <c r="P70" s="605"/>
      <c r="Q70" s="605"/>
      <c r="R70" s="543"/>
    </row>
    <row r="71" spans="1:18" ht="12.75" hidden="1" customHeight="1">
      <c r="A71" s="605"/>
      <c r="B71" s="605"/>
      <c r="C71" s="605"/>
      <c r="D71" s="605"/>
      <c r="E71" s="605"/>
      <c r="F71" s="605"/>
      <c r="G71" s="605"/>
      <c r="H71" s="605"/>
      <c r="I71" s="605"/>
      <c r="J71" s="605"/>
      <c r="K71" s="605"/>
      <c r="L71" s="605"/>
      <c r="M71" s="605"/>
      <c r="N71" s="605"/>
      <c r="O71" s="605"/>
      <c r="P71" s="605"/>
      <c r="Q71" s="605"/>
      <c r="R71" s="543"/>
    </row>
    <row r="72" spans="1:18" ht="12.75" hidden="1" customHeight="1">
      <c r="A72" s="605"/>
      <c r="B72" s="605"/>
      <c r="C72" s="605"/>
      <c r="D72" s="605"/>
      <c r="E72" s="605"/>
      <c r="F72" s="605"/>
      <c r="G72" s="605"/>
      <c r="H72" s="605"/>
      <c r="I72" s="605"/>
      <c r="J72" s="605"/>
      <c r="K72" s="605"/>
      <c r="L72" s="605"/>
      <c r="M72" s="605"/>
      <c r="N72" s="605"/>
      <c r="O72" s="605"/>
      <c r="P72" s="605"/>
      <c r="Q72" s="605"/>
      <c r="R72" s="543"/>
    </row>
    <row r="73" spans="1:18" ht="16.5" hidden="1" customHeight="1">
      <c r="A73" s="1704" t="s">
        <v>940</v>
      </c>
      <c r="B73" s="1705"/>
      <c r="C73" s="1706"/>
      <c r="D73" s="1158" t="s">
        <v>884</v>
      </c>
      <c r="E73" s="1158" t="s">
        <v>885</v>
      </c>
      <c r="F73" s="1158" t="s">
        <v>887</v>
      </c>
      <c r="G73" s="1158" t="s">
        <v>886</v>
      </c>
      <c r="H73" s="1158" t="s">
        <v>888</v>
      </c>
      <c r="I73" s="1158" t="s">
        <v>889</v>
      </c>
      <c r="J73" s="1699" t="s">
        <v>938</v>
      </c>
      <c r="K73" s="1699" t="s">
        <v>939</v>
      </c>
      <c r="L73" s="1688"/>
      <c r="M73" s="1688"/>
      <c r="N73" s="1688"/>
      <c r="O73" s="1688"/>
      <c r="P73" s="1688"/>
      <c r="Q73" s="1688"/>
      <c r="R73" s="1100"/>
    </row>
    <row r="74" spans="1:18" ht="15" hidden="1" customHeight="1">
      <c r="A74" s="1707"/>
      <c r="B74" s="1708"/>
      <c r="C74" s="1709"/>
      <c r="D74" s="1713" t="s">
        <v>541</v>
      </c>
      <c r="E74" s="1714"/>
      <c r="F74" s="1713" t="s">
        <v>552</v>
      </c>
      <c r="G74" s="1714"/>
      <c r="H74" s="1713" t="s">
        <v>558</v>
      </c>
      <c r="I74" s="1714"/>
      <c r="J74" s="1700"/>
      <c r="K74" s="1700"/>
      <c r="L74" s="1689"/>
      <c r="M74" s="1689"/>
      <c r="N74" s="1690"/>
      <c r="O74" s="1691"/>
      <c r="P74" s="1691"/>
      <c r="Q74" s="1689"/>
      <c r="R74" s="1687"/>
    </row>
    <row r="75" spans="1:18" ht="17.25" hidden="1" customHeight="1">
      <c r="A75" s="1710"/>
      <c r="B75" s="1711"/>
      <c r="C75" s="1712"/>
      <c r="D75" s="523" t="s">
        <v>73</v>
      </c>
      <c r="E75" s="1123">
        <v>0.25</v>
      </c>
      <c r="F75" s="523" t="s">
        <v>73</v>
      </c>
      <c r="G75" s="1123">
        <v>0.25</v>
      </c>
      <c r="H75" s="523" t="s">
        <v>73</v>
      </c>
      <c r="I75" s="1123">
        <v>0.25</v>
      </c>
      <c r="J75" s="1701"/>
      <c r="K75" s="1701"/>
      <c r="L75" s="1689"/>
      <c r="M75" s="1689"/>
      <c r="N75" s="1690"/>
      <c r="O75" s="1691"/>
      <c r="P75" s="1691"/>
      <c r="Q75" s="1689"/>
      <c r="R75" s="1687"/>
    </row>
    <row r="76" spans="1:18" ht="17.25" hidden="1" customHeight="1">
      <c r="A76" s="88">
        <v>54204</v>
      </c>
      <c r="B76" s="88"/>
      <c r="C76" s="88" t="s">
        <v>141</v>
      </c>
      <c r="D76" s="521"/>
      <c r="E76" s="521"/>
      <c r="F76" s="521"/>
      <c r="G76" s="521"/>
      <c r="H76" s="521"/>
      <c r="I76" s="521"/>
      <c r="J76" s="420">
        <f t="shared" ref="J76:J139" si="5">H76+F76+D76</f>
        <v>0</v>
      </c>
      <c r="K76" s="420">
        <f t="shared" si="4"/>
        <v>0</v>
      </c>
      <c r="L76" s="540"/>
      <c r="M76" s="540"/>
      <c r="N76" s="541"/>
      <c r="O76" s="542"/>
      <c r="P76" s="542"/>
      <c r="Q76" s="132"/>
      <c r="R76" s="543"/>
    </row>
    <row r="77" spans="1:18" ht="10.15" customHeight="1">
      <c r="A77" s="88">
        <v>54205</v>
      </c>
      <c r="B77" s="88"/>
      <c r="C77" s="88" t="s">
        <v>142</v>
      </c>
      <c r="D77" s="521"/>
      <c r="E77" s="521"/>
      <c r="F77" s="521"/>
      <c r="G77" s="521"/>
      <c r="H77" s="521"/>
      <c r="I77" s="521">
        <v>107670.35</v>
      </c>
      <c r="J77" s="420">
        <f t="shared" ref="J77:K83" si="6">H77+F77+D77</f>
        <v>0</v>
      </c>
      <c r="K77" s="420">
        <f t="shared" si="6"/>
        <v>107670.35</v>
      </c>
      <c r="L77" s="540"/>
      <c r="M77" s="540"/>
      <c r="N77" s="541"/>
      <c r="O77" s="542"/>
      <c r="P77" s="542"/>
      <c r="Q77" s="132"/>
      <c r="R77" s="543"/>
    </row>
    <row r="78" spans="1:18">
      <c r="A78" s="88">
        <v>54301</v>
      </c>
      <c r="B78" s="88"/>
      <c r="C78" s="88" t="s">
        <v>143</v>
      </c>
      <c r="D78" s="521"/>
      <c r="E78" s="521"/>
      <c r="F78" s="521"/>
      <c r="G78" s="521"/>
      <c r="H78" s="521">
        <v>10000</v>
      </c>
      <c r="I78" s="521"/>
      <c r="J78" s="420">
        <f t="shared" si="6"/>
        <v>10000</v>
      </c>
      <c r="K78" s="420">
        <f t="shared" si="6"/>
        <v>0</v>
      </c>
      <c r="L78" s="540"/>
      <c r="M78" s="540"/>
      <c r="N78" s="541"/>
      <c r="O78" s="542"/>
      <c r="P78" s="542"/>
      <c r="Q78" s="132"/>
      <c r="R78" s="543"/>
    </row>
    <row r="79" spans="1:18" ht="17.25" hidden="1" customHeight="1">
      <c r="A79" s="88">
        <v>54302</v>
      </c>
      <c r="B79" s="88"/>
      <c r="C79" s="88" t="s">
        <v>144</v>
      </c>
      <c r="D79" s="521"/>
      <c r="E79" s="521"/>
      <c r="F79" s="521"/>
      <c r="G79" s="521"/>
      <c r="H79" s="521"/>
      <c r="I79" s="521"/>
      <c r="J79" s="420">
        <f t="shared" si="6"/>
        <v>0</v>
      </c>
      <c r="K79" s="420">
        <f t="shared" si="6"/>
        <v>0</v>
      </c>
      <c r="L79" s="540"/>
      <c r="M79" s="540"/>
      <c r="N79" s="541"/>
      <c r="O79" s="542"/>
      <c r="P79" s="542"/>
      <c r="Q79" s="132"/>
      <c r="R79" s="543"/>
    </row>
    <row r="80" spans="1:18" hidden="1">
      <c r="A80" s="88">
        <v>54303</v>
      </c>
      <c r="B80" s="88"/>
      <c r="C80" s="88" t="s">
        <v>145</v>
      </c>
      <c r="D80" s="521"/>
      <c r="E80" s="521"/>
      <c r="F80" s="521"/>
      <c r="G80" s="521"/>
      <c r="H80" s="521"/>
      <c r="I80" s="521"/>
      <c r="J80" s="420">
        <f t="shared" si="6"/>
        <v>0</v>
      </c>
      <c r="K80" s="420">
        <f t="shared" si="6"/>
        <v>0</v>
      </c>
      <c r="L80" s="540"/>
      <c r="M80" s="540"/>
      <c r="N80" s="541"/>
      <c r="O80" s="542"/>
      <c r="P80" s="542"/>
      <c r="Q80" s="132"/>
      <c r="R80" s="543"/>
    </row>
    <row r="81" spans="1:18" ht="12" customHeight="1">
      <c r="A81" s="88">
        <v>54304</v>
      </c>
      <c r="B81" s="88"/>
      <c r="C81" s="88" t="s">
        <v>146</v>
      </c>
      <c r="D81" s="521"/>
      <c r="E81" s="521"/>
      <c r="F81" s="521"/>
      <c r="G81" s="521"/>
      <c r="H81" s="521">
        <v>10000</v>
      </c>
      <c r="I81" s="521"/>
      <c r="J81" s="420">
        <f t="shared" si="6"/>
        <v>10000</v>
      </c>
      <c r="K81" s="420">
        <f t="shared" si="6"/>
        <v>0</v>
      </c>
      <c r="L81" s="540"/>
      <c r="M81" s="540"/>
      <c r="N81" s="541"/>
      <c r="O81" s="542"/>
      <c r="P81" s="542"/>
      <c r="Q81" s="132"/>
      <c r="R81" s="543"/>
    </row>
    <row r="82" spans="1:18">
      <c r="A82" s="88">
        <v>54305</v>
      </c>
      <c r="B82" s="88"/>
      <c r="C82" s="485" t="s">
        <v>71</v>
      </c>
      <c r="D82" s="521">
        <v>6000</v>
      </c>
      <c r="E82" s="521"/>
      <c r="F82" s="521"/>
      <c r="G82" s="521"/>
      <c r="H82" s="521"/>
      <c r="I82" s="521"/>
      <c r="J82" s="420">
        <f t="shared" si="6"/>
        <v>6000</v>
      </c>
      <c r="K82" s="420">
        <f t="shared" si="6"/>
        <v>0</v>
      </c>
      <c r="L82" s="540"/>
      <c r="M82" s="540"/>
      <c r="N82" s="541"/>
      <c r="O82" s="542"/>
      <c r="P82" s="542"/>
      <c r="Q82" s="132"/>
      <c r="R82" s="543"/>
    </row>
    <row r="83" spans="1:18">
      <c r="A83" s="88">
        <v>54310</v>
      </c>
      <c r="B83" s="88"/>
      <c r="C83" s="88" t="s">
        <v>154</v>
      </c>
      <c r="D83" s="521">
        <v>12000</v>
      </c>
      <c r="E83" s="521"/>
      <c r="F83" s="521"/>
      <c r="G83" s="521"/>
      <c r="H83" s="521"/>
      <c r="I83" s="521"/>
      <c r="J83" s="420">
        <f t="shared" si="6"/>
        <v>12000</v>
      </c>
      <c r="K83" s="420">
        <f t="shared" si="6"/>
        <v>0</v>
      </c>
      <c r="L83" s="540"/>
      <c r="M83" s="540"/>
      <c r="N83" s="541"/>
      <c r="O83" s="542"/>
      <c r="P83" s="542"/>
      <c r="Q83" s="132">
        <f>108402.45-732.1</f>
        <v>107670.34999999999</v>
      </c>
      <c r="R83" s="543"/>
    </row>
    <row r="84" spans="1:18" hidden="1">
      <c r="A84" s="88">
        <v>54311</v>
      </c>
      <c r="B84" s="88"/>
      <c r="C84" s="88" t="s">
        <v>49</v>
      </c>
      <c r="D84" s="521"/>
      <c r="E84" s="521"/>
      <c r="F84" s="521"/>
      <c r="G84" s="521"/>
      <c r="H84" s="521"/>
      <c r="I84" s="521"/>
      <c r="J84" s="420">
        <f t="shared" si="5"/>
        <v>0</v>
      </c>
      <c r="K84" s="420">
        <f t="shared" si="4"/>
        <v>0</v>
      </c>
      <c r="L84" s="540"/>
      <c r="M84" s="540"/>
      <c r="N84" s="541"/>
      <c r="O84" s="542"/>
      <c r="P84" s="542"/>
      <c r="Q84" s="132"/>
      <c r="R84" s="543"/>
    </row>
    <row r="85" spans="1:18" hidden="1">
      <c r="A85" s="88">
        <v>54312</v>
      </c>
      <c r="B85" s="88"/>
      <c r="C85" s="88"/>
      <c r="D85" s="521"/>
      <c r="E85" s="521"/>
      <c r="F85" s="521"/>
      <c r="G85" s="521"/>
      <c r="H85" s="521"/>
      <c r="I85" s="521"/>
      <c r="J85" s="420">
        <f t="shared" si="5"/>
        <v>0</v>
      </c>
      <c r="K85" s="420">
        <f t="shared" si="4"/>
        <v>0</v>
      </c>
      <c r="L85" s="540"/>
      <c r="M85" s="540"/>
      <c r="N85" s="541"/>
      <c r="O85" s="542"/>
      <c r="P85" s="542"/>
      <c r="Q85" s="132"/>
      <c r="R85" s="543"/>
    </row>
    <row r="86" spans="1:18">
      <c r="A86" s="88">
        <v>54313</v>
      </c>
      <c r="B86" s="88"/>
      <c r="C86" s="88" t="s">
        <v>412</v>
      </c>
      <c r="D86" s="521">
        <v>1000</v>
      </c>
      <c r="E86" s="521"/>
      <c r="F86" s="521"/>
      <c r="G86" s="521"/>
      <c r="H86" s="521"/>
      <c r="I86" s="521"/>
      <c r="J86" s="420">
        <f t="shared" si="5"/>
        <v>1000</v>
      </c>
      <c r="K86" s="420">
        <f t="shared" si="4"/>
        <v>0</v>
      </c>
      <c r="L86" s="540"/>
      <c r="M86" s="540"/>
      <c r="N86" s="541"/>
      <c r="O86" s="542"/>
      <c r="P86" s="542"/>
      <c r="Q86" s="132"/>
      <c r="R86" s="543"/>
    </row>
    <row r="87" spans="1:18">
      <c r="A87" s="88">
        <v>54314</v>
      </c>
      <c r="B87" s="88"/>
      <c r="C87" s="88" t="s">
        <v>48</v>
      </c>
      <c r="D87" s="521">
        <v>7000</v>
      </c>
      <c r="E87" s="521"/>
      <c r="F87" s="521"/>
      <c r="G87" s="521"/>
      <c r="H87" s="521"/>
      <c r="I87" s="521"/>
      <c r="J87" s="420">
        <f t="shared" si="5"/>
        <v>7000</v>
      </c>
      <c r="K87" s="420">
        <f t="shared" si="4"/>
        <v>0</v>
      </c>
      <c r="L87" s="540"/>
      <c r="M87" s="540"/>
      <c r="N87" s="541"/>
      <c r="O87" s="542"/>
      <c r="P87" s="542"/>
      <c r="Q87" s="132"/>
      <c r="R87" s="543"/>
    </row>
    <row r="88" spans="1:18" hidden="1">
      <c r="A88" s="88">
        <v>54315</v>
      </c>
      <c r="B88" s="88"/>
      <c r="C88" s="88" t="s">
        <v>155</v>
      </c>
      <c r="D88" s="521"/>
      <c r="E88" s="521"/>
      <c r="F88" s="521"/>
      <c r="G88" s="521"/>
      <c r="H88" s="521"/>
      <c r="I88" s="521"/>
      <c r="J88" s="420">
        <f t="shared" si="5"/>
        <v>0</v>
      </c>
      <c r="K88" s="420">
        <f t="shared" si="4"/>
        <v>0</v>
      </c>
      <c r="L88" s="540"/>
      <c r="M88" s="540"/>
      <c r="N88" s="541"/>
      <c r="O88" s="542"/>
      <c r="P88" s="542"/>
      <c r="Q88" s="132"/>
      <c r="R88" s="543"/>
    </row>
    <row r="89" spans="1:18" hidden="1">
      <c r="A89" s="88">
        <v>54316</v>
      </c>
      <c r="B89" s="88"/>
      <c r="C89" s="88" t="s">
        <v>156</v>
      </c>
      <c r="D89" s="521"/>
      <c r="E89" s="521"/>
      <c r="F89" s="521"/>
      <c r="G89" s="521"/>
      <c r="H89" s="521"/>
      <c r="I89" s="521"/>
      <c r="J89" s="420">
        <f t="shared" si="5"/>
        <v>0</v>
      </c>
      <c r="K89" s="420">
        <f t="shared" si="4"/>
        <v>0</v>
      </c>
      <c r="L89" s="540"/>
      <c r="M89" s="540"/>
      <c r="N89" s="541"/>
      <c r="O89" s="542"/>
      <c r="P89" s="542"/>
      <c r="Q89" s="132"/>
      <c r="R89" s="543"/>
    </row>
    <row r="90" spans="1:18" hidden="1">
      <c r="A90" s="88">
        <v>54317</v>
      </c>
      <c r="B90" s="88"/>
      <c r="C90" s="88" t="s">
        <v>157</v>
      </c>
      <c r="D90" s="521"/>
      <c r="E90" s="521"/>
      <c r="F90" s="521"/>
      <c r="G90" s="521"/>
      <c r="H90" s="521"/>
      <c r="I90" s="521"/>
      <c r="J90" s="420">
        <f t="shared" si="5"/>
        <v>0</v>
      </c>
      <c r="K90" s="420">
        <f t="shared" si="4"/>
        <v>0</v>
      </c>
      <c r="L90" s="540"/>
      <c r="M90" s="540"/>
      <c r="N90" s="541"/>
      <c r="O90" s="542"/>
      <c r="P90" s="542"/>
      <c r="Q90" s="132"/>
      <c r="R90" s="543"/>
    </row>
    <row r="91" spans="1:18" hidden="1">
      <c r="A91" s="88">
        <v>54318</v>
      </c>
      <c r="B91" s="88"/>
      <c r="C91" s="88"/>
      <c r="D91" s="521"/>
      <c r="E91" s="521"/>
      <c r="F91" s="521"/>
      <c r="G91" s="521"/>
      <c r="H91" s="521"/>
      <c r="I91" s="521"/>
      <c r="J91" s="420">
        <f t="shared" si="5"/>
        <v>0</v>
      </c>
      <c r="K91" s="420">
        <f t="shared" si="4"/>
        <v>0</v>
      </c>
      <c r="L91" s="540"/>
      <c r="M91" s="540"/>
      <c r="N91" s="541"/>
      <c r="O91" s="542"/>
      <c r="P91" s="542"/>
      <c r="Q91" s="132"/>
      <c r="R91" s="543"/>
    </row>
    <row r="92" spans="1:18" ht="12" customHeight="1">
      <c r="A92" s="88">
        <v>54399</v>
      </c>
      <c r="B92" s="88"/>
      <c r="C92" s="88" t="s">
        <v>158</v>
      </c>
      <c r="D92" s="521">
        <v>500</v>
      </c>
      <c r="E92" s="521">
        <v>0</v>
      </c>
      <c r="F92" s="521"/>
      <c r="G92" s="521"/>
      <c r="H92" s="521">
        <v>66000</v>
      </c>
      <c r="I92" s="521">
        <v>150</v>
      </c>
      <c r="J92" s="420">
        <f t="shared" si="5"/>
        <v>66500</v>
      </c>
      <c r="K92" s="420">
        <f t="shared" si="4"/>
        <v>150</v>
      </c>
      <c r="L92" s="540"/>
      <c r="M92" s="540"/>
      <c r="N92" s="541"/>
      <c r="O92" s="542"/>
      <c r="P92" s="542"/>
      <c r="Q92" s="132"/>
      <c r="R92" s="543"/>
    </row>
    <row r="93" spans="1:18" ht="12" customHeight="1">
      <c r="A93" s="88">
        <v>54401</v>
      </c>
      <c r="B93" s="88"/>
      <c r="C93" s="88" t="s">
        <v>159</v>
      </c>
      <c r="D93" s="521">
        <v>100</v>
      </c>
      <c r="E93" s="521"/>
      <c r="F93" s="521"/>
      <c r="G93" s="521"/>
      <c r="H93" s="521">
        <v>200</v>
      </c>
      <c r="I93" s="521"/>
      <c r="J93" s="420">
        <f t="shared" si="5"/>
        <v>300</v>
      </c>
      <c r="K93" s="420">
        <f t="shared" si="4"/>
        <v>0</v>
      </c>
      <c r="L93" s="540"/>
      <c r="M93" s="540"/>
      <c r="N93" s="541"/>
      <c r="O93" s="542"/>
      <c r="P93" s="542"/>
      <c r="Q93" s="132"/>
      <c r="R93" s="543"/>
    </row>
    <row r="94" spans="1:18" ht="17.25" hidden="1" customHeight="1">
      <c r="A94" s="88">
        <v>54402</v>
      </c>
      <c r="B94" s="88"/>
      <c r="C94" s="88" t="s">
        <v>160</v>
      </c>
      <c r="D94" s="521"/>
      <c r="E94" s="521"/>
      <c r="F94" s="521"/>
      <c r="G94" s="521"/>
      <c r="H94" s="521"/>
      <c r="I94" s="521"/>
      <c r="J94" s="420">
        <f t="shared" si="5"/>
        <v>0</v>
      </c>
      <c r="K94" s="420">
        <f t="shared" si="4"/>
        <v>0</v>
      </c>
      <c r="L94" s="540"/>
      <c r="M94" s="540"/>
      <c r="N94" s="541"/>
      <c r="O94" s="542"/>
      <c r="P94" s="542"/>
      <c r="Q94" s="132"/>
      <c r="R94" s="543"/>
    </row>
    <row r="95" spans="1:18" ht="12" customHeight="1">
      <c r="A95" s="88">
        <v>54403</v>
      </c>
      <c r="B95" s="88"/>
      <c r="C95" s="88" t="s">
        <v>161</v>
      </c>
      <c r="D95" s="521"/>
      <c r="E95" s="521"/>
      <c r="F95" s="521"/>
      <c r="G95" s="521"/>
      <c r="H95" s="521">
        <v>1000</v>
      </c>
      <c r="I95" s="521"/>
      <c r="J95" s="420">
        <f t="shared" si="5"/>
        <v>1000</v>
      </c>
      <c r="K95" s="420">
        <f t="shared" si="4"/>
        <v>0</v>
      </c>
      <c r="L95" s="540"/>
      <c r="M95" s="540"/>
      <c r="N95" s="541"/>
      <c r="O95" s="542"/>
      <c r="P95" s="542"/>
      <c r="Q95" s="132"/>
      <c r="R95" s="543"/>
    </row>
    <row r="96" spans="1:18" ht="17.25" hidden="1" customHeight="1">
      <c r="A96" s="88">
        <v>54404</v>
      </c>
      <c r="B96" s="88"/>
      <c r="C96" s="88" t="s">
        <v>162</v>
      </c>
      <c r="D96" s="521"/>
      <c r="E96" s="521"/>
      <c r="F96" s="521"/>
      <c r="G96" s="521"/>
      <c r="H96" s="521"/>
      <c r="I96" s="521"/>
      <c r="J96" s="420">
        <f t="shared" si="5"/>
        <v>0</v>
      </c>
      <c r="K96" s="420">
        <f t="shared" si="4"/>
        <v>0</v>
      </c>
      <c r="L96" s="540"/>
      <c r="M96" s="540"/>
      <c r="N96" s="541"/>
      <c r="O96" s="542"/>
      <c r="P96" s="542"/>
      <c r="Q96" s="132"/>
      <c r="R96" s="543"/>
    </row>
    <row r="97" spans="1:18" ht="17.25" hidden="1" customHeight="1">
      <c r="A97" s="88">
        <v>54501</v>
      </c>
      <c r="B97" s="88"/>
      <c r="C97" s="88" t="s">
        <v>163</v>
      </c>
      <c r="D97" s="521"/>
      <c r="E97" s="521"/>
      <c r="F97" s="521"/>
      <c r="G97" s="521"/>
      <c r="H97" s="521"/>
      <c r="I97" s="521"/>
      <c r="J97" s="420">
        <f t="shared" si="5"/>
        <v>0</v>
      </c>
      <c r="K97" s="420">
        <f t="shared" si="4"/>
        <v>0</v>
      </c>
      <c r="L97" s="540"/>
      <c r="M97" s="540"/>
      <c r="N97" s="541"/>
      <c r="O97" s="542"/>
      <c r="P97" s="542"/>
      <c r="Q97" s="132"/>
      <c r="R97" s="543"/>
    </row>
    <row r="98" spans="1:18" ht="17.25" hidden="1" customHeight="1">
      <c r="A98" s="88">
        <v>54502</v>
      </c>
      <c r="B98" s="88"/>
      <c r="C98" s="88" t="s">
        <v>164</v>
      </c>
      <c r="D98" s="521"/>
      <c r="E98" s="521"/>
      <c r="F98" s="521"/>
      <c r="G98" s="521"/>
      <c r="H98" s="521"/>
      <c r="I98" s="521"/>
      <c r="J98" s="420">
        <f t="shared" si="5"/>
        <v>0</v>
      </c>
      <c r="K98" s="420">
        <f t="shared" si="4"/>
        <v>0</v>
      </c>
      <c r="L98" s="540"/>
      <c r="M98" s="540"/>
      <c r="N98" s="541"/>
      <c r="O98" s="542"/>
      <c r="P98" s="542"/>
      <c r="Q98" s="132"/>
      <c r="R98" s="543"/>
    </row>
    <row r="99" spans="1:18" ht="17.25" hidden="1" customHeight="1">
      <c r="A99" s="88">
        <v>54503</v>
      </c>
      <c r="B99" s="88"/>
      <c r="C99" s="88" t="s">
        <v>165</v>
      </c>
      <c r="D99" s="521"/>
      <c r="E99" s="521"/>
      <c r="F99" s="521"/>
      <c r="G99" s="521"/>
      <c r="H99" s="521"/>
      <c r="I99" s="521"/>
      <c r="J99" s="420">
        <f t="shared" si="5"/>
        <v>0</v>
      </c>
      <c r="K99" s="420">
        <f t="shared" si="4"/>
        <v>0</v>
      </c>
      <c r="L99" s="540"/>
      <c r="M99" s="540"/>
      <c r="N99" s="541"/>
      <c r="O99" s="542"/>
      <c r="P99" s="542"/>
      <c r="Q99" s="132"/>
      <c r="R99" s="543"/>
    </row>
    <row r="100" spans="1:18" ht="17.25" hidden="1" customHeight="1">
      <c r="A100" s="88">
        <v>54504</v>
      </c>
      <c r="B100" s="88"/>
      <c r="C100" s="88" t="s">
        <v>166</v>
      </c>
      <c r="D100" s="521"/>
      <c r="E100" s="521"/>
      <c r="F100" s="521"/>
      <c r="G100" s="521"/>
      <c r="H100" s="521"/>
      <c r="I100" s="521"/>
      <c r="J100" s="420">
        <f t="shared" si="5"/>
        <v>0</v>
      </c>
      <c r="K100" s="420">
        <f t="shared" si="4"/>
        <v>0</v>
      </c>
      <c r="L100" s="540"/>
      <c r="M100" s="540"/>
      <c r="N100" s="541"/>
      <c r="O100" s="542"/>
      <c r="P100" s="542"/>
      <c r="Q100" s="132"/>
      <c r="R100" s="543"/>
    </row>
    <row r="101" spans="1:18" ht="17.25" hidden="1" customHeight="1">
      <c r="A101" s="88">
        <v>54505</v>
      </c>
      <c r="B101" s="88"/>
      <c r="C101" s="88" t="s">
        <v>167</v>
      </c>
      <c r="D101" s="521"/>
      <c r="E101" s="521"/>
      <c r="F101" s="521"/>
      <c r="G101" s="521"/>
      <c r="H101" s="521"/>
      <c r="I101" s="521"/>
      <c r="J101" s="420">
        <f t="shared" si="5"/>
        <v>0</v>
      </c>
      <c r="K101" s="420">
        <f t="shared" si="4"/>
        <v>0</v>
      </c>
      <c r="L101" s="540"/>
      <c r="M101" s="540"/>
      <c r="N101" s="541"/>
      <c r="O101" s="542"/>
      <c r="P101" s="542"/>
      <c r="Q101" s="132"/>
      <c r="R101" s="543"/>
    </row>
    <row r="102" spans="1:18" ht="17.25" hidden="1" customHeight="1">
      <c r="A102" s="88">
        <v>54506</v>
      </c>
      <c r="B102" s="88"/>
      <c r="C102" s="88" t="s">
        <v>168</v>
      </c>
      <c r="D102" s="521"/>
      <c r="E102" s="521"/>
      <c r="F102" s="521"/>
      <c r="G102" s="521"/>
      <c r="H102" s="521"/>
      <c r="I102" s="521"/>
      <c r="J102" s="420">
        <f t="shared" si="5"/>
        <v>0</v>
      </c>
      <c r="K102" s="420">
        <f t="shared" si="4"/>
        <v>0</v>
      </c>
      <c r="L102" s="540"/>
      <c r="M102" s="540"/>
      <c r="N102" s="541"/>
      <c r="O102" s="542"/>
      <c r="P102" s="542"/>
      <c r="Q102" s="132"/>
      <c r="R102" s="543"/>
    </row>
    <row r="103" spans="1:18" ht="17.25" hidden="1" customHeight="1">
      <c r="A103" s="88">
        <v>54507</v>
      </c>
      <c r="B103" s="88"/>
      <c r="C103" s="88" t="s">
        <v>169</v>
      </c>
      <c r="D103" s="521"/>
      <c r="E103" s="521"/>
      <c r="F103" s="521"/>
      <c r="G103" s="521"/>
      <c r="H103" s="521"/>
      <c r="I103" s="521"/>
      <c r="J103" s="420">
        <f t="shared" si="5"/>
        <v>0</v>
      </c>
      <c r="K103" s="420">
        <f t="shared" si="4"/>
        <v>0</v>
      </c>
      <c r="L103" s="540"/>
      <c r="M103" s="540"/>
      <c r="N103" s="541"/>
      <c r="O103" s="542"/>
      <c r="P103" s="542"/>
      <c r="Q103" s="132"/>
      <c r="R103" s="543"/>
    </row>
    <row r="104" spans="1:18" ht="17.25" hidden="1" customHeight="1">
      <c r="A104" s="88">
        <v>54508</v>
      </c>
      <c r="B104" s="88"/>
      <c r="C104" s="88" t="s">
        <v>170</v>
      </c>
      <c r="D104" s="521"/>
      <c r="E104" s="521"/>
      <c r="F104" s="521"/>
      <c r="G104" s="521"/>
      <c r="H104" s="521"/>
      <c r="I104" s="521"/>
      <c r="J104" s="420">
        <f t="shared" si="5"/>
        <v>0</v>
      </c>
      <c r="K104" s="420">
        <f t="shared" si="4"/>
        <v>0</v>
      </c>
      <c r="L104" s="540"/>
      <c r="M104" s="540"/>
      <c r="N104" s="541"/>
      <c r="O104" s="542"/>
      <c r="P104" s="542"/>
      <c r="Q104" s="132"/>
      <c r="R104" s="543"/>
    </row>
    <row r="105" spans="1:18" ht="11.45" customHeight="1">
      <c r="A105" s="88">
        <v>54599</v>
      </c>
      <c r="B105" s="88"/>
      <c r="C105" s="485" t="s">
        <v>171</v>
      </c>
      <c r="D105" s="521">
        <v>2500</v>
      </c>
      <c r="E105" s="521"/>
      <c r="F105" s="521"/>
      <c r="G105" s="521"/>
      <c r="H105" s="521"/>
      <c r="I105" s="521"/>
      <c r="J105" s="420">
        <f t="shared" si="5"/>
        <v>2500</v>
      </c>
      <c r="K105" s="420">
        <f t="shared" si="4"/>
        <v>0</v>
      </c>
      <c r="L105" s="540"/>
      <c r="M105" s="540"/>
      <c r="N105" s="541"/>
      <c r="O105" s="542"/>
      <c r="P105" s="542"/>
      <c r="Q105" s="132"/>
      <c r="R105" s="543"/>
    </row>
    <row r="106" spans="1:18" ht="17.25" hidden="1" customHeight="1">
      <c r="A106" s="88">
        <v>54601</v>
      </c>
      <c r="B106" s="88"/>
      <c r="C106" s="88" t="s">
        <v>172</v>
      </c>
      <c r="D106" s="521"/>
      <c r="E106" s="521"/>
      <c r="F106" s="521"/>
      <c r="G106" s="521"/>
      <c r="H106" s="521"/>
      <c r="I106" s="521"/>
      <c r="J106" s="420">
        <f t="shared" si="5"/>
        <v>0</v>
      </c>
      <c r="K106" s="420">
        <f t="shared" si="4"/>
        <v>0</v>
      </c>
      <c r="L106" s="540"/>
      <c r="M106" s="540"/>
      <c r="N106" s="541"/>
      <c r="O106" s="542"/>
      <c r="P106" s="542"/>
      <c r="Q106" s="132"/>
      <c r="R106" s="543"/>
    </row>
    <row r="107" spans="1:18" ht="17.25" hidden="1" customHeight="1">
      <c r="A107" s="88">
        <v>54602</v>
      </c>
      <c r="B107" s="88"/>
      <c r="C107" s="88" t="s">
        <v>173</v>
      </c>
      <c r="D107" s="521"/>
      <c r="E107" s="521"/>
      <c r="F107" s="521"/>
      <c r="G107" s="521"/>
      <c r="H107" s="521"/>
      <c r="I107" s="521"/>
      <c r="J107" s="420">
        <f t="shared" si="5"/>
        <v>0</v>
      </c>
      <c r="K107" s="420">
        <f t="shared" si="4"/>
        <v>0</v>
      </c>
      <c r="L107" s="540"/>
      <c r="M107" s="540"/>
      <c r="N107" s="541"/>
      <c r="O107" s="542"/>
      <c r="P107" s="542"/>
      <c r="Q107" s="132"/>
      <c r="R107" s="543"/>
    </row>
    <row r="108" spans="1:18" ht="17.25" hidden="1" customHeight="1">
      <c r="A108" s="88">
        <v>54603</v>
      </c>
      <c r="B108" s="88"/>
      <c r="C108" s="88" t="s">
        <v>174</v>
      </c>
      <c r="D108" s="521"/>
      <c r="E108" s="521"/>
      <c r="F108" s="521"/>
      <c r="G108" s="521"/>
      <c r="H108" s="521"/>
      <c r="I108" s="521"/>
      <c r="J108" s="420">
        <f t="shared" si="5"/>
        <v>0</v>
      </c>
      <c r="K108" s="420">
        <f t="shared" si="4"/>
        <v>0</v>
      </c>
      <c r="L108" s="540"/>
      <c r="M108" s="540"/>
      <c r="N108" s="541"/>
      <c r="O108" s="542"/>
      <c r="P108" s="542"/>
      <c r="Q108" s="132"/>
      <c r="R108" s="543"/>
    </row>
    <row r="109" spans="1:18" ht="17.25" hidden="1" customHeight="1">
      <c r="A109" s="88">
        <v>54699</v>
      </c>
      <c r="B109" s="88"/>
      <c r="C109" s="88" t="s">
        <v>175</v>
      </c>
      <c r="D109" s="521"/>
      <c r="E109" s="521"/>
      <c r="F109" s="521"/>
      <c r="G109" s="521"/>
      <c r="H109" s="521"/>
      <c r="I109" s="521"/>
      <c r="J109" s="420">
        <f t="shared" si="5"/>
        <v>0</v>
      </c>
      <c r="K109" s="420">
        <f t="shared" si="4"/>
        <v>0</v>
      </c>
      <c r="L109" s="540"/>
      <c r="M109" s="540"/>
      <c r="N109" s="541"/>
      <c r="O109" s="542"/>
      <c r="P109" s="542"/>
      <c r="Q109" s="132"/>
      <c r="R109" s="543"/>
    </row>
    <row r="110" spans="1:18" ht="17.25" hidden="1" customHeight="1">
      <c r="A110" s="88">
        <v>55302</v>
      </c>
      <c r="B110" s="88"/>
      <c r="C110" s="88" t="s">
        <v>492</v>
      </c>
      <c r="D110" s="521"/>
      <c r="E110" s="521"/>
      <c r="F110" s="521"/>
      <c r="G110" s="521"/>
      <c r="H110" s="521"/>
      <c r="I110" s="521"/>
      <c r="J110" s="420">
        <f t="shared" si="5"/>
        <v>0</v>
      </c>
      <c r="K110" s="420"/>
      <c r="L110" s="540"/>
      <c r="M110" s="540"/>
      <c r="N110" s="541"/>
      <c r="O110" s="542"/>
      <c r="P110" s="542"/>
      <c r="Q110" s="132"/>
      <c r="R110" s="543"/>
    </row>
    <row r="111" spans="1:18" ht="17.25" hidden="1" customHeight="1">
      <c r="A111" s="88">
        <v>55308</v>
      </c>
      <c r="B111" s="88"/>
      <c r="C111" s="88" t="s">
        <v>41</v>
      </c>
      <c r="D111" s="521"/>
      <c r="E111" s="521"/>
      <c r="F111" s="521"/>
      <c r="G111" s="521"/>
      <c r="H111" s="521"/>
      <c r="I111" s="521"/>
      <c r="J111" s="420">
        <f t="shared" si="5"/>
        <v>0</v>
      </c>
      <c r="K111" s="420"/>
      <c r="L111" s="540"/>
      <c r="M111" s="540"/>
      <c r="N111" s="541"/>
      <c r="O111" s="542"/>
      <c r="P111" s="542"/>
      <c r="Q111" s="132"/>
      <c r="R111" s="543"/>
    </row>
    <row r="112" spans="1:18" ht="12" customHeight="1">
      <c r="A112" s="88">
        <v>55602</v>
      </c>
      <c r="B112" s="88"/>
      <c r="C112" s="88" t="s">
        <v>569</v>
      </c>
      <c r="D112" s="521">
        <v>2400</v>
      </c>
      <c r="E112" s="521"/>
      <c r="F112" s="521"/>
      <c r="G112" s="521"/>
      <c r="H112" s="521"/>
      <c r="I112" s="521"/>
      <c r="J112" s="420">
        <f t="shared" si="5"/>
        <v>2400</v>
      </c>
      <c r="K112" s="420"/>
      <c r="L112" s="540"/>
      <c r="M112" s="540"/>
      <c r="N112" s="541"/>
      <c r="O112" s="542"/>
      <c r="P112" s="542"/>
      <c r="Q112" s="132"/>
      <c r="R112" s="543"/>
    </row>
    <row r="113" spans="1:18" ht="10.9" customHeight="1">
      <c r="A113" s="88">
        <v>55603</v>
      </c>
      <c r="B113" s="88"/>
      <c r="C113" s="88" t="s">
        <v>493</v>
      </c>
      <c r="D113" s="521">
        <v>300</v>
      </c>
      <c r="E113" s="521"/>
      <c r="F113" s="521"/>
      <c r="G113" s="521"/>
      <c r="H113" s="521"/>
      <c r="I113" s="521"/>
      <c r="J113" s="420">
        <f t="shared" si="5"/>
        <v>300</v>
      </c>
      <c r="K113" s="420">
        <f t="shared" si="4"/>
        <v>0</v>
      </c>
      <c r="L113" s="540"/>
      <c r="M113" s="540"/>
      <c r="N113" s="541"/>
      <c r="O113" s="542"/>
      <c r="P113" s="542"/>
      <c r="Q113" s="132"/>
      <c r="R113" s="543"/>
    </row>
    <row r="114" spans="1:18" ht="17.25" hidden="1" customHeight="1">
      <c r="A114" s="88">
        <v>55703</v>
      </c>
      <c r="B114" s="88"/>
      <c r="C114" s="88" t="s">
        <v>527</v>
      </c>
      <c r="D114" s="521"/>
      <c r="E114" s="521"/>
      <c r="F114" s="521"/>
      <c r="G114" s="521"/>
      <c r="H114" s="521"/>
      <c r="I114" s="521"/>
      <c r="J114" s="420">
        <f t="shared" si="5"/>
        <v>0</v>
      </c>
      <c r="K114" s="420">
        <f t="shared" si="4"/>
        <v>0</v>
      </c>
      <c r="L114" s="540"/>
      <c r="M114" s="540"/>
      <c r="N114" s="541"/>
      <c r="O114" s="542"/>
      <c r="P114" s="542"/>
      <c r="Q114" s="132"/>
      <c r="R114" s="543"/>
    </row>
    <row r="115" spans="1:18" ht="17.25" hidden="1" customHeight="1">
      <c r="A115" s="88">
        <v>55799</v>
      </c>
      <c r="B115" s="88"/>
      <c r="C115" s="88" t="s">
        <v>808</v>
      </c>
      <c r="D115" s="521"/>
      <c r="E115" s="521"/>
      <c r="F115" s="521"/>
      <c r="G115" s="521"/>
      <c r="H115" s="521"/>
      <c r="I115" s="521"/>
      <c r="J115" s="420">
        <f t="shared" si="5"/>
        <v>0</v>
      </c>
      <c r="K115" s="420"/>
      <c r="L115" s="540"/>
      <c r="M115" s="540"/>
      <c r="N115" s="541"/>
      <c r="O115" s="542"/>
      <c r="P115" s="542"/>
      <c r="Q115" s="132"/>
      <c r="R115" s="543"/>
    </row>
    <row r="116" spans="1:18" ht="9.6" customHeight="1">
      <c r="A116" s="88">
        <v>56201</v>
      </c>
      <c r="B116" s="88"/>
      <c r="C116" s="88" t="s">
        <v>453</v>
      </c>
      <c r="D116" s="521">
        <v>7047.67</v>
      </c>
      <c r="E116" s="521">
        <f>8400+5258.04</f>
        <v>13658.04</v>
      </c>
      <c r="F116" s="521"/>
      <c r="G116" s="521"/>
      <c r="H116" s="521"/>
      <c r="I116" s="521"/>
      <c r="J116" s="420">
        <f t="shared" si="5"/>
        <v>7047.67</v>
      </c>
      <c r="K116" s="420">
        <f t="shared" si="4"/>
        <v>13658.04</v>
      </c>
      <c r="L116" s="540"/>
      <c r="M116" s="540"/>
      <c r="N116" s="541"/>
      <c r="O116" s="542"/>
      <c r="P116" s="542"/>
      <c r="Q116" s="132"/>
      <c r="R116" s="543"/>
    </row>
    <row r="117" spans="1:18" ht="17.25" hidden="1" customHeight="1">
      <c r="A117" s="88">
        <v>56303</v>
      </c>
      <c r="B117" s="88"/>
      <c r="C117" s="88" t="s">
        <v>494</v>
      </c>
      <c r="D117" s="521"/>
      <c r="E117" s="521"/>
      <c r="F117" s="521"/>
      <c r="G117" s="521"/>
      <c r="H117" s="521"/>
      <c r="I117" s="521"/>
      <c r="J117" s="420">
        <f t="shared" si="5"/>
        <v>0</v>
      </c>
      <c r="K117" s="420">
        <f t="shared" si="4"/>
        <v>0</v>
      </c>
      <c r="L117" s="540"/>
      <c r="M117" s="540"/>
      <c r="N117" s="541"/>
      <c r="O117" s="542"/>
      <c r="P117" s="542"/>
      <c r="Q117" s="132"/>
      <c r="R117" s="543"/>
    </row>
    <row r="118" spans="1:18" ht="11.45" customHeight="1">
      <c r="A118" s="88">
        <v>56304</v>
      </c>
      <c r="B118" s="88"/>
      <c r="C118" s="88" t="s">
        <v>177</v>
      </c>
      <c r="D118" s="521">
        <v>8000</v>
      </c>
      <c r="E118" s="521"/>
      <c r="F118" s="521"/>
      <c r="G118" s="521"/>
      <c r="H118" s="521"/>
      <c r="I118" s="521"/>
      <c r="J118" s="420">
        <f t="shared" si="5"/>
        <v>8000</v>
      </c>
      <c r="K118" s="420">
        <f t="shared" si="4"/>
        <v>0</v>
      </c>
      <c r="L118" s="540"/>
      <c r="M118" s="540"/>
      <c r="N118" s="541"/>
      <c r="O118" s="542"/>
      <c r="P118" s="542"/>
      <c r="Q118" s="132"/>
      <c r="R118" s="543"/>
    </row>
    <row r="119" spans="1:18" ht="17.25" hidden="1" customHeight="1">
      <c r="A119" s="88">
        <v>56305</v>
      </c>
      <c r="B119" s="88"/>
      <c r="C119" s="88" t="s">
        <v>178</v>
      </c>
      <c r="D119" s="521"/>
      <c r="E119" s="521"/>
      <c r="F119" s="521"/>
      <c r="G119" s="521"/>
      <c r="H119" s="521"/>
      <c r="I119" s="521"/>
      <c r="J119" s="420">
        <f t="shared" si="5"/>
        <v>0</v>
      </c>
      <c r="K119" s="609">
        <f t="shared" si="4"/>
        <v>0</v>
      </c>
      <c r="L119" s="540"/>
      <c r="M119" s="540"/>
      <c r="N119" s="541"/>
      <c r="O119" s="542"/>
      <c r="P119" s="542"/>
      <c r="Q119" s="132"/>
      <c r="R119" s="543"/>
    </row>
    <row r="120" spans="1:18" ht="17.25" hidden="1" customHeight="1">
      <c r="A120" s="88">
        <v>61101</v>
      </c>
      <c r="B120" s="88"/>
      <c r="C120" s="88" t="s">
        <v>179</v>
      </c>
      <c r="D120" s="521"/>
      <c r="E120" s="521"/>
      <c r="F120" s="521"/>
      <c r="G120" s="521"/>
      <c r="H120" s="521"/>
      <c r="I120" s="521"/>
      <c r="J120" s="420">
        <f t="shared" si="5"/>
        <v>0</v>
      </c>
      <c r="K120" s="609">
        <f t="shared" si="4"/>
        <v>0</v>
      </c>
      <c r="L120" s="540"/>
      <c r="M120" s="540"/>
      <c r="N120" s="541"/>
      <c r="O120" s="542"/>
      <c r="P120" s="542"/>
      <c r="Q120" s="132"/>
      <c r="R120" s="543"/>
    </row>
    <row r="121" spans="1:18" ht="17.25" hidden="1" customHeight="1">
      <c r="A121" s="88">
        <v>61102</v>
      </c>
      <c r="B121" s="88"/>
      <c r="C121" s="88" t="s">
        <v>194</v>
      </c>
      <c r="D121" s="521"/>
      <c r="E121" s="521"/>
      <c r="F121" s="521"/>
      <c r="G121" s="521"/>
      <c r="H121" s="521"/>
      <c r="I121" s="521"/>
      <c r="J121" s="420">
        <f t="shared" si="5"/>
        <v>0</v>
      </c>
      <c r="K121" s="609">
        <f t="shared" si="4"/>
        <v>0</v>
      </c>
      <c r="L121" s="540"/>
      <c r="M121" s="540"/>
      <c r="N121" s="541"/>
      <c r="O121" s="542"/>
      <c r="P121" s="542"/>
      <c r="Q121" s="132"/>
      <c r="R121" s="543"/>
    </row>
    <row r="122" spans="1:18" ht="17.25" hidden="1" customHeight="1">
      <c r="A122" s="88">
        <v>61103</v>
      </c>
      <c r="B122" s="88"/>
      <c r="C122" s="88"/>
      <c r="D122" s="521"/>
      <c r="E122" s="521"/>
      <c r="F122" s="521"/>
      <c r="G122" s="521"/>
      <c r="H122" s="521"/>
      <c r="I122" s="521"/>
      <c r="J122" s="420">
        <f t="shared" si="5"/>
        <v>0</v>
      </c>
      <c r="K122" s="609">
        <f t="shared" si="4"/>
        <v>0</v>
      </c>
      <c r="L122" s="540"/>
      <c r="M122" s="540"/>
      <c r="N122" s="541"/>
      <c r="O122" s="542"/>
      <c r="P122" s="542"/>
      <c r="Q122" s="132"/>
      <c r="R122" s="543"/>
    </row>
    <row r="123" spans="1:18" ht="17.25" hidden="1" customHeight="1">
      <c r="A123" s="88">
        <v>61104</v>
      </c>
      <c r="B123" s="88"/>
      <c r="C123" s="88" t="s">
        <v>180</v>
      </c>
      <c r="D123" s="521"/>
      <c r="E123" s="521"/>
      <c r="F123" s="521"/>
      <c r="G123" s="521"/>
      <c r="H123" s="521"/>
      <c r="I123" s="521"/>
      <c r="J123" s="420">
        <f t="shared" si="5"/>
        <v>0</v>
      </c>
      <c r="K123" s="420">
        <f t="shared" si="4"/>
        <v>0</v>
      </c>
      <c r="L123" s="540"/>
      <c r="M123" s="540"/>
      <c r="N123" s="541"/>
      <c r="O123" s="542"/>
      <c r="P123" s="542"/>
      <c r="Q123" s="132"/>
      <c r="R123" s="543"/>
    </row>
    <row r="124" spans="1:18" ht="17.25" hidden="1" customHeight="1">
      <c r="A124" s="88">
        <v>61105</v>
      </c>
      <c r="B124" s="88"/>
      <c r="C124" s="88" t="s">
        <v>181</v>
      </c>
      <c r="D124" s="521"/>
      <c r="E124" s="521"/>
      <c r="F124" s="521"/>
      <c r="G124" s="521"/>
      <c r="H124" s="521"/>
      <c r="I124" s="521"/>
      <c r="J124" s="420">
        <f t="shared" si="5"/>
        <v>0</v>
      </c>
      <c r="K124" s="420">
        <f t="shared" si="4"/>
        <v>0</v>
      </c>
      <c r="L124" s="540"/>
      <c r="M124" s="540"/>
      <c r="N124" s="541"/>
      <c r="O124" s="542"/>
      <c r="P124" s="542"/>
      <c r="Q124" s="132"/>
      <c r="R124" s="543"/>
    </row>
    <row r="125" spans="1:18" ht="17.25" hidden="1" customHeight="1">
      <c r="A125" s="88">
        <v>61106</v>
      </c>
      <c r="B125" s="88"/>
      <c r="C125" s="88" t="s">
        <v>182</v>
      </c>
      <c r="D125" s="521"/>
      <c r="E125" s="521"/>
      <c r="F125" s="521"/>
      <c r="G125" s="521"/>
      <c r="H125" s="521"/>
      <c r="I125" s="521"/>
      <c r="J125" s="420">
        <f t="shared" si="5"/>
        <v>0</v>
      </c>
      <c r="K125" s="420">
        <f t="shared" si="4"/>
        <v>0</v>
      </c>
      <c r="L125" s="540"/>
      <c r="M125" s="540"/>
      <c r="N125" s="541"/>
      <c r="O125" s="542"/>
      <c r="P125" s="542"/>
      <c r="Q125" s="132"/>
      <c r="R125" s="543"/>
    </row>
    <row r="126" spans="1:18" ht="17.25" hidden="1" customHeight="1">
      <c r="A126" s="88">
        <v>61107</v>
      </c>
      <c r="B126" s="88"/>
      <c r="C126" s="88" t="s">
        <v>183</v>
      </c>
      <c r="D126" s="521"/>
      <c r="E126" s="521"/>
      <c r="F126" s="521"/>
      <c r="G126" s="521"/>
      <c r="H126" s="521"/>
      <c r="I126" s="521"/>
      <c r="J126" s="420">
        <f t="shared" si="5"/>
        <v>0</v>
      </c>
      <c r="K126" s="420">
        <f t="shared" si="4"/>
        <v>0</v>
      </c>
      <c r="L126" s="540"/>
      <c r="M126" s="540"/>
      <c r="N126" s="541"/>
      <c r="O126" s="542"/>
      <c r="P126" s="542"/>
      <c r="Q126" s="132"/>
      <c r="R126" s="543"/>
    </row>
    <row r="127" spans="1:18" ht="17.25" hidden="1" customHeight="1">
      <c r="A127" s="88">
        <v>61108</v>
      </c>
      <c r="B127" s="88"/>
      <c r="C127" s="88" t="s">
        <v>184</v>
      </c>
      <c r="D127" s="521"/>
      <c r="E127" s="521"/>
      <c r="F127" s="521"/>
      <c r="G127" s="521"/>
      <c r="H127" s="521"/>
      <c r="I127" s="521"/>
      <c r="J127" s="420">
        <f t="shared" si="5"/>
        <v>0</v>
      </c>
      <c r="K127" s="420">
        <f t="shared" si="4"/>
        <v>0</v>
      </c>
      <c r="L127" s="540"/>
      <c r="M127" s="540"/>
      <c r="N127" s="541"/>
      <c r="O127" s="542"/>
      <c r="P127" s="542"/>
      <c r="Q127" s="543"/>
      <c r="R127" s="543"/>
    </row>
    <row r="128" spans="1:18">
      <c r="A128" s="88">
        <v>61199</v>
      </c>
      <c r="B128" s="88"/>
      <c r="C128" s="88" t="s">
        <v>185</v>
      </c>
      <c r="D128" s="521">
        <v>1000</v>
      </c>
      <c r="E128" s="521"/>
      <c r="F128" s="521"/>
      <c r="G128" s="521"/>
      <c r="H128" s="521"/>
      <c r="I128" s="521"/>
      <c r="J128" s="420">
        <f t="shared" si="5"/>
        <v>1000</v>
      </c>
      <c r="K128" s="420">
        <f t="shared" si="4"/>
        <v>0</v>
      </c>
      <c r="L128" s="540"/>
      <c r="M128" s="540"/>
      <c r="N128" s="541"/>
      <c r="O128" s="542"/>
      <c r="P128" s="542"/>
      <c r="Q128" s="543"/>
      <c r="R128" s="91"/>
    </row>
    <row r="129" spans="1:19" ht="17.25" hidden="1" customHeight="1">
      <c r="A129" s="88">
        <v>61201</v>
      </c>
      <c r="B129" s="88"/>
      <c r="C129" s="88" t="s">
        <v>72</v>
      </c>
      <c r="D129" s="521"/>
      <c r="E129" s="521"/>
      <c r="F129" s="521"/>
      <c r="G129" s="521"/>
      <c r="H129" s="521"/>
      <c r="I129" s="521"/>
      <c r="J129" s="420">
        <f t="shared" si="5"/>
        <v>0</v>
      </c>
      <c r="K129" s="420">
        <f t="shared" si="4"/>
        <v>0</v>
      </c>
      <c r="L129" s="540"/>
      <c r="M129" s="540"/>
      <c r="N129" s="541"/>
      <c r="O129" s="542"/>
      <c r="P129" s="542"/>
      <c r="Q129" s="543"/>
      <c r="R129" s="543"/>
    </row>
    <row r="130" spans="1:19" ht="17.25" hidden="1" customHeight="1">
      <c r="A130" s="88">
        <v>61599</v>
      </c>
      <c r="B130" s="88"/>
      <c r="C130" s="88" t="s">
        <v>495</v>
      </c>
      <c r="D130" s="521"/>
      <c r="E130" s="521"/>
      <c r="F130" s="521"/>
      <c r="G130" s="521"/>
      <c r="H130" s="521"/>
      <c r="I130" s="521"/>
      <c r="J130" s="420">
        <f t="shared" si="5"/>
        <v>0</v>
      </c>
      <c r="K130" s="420">
        <f t="shared" si="4"/>
        <v>0</v>
      </c>
      <c r="L130" s="540"/>
      <c r="M130" s="610"/>
      <c r="N130" s="541"/>
      <c r="O130" s="611"/>
      <c r="P130" s="611"/>
      <c r="Q130" s="543"/>
      <c r="R130" s="543"/>
    </row>
    <row r="131" spans="1:19" ht="17.25" hidden="1" customHeight="1">
      <c r="A131" s="88">
        <v>61601</v>
      </c>
      <c r="B131" s="88"/>
      <c r="C131" s="88" t="s">
        <v>186</v>
      </c>
      <c r="D131" s="521"/>
      <c r="E131" s="521"/>
      <c r="F131" s="521"/>
      <c r="G131" s="521"/>
      <c r="H131" s="521"/>
      <c r="I131" s="521"/>
      <c r="J131" s="420">
        <f t="shared" si="5"/>
        <v>0</v>
      </c>
      <c r="K131" s="420">
        <f t="shared" si="4"/>
        <v>0</v>
      </c>
      <c r="L131" s="540"/>
      <c r="M131" s="540"/>
      <c r="N131" s="541"/>
      <c r="O131" s="542"/>
      <c r="P131" s="542"/>
      <c r="Q131" s="543"/>
      <c r="R131" s="543"/>
    </row>
    <row r="132" spans="1:19" ht="17.25" hidden="1" customHeight="1">
      <c r="A132" s="88">
        <v>61602</v>
      </c>
      <c r="B132" s="88"/>
      <c r="C132" s="88" t="s">
        <v>496</v>
      </c>
      <c r="D132" s="521"/>
      <c r="E132" s="521"/>
      <c r="F132" s="521"/>
      <c r="G132" s="521"/>
      <c r="H132" s="521"/>
      <c r="I132" s="521"/>
      <c r="J132" s="420">
        <f t="shared" si="5"/>
        <v>0</v>
      </c>
      <c r="K132" s="420">
        <f t="shared" si="4"/>
        <v>0</v>
      </c>
      <c r="L132" s="540"/>
      <c r="M132" s="540"/>
      <c r="N132" s="541"/>
      <c r="O132" s="542"/>
      <c r="P132" s="542"/>
      <c r="Q132" s="543"/>
      <c r="R132" s="543"/>
    </row>
    <row r="133" spans="1:19" ht="17.25" hidden="1" customHeight="1">
      <c r="A133" s="88">
        <v>61603</v>
      </c>
      <c r="B133" s="88"/>
      <c r="C133" s="88" t="s">
        <v>497</v>
      </c>
      <c r="D133" s="521"/>
      <c r="E133" s="521"/>
      <c r="F133" s="521"/>
      <c r="G133" s="521"/>
      <c r="H133" s="521"/>
      <c r="I133" s="521"/>
      <c r="J133" s="420">
        <f t="shared" si="5"/>
        <v>0</v>
      </c>
      <c r="K133" s="420">
        <f t="shared" si="4"/>
        <v>0</v>
      </c>
      <c r="L133" s="540"/>
      <c r="M133" s="540"/>
      <c r="N133" s="541"/>
      <c r="O133" s="542"/>
      <c r="P133" s="542"/>
      <c r="Q133" s="543"/>
      <c r="R133" s="543"/>
    </row>
    <row r="134" spans="1:19" ht="17.25" hidden="1" customHeight="1">
      <c r="A134" s="88">
        <v>61604</v>
      </c>
      <c r="B134" s="88"/>
      <c r="C134" s="88" t="s">
        <v>498</v>
      </c>
      <c r="D134" s="521"/>
      <c r="E134" s="521"/>
      <c r="F134" s="521"/>
      <c r="G134" s="521"/>
      <c r="H134" s="521"/>
      <c r="I134" s="521"/>
      <c r="J134" s="420">
        <f t="shared" si="5"/>
        <v>0</v>
      </c>
      <c r="K134" s="420"/>
      <c r="L134" s="540"/>
      <c r="M134" s="540"/>
      <c r="N134" s="541"/>
      <c r="O134" s="542"/>
      <c r="P134" s="542"/>
      <c r="Q134" s="543"/>
      <c r="R134" s="612"/>
    </row>
    <row r="135" spans="1:19" ht="17.25" hidden="1" customHeight="1">
      <c r="A135" s="88">
        <v>61607</v>
      </c>
      <c r="B135" s="88"/>
      <c r="C135" s="88" t="s">
        <v>528</v>
      </c>
      <c r="D135" s="521"/>
      <c r="E135" s="521"/>
      <c r="F135" s="521"/>
      <c r="G135" s="521"/>
      <c r="H135" s="521"/>
      <c r="I135" s="521"/>
      <c r="J135" s="420">
        <f t="shared" si="5"/>
        <v>0</v>
      </c>
      <c r="K135" s="420"/>
      <c r="L135" s="540"/>
      <c r="M135" s="540"/>
      <c r="N135" s="541"/>
      <c r="O135" s="542"/>
      <c r="P135" s="542"/>
      <c r="Q135" s="613"/>
      <c r="R135" s="543"/>
    </row>
    <row r="136" spans="1:19" ht="17.25" hidden="1" customHeight="1">
      <c r="A136" s="88">
        <v>61606</v>
      </c>
      <c r="B136" s="88"/>
      <c r="C136" s="88" t="s">
        <v>499</v>
      </c>
      <c r="D136" s="521"/>
      <c r="E136" s="521"/>
      <c r="F136" s="521"/>
      <c r="G136" s="521"/>
      <c r="H136" s="521"/>
      <c r="I136" s="521"/>
      <c r="J136" s="420">
        <f t="shared" si="5"/>
        <v>0</v>
      </c>
      <c r="K136" s="420">
        <f t="shared" si="4"/>
        <v>0</v>
      </c>
      <c r="L136" s="540"/>
      <c r="M136" s="540"/>
      <c r="N136" s="541"/>
      <c r="O136" s="541"/>
      <c r="P136" s="541"/>
      <c r="Q136" s="543"/>
      <c r="R136" s="612"/>
    </row>
    <row r="137" spans="1:19">
      <c r="A137" s="88">
        <v>61602</v>
      </c>
      <c r="B137" s="88"/>
      <c r="C137" s="485" t="s">
        <v>991</v>
      </c>
      <c r="D137" s="521">
        <v>60000</v>
      </c>
      <c r="E137" s="521"/>
      <c r="F137" s="521"/>
      <c r="G137" s="521"/>
      <c r="H137" s="521"/>
      <c r="I137" s="521"/>
      <c r="J137" s="420">
        <f t="shared" si="5"/>
        <v>60000</v>
      </c>
      <c r="K137" s="420"/>
      <c r="L137" s="540"/>
      <c r="M137" s="540"/>
      <c r="N137" s="541"/>
      <c r="O137" s="541"/>
      <c r="P137" s="541"/>
      <c r="Q137" s="543"/>
      <c r="R137" s="612"/>
    </row>
    <row r="138" spans="1:19" ht="13.15" customHeight="1">
      <c r="A138" s="88">
        <v>61699</v>
      </c>
      <c r="B138" s="88"/>
      <c r="C138" s="88" t="s">
        <v>500</v>
      </c>
      <c r="D138" s="521">
        <f>126699.53-5001.4-O336-60000-558.98</f>
        <v>45263.18</v>
      </c>
      <c r="E138" s="521"/>
      <c r="F138" s="521"/>
      <c r="G138" s="521"/>
      <c r="H138" s="521"/>
      <c r="I138" s="521"/>
      <c r="J138" s="420">
        <f t="shared" si="5"/>
        <v>45263.18</v>
      </c>
      <c r="K138" s="420">
        <f t="shared" si="4"/>
        <v>0</v>
      </c>
      <c r="L138" s="540"/>
      <c r="M138" s="540"/>
      <c r="N138" s="541"/>
      <c r="O138" s="541"/>
      <c r="P138" s="541"/>
      <c r="Q138" s="132"/>
      <c r="R138" s="543"/>
    </row>
    <row r="139" spans="1:19" ht="17.25" hidden="1" customHeight="1">
      <c r="A139" s="88">
        <v>71308</v>
      </c>
      <c r="B139" s="88"/>
      <c r="C139" s="88" t="s">
        <v>46</v>
      </c>
      <c r="D139" s="521"/>
      <c r="E139" s="521"/>
      <c r="F139" s="521"/>
      <c r="G139" s="521"/>
      <c r="H139" s="521"/>
      <c r="I139" s="521"/>
      <c r="J139" s="420">
        <f t="shared" si="5"/>
        <v>0</v>
      </c>
      <c r="K139" s="420">
        <f t="shared" si="4"/>
        <v>0</v>
      </c>
      <c r="L139" s="540"/>
      <c r="M139" s="540"/>
      <c r="N139" s="541"/>
      <c r="O139" s="542"/>
      <c r="P139" s="542"/>
      <c r="Q139" s="132"/>
      <c r="R139" s="613"/>
    </row>
    <row r="140" spans="1:19" ht="17.25" hidden="1" customHeight="1">
      <c r="A140" s="88">
        <v>72101</v>
      </c>
      <c r="B140" s="88"/>
      <c r="C140" s="88" t="s">
        <v>290</v>
      </c>
      <c r="D140" s="521"/>
      <c r="E140" s="521"/>
      <c r="F140" s="521"/>
      <c r="G140" s="521"/>
      <c r="H140" s="521"/>
      <c r="I140" s="521"/>
      <c r="J140" s="420">
        <f>H140+F140+D140</f>
        <v>0</v>
      </c>
      <c r="K140" s="420">
        <f>I140+G140+E140</f>
        <v>0</v>
      </c>
      <c r="L140" s="540"/>
      <c r="M140" s="540"/>
      <c r="N140" s="541"/>
      <c r="O140" s="542"/>
      <c r="P140" s="542"/>
      <c r="Q140" s="132"/>
      <c r="R140" s="542"/>
    </row>
    <row r="141" spans="1:19" hidden="1">
      <c r="A141" s="88"/>
      <c r="B141" s="88"/>
      <c r="C141" s="88"/>
      <c r="D141" s="521"/>
      <c r="E141" s="521"/>
      <c r="F141" s="521"/>
      <c r="G141" s="521"/>
      <c r="H141" s="521"/>
      <c r="I141" s="521"/>
      <c r="J141" s="420"/>
      <c r="K141" s="420"/>
      <c r="L141" s="540"/>
      <c r="M141" s="540"/>
      <c r="N141" s="541"/>
      <c r="O141" s="542"/>
      <c r="P141" s="542"/>
      <c r="Q141" s="132"/>
      <c r="R141" s="543"/>
    </row>
    <row r="142" spans="1:19">
      <c r="A142" s="88" t="s">
        <v>395</v>
      </c>
      <c r="B142" s="88"/>
      <c r="C142" s="88"/>
      <c r="D142" s="521">
        <f>SUM(D6:D46,D83:D126,D127:D140,D76:D82)</f>
        <v>220278.84999999998</v>
      </c>
      <c r="E142" s="521">
        <f>SUM(E76:E141,E6:E46)</f>
        <v>151998.16399999999</v>
      </c>
      <c r="F142" s="521">
        <f>SUM(F6:F46,F83:F126,F127:F140,F75:F82)</f>
        <v>15750</v>
      </c>
      <c r="G142" s="521">
        <f>SUM(G6:G46,G83:G126,G127:G140,G77:G82)</f>
        <v>166692.92909999998</v>
      </c>
      <c r="H142" s="521">
        <f>SUM(H6:H46,H83:H126,H127:H140,H77:H82)</f>
        <v>511957.4314</v>
      </c>
      <c r="I142" s="521">
        <f>SUM(I6:I46,I83:I126,I127:I140,I77:I82)</f>
        <v>207501.70800000004</v>
      </c>
      <c r="J142" s="521">
        <f>SUM(J6:J46,J83:J126,J127:J140,J76:J82)</f>
        <v>747986.28140000009</v>
      </c>
      <c r="K142" s="521">
        <f>SUM(K6:K46,K83:K126,K127:K140,K75:K82)</f>
        <v>526192.80109999992</v>
      </c>
      <c r="L142" s="538"/>
      <c r="M142" s="538"/>
      <c r="N142" s="538"/>
      <c r="O142" s="538"/>
      <c r="P142" s="538"/>
      <c r="Q142" s="538">
        <v>132340.73000000001</v>
      </c>
      <c r="R142" s="538"/>
      <c r="S142" s="519">
        <f>SUM(J142:R142)</f>
        <v>1406519.8125</v>
      </c>
    </row>
    <row r="143" spans="1:19">
      <c r="A143" s="90" t="s">
        <v>501</v>
      </c>
      <c r="D143" s="524">
        <f>SUM(D142:E142)</f>
        <v>372277.01399999997</v>
      </c>
      <c r="E143" s="524"/>
      <c r="F143" s="1686">
        <f>F142+G142</f>
        <v>182442.92909999998</v>
      </c>
      <c r="G143" s="1686"/>
      <c r="H143" s="1686">
        <f>H142+I142</f>
        <v>719459.13939999999</v>
      </c>
      <c r="I143" s="1686"/>
      <c r="Q143" s="1165">
        <f>Q142-4490.55</f>
        <v>127850.18000000001</v>
      </c>
    </row>
    <row r="144" spans="1:19">
      <c r="A144" s="90" t="s">
        <v>502</v>
      </c>
      <c r="D144" s="262">
        <v>0.25</v>
      </c>
      <c r="E144" s="524">
        <f>E142+G142+I142</f>
        <v>526192.80110000004</v>
      </c>
      <c r="F144" s="525">
        <f>'Plan 10'!E97</f>
        <v>526192.80000000005</v>
      </c>
      <c r="G144" s="92"/>
      <c r="H144" s="90" t="s">
        <v>226</v>
      </c>
      <c r="I144" s="92"/>
      <c r="J144" s="524">
        <f>D142+F142+H142</f>
        <v>747986.28139999998</v>
      </c>
      <c r="K144" s="525">
        <f>'Plan 10'!F97</f>
        <v>877586.28</v>
      </c>
      <c r="L144" s="92"/>
    </row>
    <row r="145" spans="3:18">
      <c r="C145" s="92"/>
      <c r="D145" s="92"/>
      <c r="E145" s="92"/>
      <c r="F145" s="92"/>
      <c r="G145" s="92"/>
      <c r="K145" s="539"/>
      <c r="L145" s="1693"/>
      <c r="M145" s="1693"/>
      <c r="N145" s="1693"/>
      <c r="O145" s="1102"/>
      <c r="P145" s="1102"/>
      <c r="Q145" s="132"/>
      <c r="R145" s="543"/>
    </row>
    <row r="146" spans="3:18" hidden="1">
      <c r="C146" s="92"/>
      <c r="D146" s="92"/>
      <c r="E146" s="92"/>
      <c r="F146" s="92"/>
      <c r="G146" s="525">
        <f>K144-J144</f>
        <v>129599.99860000005</v>
      </c>
      <c r="K146" s="539"/>
      <c r="L146" s="1693">
        <v>133175.59</v>
      </c>
      <c r="M146" s="1693"/>
      <c r="N146" s="1693"/>
      <c r="O146" s="1102"/>
      <c r="P146" s="1102"/>
      <c r="Q146" s="1687"/>
      <c r="R146" s="1687"/>
    </row>
    <row r="147" spans="3:18" hidden="1">
      <c r="K147" s="539"/>
      <c r="L147" s="1693"/>
      <c r="M147" s="1693"/>
      <c r="N147" s="1693"/>
      <c r="O147" s="1102"/>
      <c r="P147" s="1102"/>
      <c r="Q147" s="614"/>
      <c r="R147" s="543"/>
    </row>
    <row r="148" spans="3:18" hidden="1">
      <c r="E148" s="525">
        <f>E116+E92+E8+E6</f>
        <v>135560.52000000002</v>
      </c>
      <c r="G148" s="525">
        <f>G8+G6</f>
        <v>147218.57699999999</v>
      </c>
      <c r="I148" s="525">
        <f>I77+I42+I8+I6</f>
        <v>189382.75</v>
      </c>
      <c r="Q148" s="532"/>
    </row>
    <row r="149" spans="3:18" hidden="1">
      <c r="N149" s="526">
        <f>L147+E144+J144</f>
        <v>1274179.0825</v>
      </c>
      <c r="Q149" s="531">
        <f>Q152+F144+K144</f>
        <v>3017188.09</v>
      </c>
    </row>
    <row r="150" spans="3:18" hidden="1">
      <c r="K150" s="522" t="s">
        <v>809</v>
      </c>
      <c r="M150" s="1692" t="e">
        <f>'Plan 10'!E129+#REF!+#REF!+#REF!+#REF!+N154</f>
        <v>#REF!</v>
      </c>
      <c r="N150" s="1692"/>
    </row>
    <row r="151" spans="3:18" hidden="1">
      <c r="K151" s="522" t="s">
        <v>810</v>
      </c>
      <c r="N151" s="526">
        <f>SUM(L142,R142,N6:N46,N83:N125,N127:N140)</f>
        <v>0</v>
      </c>
    </row>
    <row r="152" spans="3:18" hidden="1">
      <c r="M152" s="526" t="s">
        <v>811</v>
      </c>
      <c r="N152" s="526" t="e">
        <f>M150-N151</f>
        <v>#REF!</v>
      </c>
      <c r="Q152" s="1698">
        <f>'Plan 10'!E151</f>
        <v>1613409.01</v>
      </c>
      <c r="R152" s="1698"/>
    </row>
    <row r="153" spans="3:18" hidden="1"/>
    <row r="154" spans="3:18" hidden="1">
      <c r="K154" s="522" t="s">
        <v>812</v>
      </c>
      <c r="N154" s="526" t="e">
        <f>#REF!-#REF!-#REF!</f>
        <v>#REF!</v>
      </c>
    </row>
    <row r="155" spans="3:18" hidden="1">
      <c r="K155" s="522" t="s">
        <v>813</v>
      </c>
      <c r="N155" s="526">
        <f>N131</f>
        <v>0</v>
      </c>
    </row>
    <row r="156" spans="3:18" hidden="1">
      <c r="L156" s="526" t="s">
        <v>811</v>
      </c>
      <c r="N156" s="526" t="e">
        <f>N154-N155</f>
        <v>#REF!</v>
      </c>
    </row>
    <row r="157" spans="3:18" hidden="1"/>
    <row r="158" spans="3:18" hidden="1">
      <c r="K158" s="522" t="s">
        <v>814</v>
      </c>
      <c r="N158" s="526">
        <f>'Plan 10'!E130+'Plan 10'!E147+'Plan 10'!E131+'Plan 10'!E146</f>
        <v>0</v>
      </c>
    </row>
    <row r="159" spans="3:18" hidden="1">
      <c r="K159" s="522" t="s">
        <v>815</v>
      </c>
    </row>
    <row r="160" spans="3:18" hidden="1">
      <c r="K160" s="522" t="s">
        <v>816</v>
      </c>
      <c r="N160" s="526">
        <f>M142+O142</f>
        <v>0</v>
      </c>
    </row>
    <row r="161" spans="12:14" hidden="1">
      <c r="N161" s="526">
        <f>N158-N160</f>
        <v>0</v>
      </c>
    </row>
    <row r="162" spans="12:14" hidden="1">
      <c r="L162" s="519">
        <v>4693.09</v>
      </c>
    </row>
    <row r="163" spans="12:14" hidden="1">
      <c r="L163" s="519">
        <f>L146-L162</f>
        <v>128482.5</v>
      </c>
      <c r="M163" s="519">
        <f>L163/12</f>
        <v>10706.875</v>
      </c>
    </row>
    <row r="164" spans="12:14" hidden="1">
      <c r="L164" s="519">
        <v>118.97</v>
      </c>
    </row>
    <row r="165" spans="12:14" hidden="1"/>
    <row r="166" spans="12:14" hidden="1"/>
    <row r="167" spans="12:14" hidden="1"/>
    <row r="168" spans="12:14" hidden="1"/>
    <row r="169" spans="12:14" hidden="1"/>
    <row r="170" spans="12:14" hidden="1"/>
    <row r="171" spans="12:14" hidden="1"/>
    <row r="172" spans="12:14" hidden="1"/>
    <row r="173" spans="12:14" hidden="1"/>
    <row r="174" spans="12:14" hidden="1"/>
    <row r="175" spans="12:14" hidden="1"/>
    <row r="176" spans="12:14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spans="12:12" hidden="1"/>
    <row r="194" spans="12:12" hidden="1">
      <c r="L194" s="519">
        <f>SUM(L163:L193)</f>
        <v>128601.47</v>
      </c>
    </row>
    <row r="195" spans="12:12" hidden="1"/>
    <row r="196" spans="12:12" hidden="1"/>
    <row r="197" spans="12:12" hidden="1"/>
    <row r="198" spans="12:12" hidden="1"/>
    <row r="199" spans="12:12" hidden="1"/>
    <row r="200" spans="12:12" hidden="1"/>
    <row r="201" spans="12:12" hidden="1"/>
    <row r="202" spans="12:12" hidden="1"/>
    <row r="203" spans="12:12" hidden="1"/>
    <row r="204" spans="12:12" hidden="1"/>
    <row r="205" spans="12:12" hidden="1"/>
    <row r="206" spans="12:12" hidden="1"/>
    <row r="207" spans="12:12" hidden="1"/>
    <row r="208" spans="12:12" hidden="1"/>
    <row r="209" spans="1:19" hidden="1"/>
    <row r="210" spans="1:19" hidden="1"/>
    <row r="211" spans="1:19" ht="18.75" customHeight="1">
      <c r="A211" s="1694" t="s">
        <v>1165</v>
      </c>
      <c r="B211" s="1694"/>
      <c r="C211" s="1694"/>
      <c r="D211" s="1694"/>
      <c r="E211" s="1694"/>
      <c r="F211" s="1694"/>
      <c r="G211" s="1694"/>
      <c r="H211" s="1694"/>
      <c r="I211" s="1694"/>
      <c r="J211" s="1694"/>
      <c r="K211" s="1694"/>
      <c r="L211" s="1694"/>
      <c r="M211" s="428"/>
      <c r="N211" s="428"/>
      <c r="O211" s="428"/>
      <c r="P211" s="428"/>
      <c r="Q211" s="428"/>
      <c r="R211" s="543"/>
      <c r="S211" s="132"/>
    </row>
    <row r="212" spans="1:19" ht="12.75" customHeight="1">
      <c r="A212" s="605"/>
      <c r="B212" s="605"/>
      <c r="C212" s="605"/>
      <c r="D212" s="605"/>
      <c r="E212" s="605"/>
      <c r="F212" s="605"/>
      <c r="G212" s="605"/>
      <c r="H212" s="605"/>
      <c r="I212" s="605"/>
      <c r="J212" s="605"/>
      <c r="K212" s="605"/>
      <c r="L212" s="605"/>
      <c r="M212" s="428"/>
      <c r="N212" s="428"/>
      <c r="O212" s="428"/>
      <c r="P212" s="428"/>
      <c r="Q212" s="428"/>
      <c r="R212" s="543"/>
      <c r="S212" s="132"/>
    </row>
    <row r="213" spans="1:19" ht="15.75">
      <c r="A213" s="1696" t="s">
        <v>937</v>
      </c>
      <c r="B213" s="1697"/>
      <c r="C213" s="1697"/>
      <c r="D213" s="1158" t="s">
        <v>913</v>
      </c>
      <c r="E213" s="1158" t="s">
        <v>914</v>
      </c>
      <c r="F213" s="1158" t="s">
        <v>892</v>
      </c>
      <c r="G213" s="1158" t="s">
        <v>915</v>
      </c>
      <c r="H213" s="1158" t="s">
        <v>896</v>
      </c>
      <c r="I213" s="1158" t="s">
        <v>923</v>
      </c>
      <c r="J213" s="1107" t="s">
        <v>922</v>
      </c>
      <c r="K213" s="1158" t="s">
        <v>924</v>
      </c>
      <c r="L213" s="1107" t="s">
        <v>1177</v>
      </c>
      <c r="M213" s="877"/>
      <c r="N213" s="877"/>
      <c r="O213" s="877"/>
      <c r="P213" s="877"/>
      <c r="Q213" s="877"/>
      <c r="R213" s="543"/>
      <c r="S213" s="132"/>
    </row>
    <row r="214" spans="1:19" ht="78.75">
      <c r="A214" s="1697"/>
      <c r="B214" s="1697"/>
      <c r="C214" s="1697"/>
      <c r="D214" s="604" t="s">
        <v>916</v>
      </c>
      <c r="E214" s="1124" t="s">
        <v>917</v>
      </c>
      <c r="F214" s="1159" t="s">
        <v>918</v>
      </c>
      <c r="G214" s="438" t="s">
        <v>921</v>
      </c>
      <c r="H214" s="438" t="s">
        <v>920</v>
      </c>
      <c r="I214" s="1159" t="s">
        <v>925</v>
      </c>
      <c r="J214" s="1106" t="s">
        <v>927</v>
      </c>
      <c r="K214" s="1159" t="s">
        <v>928</v>
      </c>
      <c r="L214" s="1106" t="s">
        <v>1179</v>
      </c>
      <c r="M214" s="1103"/>
      <c r="N214" s="1104"/>
      <c r="O214" s="1105"/>
      <c r="P214" s="1105"/>
      <c r="Q214" s="1103"/>
      <c r="R214" s="1100"/>
      <c r="S214" s="132"/>
    </row>
    <row r="215" spans="1:19">
      <c r="A215" s="1697"/>
      <c r="B215" s="1697"/>
      <c r="C215" s="1697"/>
      <c r="D215" s="438">
        <v>0.75</v>
      </c>
      <c r="E215" s="1124" t="s">
        <v>919</v>
      </c>
      <c r="F215" s="438">
        <v>0.75</v>
      </c>
      <c r="G215" s="1124" t="s">
        <v>919</v>
      </c>
      <c r="H215" s="438">
        <v>0.75</v>
      </c>
      <c r="I215" s="1159" t="s">
        <v>926</v>
      </c>
      <c r="J215" s="1106" t="s">
        <v>926</v>
      </c>
      <c r="K215" s="438">
        <v>0.75</v>
      </c>
      <c r="L215" s="438" t="s">
        <v>1178</v>
      </c>
      <c r="M215" s="1103"/>
      <c r="N215" s="1104"/>
      <c r="O215" s="1105"/>
      <c r="P215" s="1105"/>
      <c r="Q215" s="1103"/>
      <c r="R215" s="1100"/>
      <c r="S215" s="132"/>
    </row>
    <row r="216" spans="1:19">
      <c r="A216" s="88">
        <v>51101</v>
      </c>
      <c r="B216" s="88" t="s">
        <v>11</v>
      </c>
      <c r="C216" s="88" t="s">
        <v>74</v>
      </c>
      <c r="D216" s="521"/>
      <c r="E216" s="521"/>
      <c r="F216" s="521">
        <f>'Remurac. X Lt'!H8+'Remurac. X Lt'!I8</f>
        <v>62068</v>
      </c>
      <c r="G216" s="521"/>
      <c r="H216" s="521"/>
      <c r="I216" s="420"/>
      <c r="J216" s="420"/>
      <c r="K216" s="518"/>
      <c r="L216" s="518"/>
      <c r="M216" s="540"/>
      <c r="N216" s="541"/>
      <c r="O216" s="542"/>
      <c r="P216" s="542"/>
      <c r="Q216" s="132"/>
      <c r="R216" s="543"/>
      <c r="S216" s="132"/>
    </row>
    <row r="217" spans="1:19" hidden="1">
      <c r="A217" s="88">
        <v>51102</v>
      </c>
      <c r="B217" s="88" t="s">
        <v>12</v>
      </c>
      <c r="C217" s="88" t="s">
        <v>69</v>
      </c>
      <c r="D217" s="521"/>
      <c r="E217" s="521"/>
      <c r="F217" s="521"/>
      <c r="G217" s="521"/>
      <c r="H217" s="521"/>
      <c r="I217" s="420"/>
      <c r="J217" s="420"/>
      <c r="K217" s="518"/>
      <c r="L217" s="518"/>
      <c r="M217" s="540"/>
      <c r="N217" s="541"/>
      <c r="O217" s="542"/>
      <c r="P217" s="542"/>
      <c r="Q217" s="132"/>
      <c r="R217" s="543"/>
      <c r="S217" s="132"/>
    </row>
    <row r="218" spans="1:19">
      <c r="A218" s="88">
        <v>51103</v>
      </c>
      <c r="B218" s="88" t="s">
        <v>13</v>
      </c>
      <c r="C218" s="88" t="s">
        <v>15</v>
      </c>
      <c r="D218" s="495"/>
      <c r="E218" s="521"/>
      <c r="F218" s="525">
        <f>'Remurac. X Lt'!H9+'Remurac. X Lt'!I9</f>
        <v>4969</v>
      </c>
      <c r="G218" s="521"/>
      <c r="H218" s="521"/>
      <c r="I218" s="420"/>
      <c r="J218" s="420"/>
      <c r="K218" s="518"/>
      <c r="L218" s="518"/>
      <c r="M218" s="540"/>
      <c r="N218" s="541"/>
      <c r="O218" s="542"/>
      <c r="P218" s="542"/>
      <c r="Q218" s="132"/>
      <c r="R218" s="543"/>
      <c r="S218" s="132"/>
    </row>
    <row r="219" spans="1:19" hidden="1">
      <c r="A219" s="88">
        <v>51104</v>
      </c>
      <c r="B219" s="88" t="s">
        <v>14</v>
      </c>
      <c r="C219" s="88" t="s">
        <v>75</v>
      </c>
      <c r="D219" s="521"/>
      <c r="E219" s="521"/>
      <c r="F219" s="521"/>
      <c r="G219" s="521"/>
      <c r="H219" s="521"/>
      <c r="I219" s="420"/>
      <c r="J219" s="420"/>
      <c r="K219" s="518"/>
      <c r="L219" s="518"/>
      <c r="M219" s="540"/>
      <c r="N219" s="541"/>
      <c r="O219" s="542"/>
      <c r="P219" s="542"/>
      <c r="Q219" s="132"/>
      <c r="R219" s="543"/>
      <c r="S219" s="132"/>
    </row>
    <row r="220" spans="1:19" hidden="1">
      <c r="A220" s="88">
        <v>51105</v>
      </c>
      <c r="B220" s="88"/>
      <c r="C220" s="88" t="s">
        <v>11</v>
      </c>
      <c r="D220" s="521"/>
      <c r="E220" s="521"/>
      <c r="F220" s="521"/>
      <c r="G220" s="521"/>
      <c r="H220" s="521"/>
      <c r="I220" s="420"/>
      <c r="J220" s="420"/>
      <c r="K220" s="518"/>
      <c r="L220" s="518"/>
      <c r="M220" s="540"/>
      <c r="N220" s="541"/>
      <c r="O220" s="542"/>
      <c r="P220" s="542"/>
      <c r="Q220" s="132"/>
      <c r="R220" s="543"/>
      <c r="S220" s="132"/>
    </row>
    <row r="221" spans="1:19" hidden="1">
      <c r="A221" s="88">
        <v>51107</v>
      </c>
      <c r="B221" s="88" t="s">
        <v>26</v>
      </c>
      <c r="C221" s="88" t="s">
        <v>76</v>
      </c>
      <c r="D221" s="521"/>
      <c r="E221" s="521"/>
      <c r="F221" s="521"/>
      <c r="G221" s="521"/>
      <c r="H221" s="521"/>
      <c r="I221" s="420"/>
      <c r="J221" s="420"/>
      <c r="K221" s="518"/>
      <c r="L221" s="518"/>
      <c r="M221" s="540"/>
      <c r="N221" s="541"/>
      <c r="O221" s="542"/>
      <c r="P221" s="542"/>
      <c r="Q221" s="132"/>
      <c r="R221" s="543"/>
      <c r="S221" s="132"/>
    </row>
    <row r="222" spans="1:19" hidden="1">
      <c r="A222" s="88">
        <v>51201</v>
      </c>
      <c r="B222" s="88" t="s">
        <v>15</v>
      </c>
      <c r="C222" s="88" t="s">
        <v>77</v>
      </c>
      <c r="D222" s="521"/>
      <c r="E222" s="521"/>
      <c r="F222" s="521"/>
      <c r="G222" s="521"/>
      <c r="H222" s="521"/>
      <c r="I222" s="420"/>
      <c r="J222" s="420"/>
      <c r="K222" s="518"/>
      <c r="L222" s="518"/>
      <c r="M222" s="540"/>
      <c r="N222" s="541"/>
      <c r="O222" s="542"/>
      <c r="P222" s="542"/>
      <c r="Q222" s="132"/>
      <c r="R222" s="543"/>
      <c r="S222" s="132"/>
    </row>
    <row r="223" spans="1:19">
      <c r="A223" s="88">
        <v>51202</v>
      </c>
      <c r="B223" s="88" t="s">
        <v>20</v>
      </c>
      <c r="C223" s="88" t="s">
        <v>69</v>
      </c>
      <c r="D223" s="521"/>
      <c r="E223" s="521"/>
      <c r="F223" s="1164">
        <f>'Remurac. X Lt'!H11</f>
        <v>54432</v>
      </c>
      <c r="G223" s="521"/>
      <c r="H223" s="521"/>
      <c r="I223" s="420"/>
      <c r="J223" s="420"/>
      <c r="K223" s="518"/>
      <c r="L223" s="518"/>
      <c r="M223" s="540"/>
      <c r="N223" s="541"/>
      <c r="O223" s="542"/>
      <c r="P223" s="542"/>
      <c r="Q223" s="132"/>
      <c r="R223" s="543"/>
      <c r="S223" s="132"/>
    </row>
    <row r="224" spans="1:19" hidden="1">
      <c r="A224" s="88">
        <v>51203</v>
      </c>
      <c r="B224" s="88" t="s">
        <v>21</v>
      </c>
      <c r="C224" s="88" t="s">
        <v>15</v>
      </c>
      <c r="D224" s="521"/>
      <c r="E224" s="521"/>
      <c r="F224" s="521"/>
      <c r="G224" s="521"/>
      <c r="H224" s="521"/>
      <c r="I224" s="420"/>
      <c r="J224" s="420"/>
      <c r="K224" s="518"/>
      <c r="L224" s="518"/>
      <c r="M224" s="540"/>
      <c r="N224" s="541"/>
      <c r="O224" s="542"/>
      <c r="P224" s="542"/>
      <c r="Q224" s="132"/>
      <c r="R224" s="543"/>
      <c r="S224" s="132"/>
    </row>
    <row r="225" spans="1:19" hidden="1">
      <c r="A225" s="88">
        <v>51301</v>
      </c>
      <c r="B225" s="88" t="s">
        <v>25</v>
      </c>
      <c r="C225" s="88" t="s">
        <v>70</v>
      </c>
      <c r="D225" s="521"/>
      <c r="E225" s="521"/>
      <c r="F225" s="521"/>
      <c r="G225" s="521"/>
      <c r="H225" s="521"/>
      <c r="I225" s="420"/>
      <c r="J225" s="420"/>
      <c r="K225" s="518"/>
      <c r="L225" s="518"/>
      <c r="M225" s="540"/>
      <c r="N225" s="541"/>
      <c r="O225" s="542"/>
      <c r="P225" s="542"/>
      <c r="Q225" s="132"/>
      <c r="R225" s="543"/>
      <c r="S225" s="132"/>
    </row>
    <row r="226" spans="1:19">
      <c r="A226" s="88">
        <v>51401</v>
      </c>
      <c r="B226" s="88" t="s">
        <v>27</v>
      </c>
      <c r="C226" s="88" t="s">
        <v>37</v>
      </c>
      <c r="D226" s="521"/>
      <c r="E226" s="521"/>
      <c r="F226" s="521">
        <f>'Remurac. X Lt'!H12+'Remurac. X Lt'!I12</f>
        <v>5407.5</v>
      </c>
      <c r="G226" s="521"/>
      <c r="H226" s="521"/>
      <c r="I226" s="420"/>
      <c r="J226" s="420"/>
      <c r="K226" s="518"/>
      <c r="L226" s="518"/>
      <c r="M226" s="540"/>
      <c r="N226" s="541"/>
      <c r="O226" s="542"/>
      <c r="P226" s="542"/>
      <c r="Q226" s="132"/>
      <c r="R226" s="543"/>
      <c r="S226" s="132"/>
    </row>
    <row r="227" spans="1:19">
      <c r="A227" s="88">
        <v>51501</v>
      </c>
      <c r="B227" s="88" t="s">
        <v>16</v>
      </c>
      <c r="C227" s="88" t="s">
        <v>38</v>
      </c>
      <c r="D227" s="521"/>
      <c r="E227" s="521"/>
      <c r="F227" s="521">
        <f>'Remurac. X Lt'!H13+'Remurac. X Lt'!I13</f>
        <v>3343.1400000000003</v>
      </c>
      <c r="G227" s="521"/>
      <c r="H227" s="521"/>
      <c r="I227" s="420"/>
      <c r="J227" s="420"/>
      <c r="K227" s="518"/>
      <c r="L227" s="518"/>
      <c r="M227" s="540"/>
      <c r="N227" s="541"/>
      <c r="O227" s="542"/>
      <c r="P227" s="542"/>
      <c r="Q227" s="132"/>
      <c r="R227" s="543"/>
      <c r="S227" s="132"/>
    </row>
    <row r="228" spans="1:19" hidden="1">
      <c r="A228" s="88">
        <v>51602</v>
      </c>
      <c r="B228" s="88" t="s">
        <v>29</v>
      </c>
      <c r="C228" s="88" t="s">
        <v>490</v>
      </c>
      <c r="D228" s="521"/>
      <c r="E228" s="521"/>
      <c r="F228" s="521"/>
      <c r="G228" s="521"/>
      <c r="H228" s="521"/>
      <c r="I228" s="420"/>
      <c r="J228" s="420"/>
      <c r="K228" s="518"/>
      <c r="L228" s="518"/>
      <c r="M228" s="540"/>
      <c r="N228" s="541"/>
      <c r="O228" s="542"/>
      <c r="P228" s="542"/>
      <c r="Q228" s="132"/>
      <c r="R228" s="543"/>
      <c r="S228" s="132"/>
    </row>
    <row r="229" spans="1:19" hidden="1">
      <c r="A229" s="88">
        <v>51701</v>
      </c>
      <c r="B229" s="88"/>
      <c r="C229" s="88" t="s">
        <v>39</v>
      </c>
      <c r="D229" s="521"/>
      <c r="E229" s="521"/>
      <c r="F229" s="521"/>
      <c r="G229" s="521"/>
      <c r="H229" s="521"/>
      <c r="I229" s="420"/>
      <c r="J229" s="420"/>
      <c r="K229" s="518"/>
      <c r="L229" s="518"/>
      <c r="M229" s="540"/>
      <c r="N229" s="541"/>
      <c r="O229" s="542"/>
      <c r="P229" s="542"/>
      <c r="Q229" s="132"/>
      <c r="R229" s="543"/>
      <c r="S229" s="132"/>
    </row>
    <row r="230" spans="1:19" hidden="1">
      <c r="A230" s="88">
        <v>51901</v>
      </c>
      <c r="B230" s="88"/>
      <c r="C230" s="88" t="s">
        <v>12</v>
      </c>
      <c r="D230" s="521"/>
      <c r="E230" s="521"/>
      <c r="F230" s="521"/>
      <c r="G230" s="521"/>
      <c r="H230" s="521"/>
      <c r="I230" s="420"/>
      <c r="J230" s="420"/>
      <c r="K230" s="518"/>
      <c r="L230" s="518"/>
      <c r="M230" s="540"/>
      <c r="N230" s="541"/>
      <c r="O230" s="542"/>
      <c r="P230" s="542"/>
      <c r="Q230" s="132"/>
      <c r="R230" s="543"/>
      <c r="S230" s="132"/>
    </row>
    <row r="231" spans="1:19" hidden="1">
      <c r="A231" s="88">
        <v>51902</v>
      </c>
      <c r="B231" s="88" t="s">
        <v>30</v>
      </c>
      <c r="C231" s="88" t="s">
        <v>78</v>
      </c>
      <c r="D231" s="521"/>
      <c r="E231" s="521"/>
      <c r="F231" s="521"/>
      <c r="G231" s="521"/>
      <c r="H231" s="521"/>
      <c r="I231" s="420"/>
      <c r="J231" s="420"/>
      <c r="K231" s="518"/>
      <c r="L231" s="518"/>
      <c r="M231" s="540"/>
      <c r="N231" s="541"/>
      <c r="O231" s="542"/>
      <c r="P231" s="542"/>
      <c r="Q231" s="132"/>
      <c r="R231" s="543"/>
      <c r="S231" s="132"/>
    </row>
    <row r="232" spans="1:19" hidden="1">
      <c r="A232" s="88">
        <v>51999</v>
      </c>
      <c r="B232" s="88" t="s">
        <v>28</v>
      </c>
      <c r="C232" s="88" t="s">
        <v>120</v>
      </c>
      <c r="D232" s="521"/>
      <c r="E232" s="521"/>
      <c r="F232" s="521"/>
      <c r="G232" s="521"/>
      <c r="H232" s="521"/>
      <c r="I232" s="420"/>
      <c r="J232" s="420"/>
      <c r="K232" s="518"/>
      <c r="L232" s="518"/>
      <c r="M232" s="540"/>
      <c r="N232" s="541"/>
      <c r="O232" s="542"/>
      <c r="P232" s="542"/>
      <c r="Q232" s="132"/>
      <c r="R232" s="543"/>
      <c r="S232" s="132"/>
    </row>
    <row r="233" spans="1:19" hidden="1">
      <c r="A233" s="88"/>
      <c r="B233" s="88"/>
      <c r="C233" s="88" t="s">
        <v>491</v>
      </c>
      <c r="D233" s="521"/>
      <c r="E233" s="521"/>
      <c r="F233" s="521"/>
      <c r="G233" s="521"/>
      <c r="H233" s="521"/>
      <c r="I233" s="420"/>
      <c r="J233" s="420"/>
      <c r="K233" s="518"/>
      <c r="L233" s="518"/>
      <c r="M233" s="540"/>
      <c r="N233" s="541"/>
      <c r="O233" s="542"/>
      <c r="P233" s="542"/>
      <c r="Q233" s="132"/>
      <c r="R233" s="543"/>
      <c r="S233" s="132"/>
    </row>
    <row r="234" spans="1:19" hidden="1">
      <c r="A234" s="88">
        <v>54101</v>
      </c>
      <c r="B234" s="88" t="s">
        <v>31</v>
      </c>
      <c r="C234" s="88" t="s">
        <v>121</v>
      </c>
      <c r="D234" s="521"/>
      <c r="E234" s="521"/>
      <c r="F234" s="521"/>
      <c r="G234" s="521"/>
      <c r="H234" s="521"/>
      <c r="I234" s="420"/>
      <c r="J234" s="420"/>
      <c r="K234" s="518"/>
      <c r="L234" s="518"/>
      <c r="M234" s="540"/>
      <c r="N234" s="541"/>
      <c r="O234" s="542"/>
      <c r="P234" s="542"/>
      <c r="Q234" s="132"/>
      <c r="R234" s="543"/>
      <c r="S234" s="132"/>
    </row>
    <row r="235" spans="1:19" hidden="1">
      <c r="A235" s="88">
        <v>54103</v>
      </c>
      <c r="B235" s="88" t="s">
        <v>32</v>
      </c>
      <c r="C235" s="88" t="s">
        <v>122</v>
      </c>
      <c r="D235" s="521"/>
      <c r="E235" s="521"/>
      <c r="F235" s="521"/>
      <c r="G235" s="521"/>
      <c r="H235" s="521"/>
      <c r="I235" s="420"/>
      <c r="J235" s="420"/>
      <c r="K235" s="518"/>
      <c r="L235" s="518"/>
      <c r="M235" s="540"/>
      <c r="N235" s="541"/>
      <c r="O235" s="542"/>
      <c r="P235" s="542"/>
      <c r="Q235" s="132"/>
      <c r="R235" s="543"/>
      <c r="S235" s="132"/>
    </row>
    <row r="236" spans="1:19" hidden="1">
      <c r="A236" s="88">
        <v>54104</v>
      </c>
      <c r="B236" s="88" t="s">
        <v>33</v>
      </c>
      <c r="C236" s="88" t="s">
        <v>123</v>
      </c>
      <c r="D236" s="521"/>
      <c r="E236" s="521"/>
      <c r="F236" s="521"/>
      <c r="G236" s="521"/>
      <c r="H236" s="521"/>
      <c r="I236" s="420"/>
      <c r="J236" s="420"/>
      <c r="K236" s="518"/>
      <c r="L236" s="518"/>
      <c r="M236" s="540"/>
      <c r="N236" s="541"/>
      <c r="O236" s="542"/>
      <c r="P236" s="542"/>
      <c r="Q236" s="132"/>
      <c r="R236" s="543"/>
      <c r="S236" s="132"/>
    </row>
    <row r="237" spans="1:19" hidden="1">
      <c r="A237" s="88">
        <v>54105</v>
      </c>
      <c r="B237" s="88"/>
      <c r="C237" s="88" t="s">
        <v>124</v>
      </c>
      <c r="D237" s="521"/>
      <c r="E237" s="521"/>
      <c r="F237" s="521"/>
      <c r="G237" s="521"/>
      <c r="H237" s="521"/>
      <c r="I237" s="420"/>
      <c r="J237" s="420"/>
      <c r="K237" s="518"/>
      <c r="L237" s="518"/>
      <c r="M237" s="540"/>
      <c r="N237" s="541"/>
      <c r="O237" s="542"/>
      <c r="P237" s="542"/>
      <c r="Q237" s="132"/>
      <c r="R237" s="543"/>
      <c r="S237" s="132"/>
    </row>
    <row r="238" spans="1:19" hidden="1">
      <c r="A238" s="88">
        <v>54106</v>
      </c>
      <c r="B238" s="88" t="s">
        <v>34</v>
      </c>
      <c r="C238" s="88" t="s">
        <v>125</v>
      </c>
      <c r="D238" s="521"/>
      <c r="E238" s="521"/>
      <c r="F238" s="521"/>
      <c r="G238" s="521"/>
      <c r="H238" s="521"/>
      <c r="I238" s="420"/>
      <c r="J238" s="420"/>
      <c r="K238" s="518"/>
      <c r="L238" s="518"/>
      <c r="M238" s="540"/>
      <c r="N238" s="541"/>
      <c r="O238" s="542"/>
      <c r="P238" s="542"/>
      <c r="Q238" s="132"/>
      <c r="R238" s="543"/>
      <c r="S238" s="132"/>
    </row>
    <row r="239" spans="1:19" hidden="1">
      <c r="A239" s="88">
        <v>54107</v>
      </c>
      <c r="B239" s="88" t="s">
        <v>47</v>
      </c>
      <c r="C239" s="88" t="s">
        <v>126</v>
      </c>
      <c r="D239" s="521"/>
      <c r="E239" s="521"/>
      <c r="F239" s="521"/>
      <c r="G239" s="521"/>
      <c r="H239" s="521"/>
      <c r="I239" s="420"/>
      <c r="J239" s="420"/>
      <c r="K239" s="518"/>
      <c r="L239" s="518"/>
      <c r="M239" s="540"/>
      <c r="N239" s="541"/>
      <c r="O239" s="542"/>
      <c r="P239" s="542"/>
      <c r="Q239" s="132"/>
      <c r="R239" s="543"/>
      <c r="S239" s="132"/>
    </row>
    <row r="240" spans="1:19" hidden="1">
      <c r="A240" s="88">
        <v>54108</v>
      </c>
      <c r="B240" s="88" t="s">
        <v>48</v>
      </c>
      <c r="C240" s="88" t="s">
        <v>127</v>
      </c>
      <c r="D240" s="521"/>
      <c r="E240" s="521"/>
      <c r="F240" s="521"/>
      <c r="G240" s="521"/>
      <c r="H240" s="521"/>
      <c r="I240" s="420"/>
      <c r="J240" s="420"/>
      <c r="K240" s="518"/>
      <c r="L240" s="518"/>
      <c r="M240" s="540"/>
      <c r="N240" s="541"/>
      <c r="O240" s="542"/>
      <c r="P240" s="542"/>
      <c r="Q240" s="132"/>
      <c r="R240" s="543"/>
      <c r="S240" s="132"/>
    </row>
    <row r="241" spans="1:19" hidden="1">
      <c r="A241" s="88">
        <v>54109</v>
      </c>
      <c r="B241" s="88" t="s">
        <v>49</v>
      </c>
      <c r="C241" s="88" t="s">
        <v>54</v>
      </c>
      <c r="D241" s="521"/>
      <c r="E241" s="521"/>
      <c r="F241" s="521"/>
      <c r="G241" s="521"/>
      <c r="H241" s="521"/>
      <c r="I241" s="420"/>
      <c r="J241" s="420"/>
      <c r="K241" s="518"/>
      <c r="L241" s="518"/>
      <c r="M241" s="540"/>
      <c r="N241" s="541"/>
      <c r="O241" s="542"/>
      <c r="P241" s="542"/>
      <c r="Q241" s="132"/>
      <c r="R241" s="543"/>
      <c r="S241" s="132"/>
    </row>
    <row r="242" spans="1:19" hidden="1">
      <c r="A242" s="88">
        <v>54110</v>
      </c>
      <c r="B242" s="88" t="s">
        <v>50</v>
      </c>
      <c r="C242" s="88" t="s">
        <v>128</v>
      </c>
      <c r="D242" s="521"/>
      <c r="E242" s="521"/>
      <c r="F242" s="521"/>
      <c r="G242" s="521"/>
      <c r="H242" s="521"/>
      <c r="I242" s="420"/>
      <c r="J242" s="420"/>
      <c r="K242" s="518"/>
      <c r="L242" s="518"/>
      <c r="M242" s="540"/>
      <c r="N242" s="541"/>
      <c r="O242" s="542"/>
      <c r="P242" s="542"/>
      <c r="Q242" s="132"/>
      <c r="R242" s="543"/>
      <c r="S242" s="132"/>
    </row>
    <row r="243" spans="1:19" hidden="1">
      <c r="A243" s="88">
        <v>54111</v>
      </c>
      <c r="B243" s="88" t="s">
        <v>51</v>
      </c>
      <c r="C243" s="88" t="s">
        <v>129</v>
      </c>
      <c r="D243" s="521"/>
      <c r="E243" s="521"/>
      <c r="F243" s="521"/>
      <c r="G243" s="521"/>
      <c r="H243" s="521"/>
      <c r="I243" s="420"/>
      <c r="J243" s="420"/>
      <c r="K243" s="518"/>
      <c r="L243" s="518"/>
      <c r="M243" s="540"/>
      <c r="N243" s="541"/>
      <c r="O243" s="542"/>
      <c r="P243" s="542"/>
      <c r="Q243" s="132"/>
      <c r="R243" s="543"/>
      <c r="S243" s="132"/>
    </row>
    <row r="244" spans="1:19" hidden="1">
      <c r="A244" s="88">
        <v>54112</v>
      </c>
      <c r="B244" s="88" t="s">
        <v>52</v>
      </c>
      <c r="C244" s="88" t="s">
        <v>130</v>
      </c>
      <c r="D244" s="521"/>
      <c r="E244" s="521"/>
      <c r="F244" s="521"/>
      <c r="G244" s="521"/>
      <c r="H244" s="521"/>
      <c r="I244" s="420"/>
      <c r="J244" s="420"/>
      <c r="K244" s="518"/>
      <c r="L244" s="518"/>
      <c r="M244" s="540"/>
      <c r="N244" s="541"/>
      <c r="O244" s="542"/>
      <c r="P244" s="542"/>
      <c r="Q244" s="132"/>
      <c r="R244" s="543"/>
      <c r="S244" s="132"/>
    </row>
    <row r="245" spans="1:19" hidden="1">
      <c r="A245" s="88">
        <v>54114</v>
      </c>
      <c r="B245" s="88" t="s">
        <v>53</v>
      </c>
      <c r="C245" s="88" t="s">
        <v>52</v>
      </c>
      <c r="D245" s="521"/>
      <c r="E245" s="521"/>
      <c r="F245" s="521"/>
      <c r="G245" s="521"/>
      <c r="H245" s="521"/>
      <c r="I245" s="420"/>
      <c r="J245" s="420"/>
      <c r="K245" s="518"/>
      <c r="L245" s="518"/>
      <c r="M245" s="540"/>
      <c r="N245" s="541"/>
      <c r="O245" s="542"/>
      <c r="P245" s="542"/>
      <c r="Q245" s="132"/>
      <c r="R245" s="543"/>
      <c r="S245" s="132"/>
    </row>
    <row r="246" spans="1:19" hidden="1">
      <c r="A246" s="88">
        <v>54115</v>
      </c>
      <c r="B246" s="88" t="s">
        <v>54</v>
      </c>
      <c r="C246" s="88" t="s">
        <v>131</v>
      </c>
      <c r="D246" s="521"/>
      <c r="E246" s="521"/>
      <c r="F246" s="521"/>
      <c r="G246" s="521"/>
      <c r="H246" s="521"/>
      <c r="I246" s="420"/>
      <c r="J246" s="420"/>
      <c r="K246" s="518"/>
      <c r="L246" s="518"/>
      <c r="M246" s="540"/>
      <c r="N246" s="541"/>
      <c r="O246" s="542"/>
      <c r="P246" s="542"/>
      <c r="Q246" s="132"/>
      <c r="R246" s="543"/>
      <c r="S246" s="132"/>
    </row>
    <row r="247" spans="1:19" hidden="1">
      <c r="A247" s="88">
        <v>54116</v>
      </c>
      <c r="B247" s="88" t="s">
        <v>55</v>
      </c>
      <c r="C247" s="88" t="s">
        <v>132</v>
      </c>
      <c r="D247" s="521"/>
      <c r="E247" s="521"/>
      <c r="F247" s="521"/>
      <c r="G247" s="521"/>
      <c r="H247" s="521"/>
      <c r="I247" s="420"/>
      <c r="J247" s="420"/>
      <c r="K247" s="518"/>
      <c r="L247" s="518"/>
      <c r="M247" s="540"/>
      <c r="N247" s="541"/>
      <c r="O247" s="542"/>
      <c r="P247" s="542"/>
      <c r="Q247" s="132"/>
      <c r="R247" s="543"/>
      <c r="S247" s="132"/>
    </row>
    <row r="248" spans="1:19" hidden="1">
      <c r="A248" s="88">
        <v>54117</v>
      </c>
      <c r="B248" s="88" t="s">
        <v>62</v>
      </c>
      <c r="C248" s="88" t="s">
        <v>133</v>
      </c>
      <c r="D248" s="521"/>
      <c r="E248" s="521"/>
      <c r="F248" s="521"/>
      <c r="G248" s="521"/>
      <c r="H248" s="521"/>
      <c r="I248" s="420"/>
      <c r="J248" s="420"/>
      <c r="K248" s="518"/>
      <c r="L248" s="518"/>
      <c r="M248" s="540"/>
      <c r="N248" s="541"/>
      <c r="O248" s="542"/>
      <c r="P248" s="542"/>
      <c r="Q248" s="132"/>
      <c r="R248" s="543"/>
      <c r="S248" s="132"/>
    </row>
    <row r="249" spans="1:19" hidden="1">
      <c r="A249" s="88">
        <v>54118</v>
      </c>
      <c r="B249" s="88" t="s">
        <v>63</v>
      </c>
      <c r="C249" s="88" t="s">
        <v>134</v>
      </c>
      <c r="D249" s="521"/>
      <c r="E249" s="521"/>
      <c r="F249" s="521"/>
      <c r="G249" s="521"/>
      <c r="H249" s="521"/>
      <c r="I249" s="420"/>
      <c r="J249" s="420"/>
      <c r="K249" s="518"/>
      <c r="L249" s="518"/>
      <c r="M249" s="540"/>
      <c r="N249" s="541"/>
      <c r="O249" s="542"/>
      <c r="P249" s="542"/>
      <c r="Q249" s="132"/>
      <c r="R249" s="543"/>
      <c r="S249" s="132"/>
    </row>
    <row r="250" spans="1:19" hidden="1">
      <c r="A250" s="88">
        <v>54119</v>
      </c>
      <c r="B250" s="88" t="s">
        <v>64</v>
      </c>
      <c r="C250" s="88" t="s">
        <v>135</v>
      </c>
      <c r="D250" s="521"/>
      <c r="E250" s="521"/>
      <c r="F250" s="521"/>
      <c r="G250" s="521"/>
      <c r="H250" s="521"/>
      <c r="I250" s="420"/>
      <c r="J250" s="420"/>
      <c r="K250" s="518"/>
      <c r="L250" s="518"/>
      <c r="M250" s="540"/>
      <c r="N250" s="541"/>
      <c r="O250" s="542"/>
      <c r="P250" s="542"/>
      <c r="Q250" s="132"/>
      <c r="R250" s="543"/>
      <c r="S250" s="132"/>
    </row>
    <row r="251" spans="1:19" hidden="1">
      <c r="A251" s="88">
        <v>54121</v>
      </c>
      <c r="B251" s="88" t="s">
        <v>65</v>
      </c>
      <c r="C251" s="88" t="s">
        <v>136</v>
      </c>
      <c r="D251" s="521"/>
      <c r="E251" s="521"/>
      <c r="F251" s="521"/>
      <c r="G251" s="521"/>
      <c r="H251" s="521"/>
      <c r="I251" s="420"/>
      <c r="J251" s="420"/>
      <c r="K251" s="518"/>
      <c r="L251" s="518"/>
      <c r="M251" s="540"/>
      <c r="N251" s="541"/>
      <c r="O251" s="542"/>
      <c r="P251" s="542"/>
      <c r="Q251" s="132"/>
      <c r="R251" s="543"/>
      <c r="S251" s="132"/>
    </row>
    <row r="252" spans="1:19" hidden="1">
      <c r="A252" s="88">
        <v>54199</v>
      </c>
      <c r="B252" s="88" t="s">
        <v>66</v>
      </c>
      <c r="C252" s="88" t="s">
        <v>137</v>
      </c>
      <c r="D252" s="521"/>
      <c r="E252" s="521"/>
      <c r="F252" s="521"/>
      <c r="G252" s="521"/>
      <c r="H252" s="521"/>
      <c r="I252" s="420"/>
      <c r="J252" s="420"/>
      <c r="K252" s="518"/>
      <c r="L252" s="518"/>
      <c r="M252" s="540"/>
      <c r="N252" s="541"/>
      <c r="O252" s="542"/>
      <c r="P252" s="542"/>
      <c r="Q252" s="132"/>
      <c r="R252" s="543"/>
      <c r="S252" s="132"/>
    </row>
    <row r="253" spans="1:19" hidden="1">
      <c r="A253" s="88">
        <v>54201</v>
      </c>
      <c r="B253" s="88" t="s">
        <v>67</v>
      </c>
      <c r="C253" s="88" t="s">
        <v>138</v>
      </c>
      <c r="D253" s="521"/>
      <c r="E253" s="521"/>
      <c r="F253" s="521"/>
      <c r="G253" s="521"/>
      <c r="H253" s="521"/>
      <c r="I253" s="420"/>
      <c r="J253" s="420"/>
      <c r="K253" s="518"/>
      <c r="L253" s="518"/>
      <c r="M253" s="540"/>
      <c r="N253" s="541"/>
      <c r="O253" s="542"/>
      <c r="P253" s="542"/>
      <c r="Q253" s="132"/>
      <c r="R253" s="543"/>
      <c r="S253" s="132"/>
    </row>
    <row r="254" spans="1:19" hidden="1">
      <c r="A254" s="88">
        <v>54202</v>
      </c>
      <c r="B254" s="88" t="s">
        <v>68</v>
      </c>
      <c r="C254" s="88" t="s">
        <v>139</v>
      </c>
      <c r="D254" s="521"/>
      <c r="E254" s="521"/>
      <c r="F254" s="521"/>
      <c r="G254" s="521"/>
      <c r="H254" s="521"/>
      <c r="I254" s="420"/>
      <c r="J254" s="420"/>
      <c r="K254" s="518"/>
      <c r="L254" s="518"/>
      <c r="M254" s="540"/>
      <c r="N254" s="541"/>
      <c r="O254" s="542"/>
      <c r="P254" s="542"/>
      <c r="Q254" s="132"/>
      <c r="R254" s="543"/>
      <c r="S254" s="132"/>
    </row>
    <row r="255" spans="1:19" hidden="1">
      <c r="A255" s="88">
        <v>54203</v>
      </c>
      <c r="B255" s="88"/>
      <c r="C255" s="88" t="s">
        <v>140</v>
      </c>
      <c r="D255" s="521"/>
      <c r="E255" s="521"/>
      <c r="F255" s="521"/>
      <c r="G255" s="521"/>
      <c r="H255" s="521"/>
      <c r="I255" s="420"/>
      <c r="J255" s="420"/>
      <c r="K255" s="518"/>
      <c r="L255" s="518"/>
      <c r="M255" s="540"/>
      <c r="N255" s="541"/>
      <c r="O255" s="542"/>
      <c r="P255" s="542"/>
      <c r="Q255" s="132"/>
      <c r="R255" s="543"/>
      <c r="S255" s="132"/>
    </row>
    <row r="256" spans="1:19" hidden="1">
      <c r="A256" s="88">
        <v>54204</v>
      </c>
      <c r="B256" s="88"/>
      <c r="C256" s="88" t="s">
        <v>141</v>
      </c>
      <c r="D256" s="521"/>
      <c r="E256" s="521"/>
      <c r="F256" s="521"/>
      <c r="G256" s="521"/>
      <c r="H256" s="521"/>
      <c r="I256" s="420"/>
      <c r="J256" s="420"/>
      <c r="K256" s="518"/>
      <c r="L256" s="518"/>
      <c r="M256" s="540"/>
      <c r="N256" s="541"/>
      <c r="O256" s="542"/>
      <c r="P256" s="542"/>
      <c r="Q256" s="132"/>
      <c r="R256" s="543"/>
      <c r="S256" s="132"/>
    </row>
    <row r="257" spans="1:19" hidden="1">
      <c r="A257" s="88">
        <v>54205</v>
      </c>
      <c r="B257" s="88"/>
      <c r="C257" s="88" t="s">
        <v>142</v>
      </c>
      <c r="D257" s="521"/>
      <c r="E257" s="521"/>
      <c r="F257" s="521"/>
      <c r="G257" s="521"/>
      <c r="H257" s="521"/>
      <c r="I257" s="420"/>
      <c r="J257" s="420"/>
      <c r="K257" s="518"/>
      <c r="L257" s="518"/>
      <c r="M257" s="540"/>
      <c r="N257" s="541"/>
      <c r="O257" s="542"/>
      <c r="P257" s="542"/>
      <c r="Q257" s="132"/>
      <c r="R257" s="543"/>
      <c r="S257" s="132"/>
    </row>
    <row r="258" spans="1:19" hidden="1">
      <c r="A258" s="88">
        <v>54301</v>
      </c>
      <c r="B258" s="88"/>
      <c r="C258" s="88" t="s">
        <v>143</v>
      </c>
      <c r="D258" s="521"/>
      <c r="E258" s="521"/>
      <c r="F258" s="521"/>
      <c r="G258" s="521"/>
      <c r="H258" s="521"/>
      <c r="I258" s="420"/>
      <c r="J258" s="420"/>
      <c r="K258" s="518"/>
      <c r="L258" s="518"/>
      <c r="M258" s="540"/>
      <c r="N258" s="541"/>
      <c r="O258" s="542"/>
      <c r="P258" s="542"/>
      <c r="Q258" s="132"/>
      <c r="R258" s="543"/>
      <c r="S258" s="132"/>
    </row>
    <row r="259" spans="1:19" hidden="1">
      <c r="A259" s="88">
        <v>54302</v>
      </c>
      <c r="B259" s="88"/>
      <c r="C259" s="88" t="s">
        <v>144</v>
      </c>
      <c r="D259" s="521"/>
      <c r="E259" s="521"/>
      <c r="F259" s="521"/>
      <c r="G259" s="521"/>
      <c r="H259" s="521"/>
      <c r="I259" s="420"/>
      <c r="J259" s="420"/>
      <c r="K259" s="518"/>
      <c r="L259" s="518"/>
      <c r="M259" s="540"/>
      <c r="N259" s="541"/>
      <c r="O259" s="542"/>
      <c r="P259" s="542"/>
      <c r="Q259" s="132"/>
      <c r="R259" s="543"/>
      <c r="S259" s="132"/>
    </row>
    <row r="260" spans="1:19" hidden="1">
      <c r="A260" s="88">
        <v>54303</v>
      </c>
      <c r="B260" s="88"/>
      <c r="C260" s="88" t="s">
        <v>145</v>
      </c>
      <c r="D260" s="521"/>
      <c r="E260" s="521"/>
      <c r="F260" s="521"/>
      <c r="G260" s="521"/>
      <c r="H260" s="521"/>
      <c r="I260" s="420"/>
      <c r="J260" s="420"/>
      <c r="K260" s="518"/>
      <c r="L260" s="518"/>
      <c r="M260" s="540"/>
      <c r="N260" s="541"/>
      <c r="O260" s="542"/>
      <c r="P260" s="542"/>
      <c r="Q260" s="132"/>
      <c r="R260" s="543"/>
      <c r="S260" s="132"/>
    </row>
    <row r="261" spans="1:19" hidden="1">
      <c r="A261" s="88">
        <v>54304</v>
      </c>
      <c r="B261" s="88"/>
      <c r="C261" s="88" t="s">
        <v>146</v>
      </c>
      <c r="D261" s="521"/>
      <c r="E261" s="521"/>
      <c r="F261" s="521"/>
      <c r="G261" s="521"/>
      <c r="H261" s="521"/>
      <c r="I261" s="420"/>
      <c r="J261" s="420"/>
      <c r="K261" s="518"/>
      <c r="L261" s="518"/>
      <c r="M261" s="540"/>
      <c r="N261" s="541"/>
      <c r="O261" s="542"/>
      <c r="P261" s="542"/>
      <c r="Q261" s="132"/>
      <c r="R261" s="543"/>
      <c r="S261" s="132"/>
    </row>
    <row r="262" spans="1:19" hidden="1">
      <c r="A262" s="88">
        <v>54305</v>
      </c>
      <c r="B262" s="88"/>
      <c r="C262" s="88" t="s">
        <v>71</v>
      </c>
      <c r="D262" s="521"/>
      <c r="E262" s="521"/>
      <c r="F262" s="521"/>
      <c r="G262" s="521"/>
      <c r="H262" s="521"/>
      <c r="I262" s="420"/>
      <c r="J262" s="420"/>
      <c r="K262" s="518"/>
      <c r="L262" s="518"/>
      <c r="M262" s="540"/>
      <c r="N262" s="541"/>
      <c r="O262" s="542"/>
      <c r="P262" s="542"/>
      <c r="Q262" s="132"/>
      <c r="R262" s="543"/>
      <c r="S262" s="132"/>
    </row>
    <row r="263" spans="1:19" hidden="1">
      <c r="A263" s="88">
        <v>54306</v>
      </c>
      <c r="B263" s="88"/>
      <c r="C263" s="88" t="s">
        <v>150</v>
      </c>
      <c r="D263" s="521"/>
      <c r="E263" s="521"/>
      <c r="F263" s="521"/>
      <c r="G263" s="521"/>
      <c r="H263" s="521"/>
      <c r="I263" s="420"/>
      <c r="J263" s="420"/>
      <c r="K263" s="518"/>
      <c r="L263" s="518"/>
      <c r="M263" s="540"/>
      <c r="N263" s="541"/>
      <c r="O263" s="542"/>
      <c r="P263" s="542"/>
      <c r="Q263" s="132"/>
      <c r="R263" s="543"/>
      <c r="S263" s="132"/>
    </row>
    <row r="264" spans="1:19" hidden="1">
      <c r="A264" s="88">
        <v>54307</v>
      </c>
      <c r="B264" s="88"/>
      <c r="C264" s="88" t="s">
        <v>151</v>
      </c>
      <c r="D264" s="521"/>
      <c r="E264" s="521"/>
      <c r="F264" s="521"/>
      <c r="G264" s="521"/>
      <c r="H264" s="521"/>
      <c r="I264" s="420"/>
      <c r="J264" s="420"/>
      <c r="K264" s="518"/>
      <c r="L264" s="518"/>
      <c r="M264" s="540"/>
      <c r="N264" s="541"/>
      <c r="O264" s="542"/>
      <c r="P264" s="542"/>
      <c r="Q264" s="132"/>
      <c r="R264" s="543"/>
      <c r="S264" s="132"/>
    </row>
    <row r="265" spans="1:19" hidden="1">
      <c r="A265" s="88">
        <v>54308</v>
      </c>
      <c r="B265" s="88"/>
      <c r="C265" s="88" t="s">
        <v>152</v>
      </c>
      <c r="D265" s="521"/>
      <c r="E265" s="521"/>
      <c r="F265" s="521"/>
      <c r="G265" s="521"/>
      <c r="H265" s="521"/>
      <c r="I265" s="420"/>
      <c r="J265" s="420"/>
      <c r="K265" s="518"/>
      <c r="L265" s="518"/>
      <c r="M265" s="540"/>
      <c r="N265" s="541"/>
      <c r="O265" s="542"/>
      <c r="P265" s="542"/>
      <c r="Q265" s="132"/>
      <c r="R265" s="543"/>
      <c r="S265" s="132"/>
    </row>
    <row r="266" spans="1:19" hidden="1">
      <c r="A266" s="88">
        <v>54309</v>
      </c>
      <c r="B266" s="88"/>
      <c r="C266" s="88" t="s">
        <v>153</v>
      </c>
      <c r="D266" s="521"/>
      <c r="E266" s="521"/>
      <c r="F266" s="521"/>
      <c r="G266" s="521"/>
      <c r="H266" s="521"/>
      <c r="I266" s="420"/>
      <c r="J266" s="420"/>
      <c r="K266" s="518"/>
      <c r="L266" s="518"/>
      <c r="M266" s="540"/>
      <c r="N266" s="541"/>
      <c r="O266" s="542"/>
      <c r="P266" s="542"/>
      <c r="Q266" s="132"/>
      <c r="R266" s="543"/>
      <c r="S266" s="132"/>
    </row>
    <row r="267" spans="1:19" hidden="1">
      <c r="A267" s="88"/>
      <c r="B267" s="88"/>
      <c r="C267" s="88"/>
      <c r="D267" s="521"/>
      <c r="E267" s="521"/>
      <c r="F267" s="521"/>
      <c r="G267" s="521"/>
      <c r="H267" s="521"/>
      <c r="I267" s="420"/>
      <c r="J267" s="420"/>
      <c r="K267" s="518"/>
      <c r="L267" s="518"/>
      <c r="M267" s="540"/>
      <c r="N267" s="541"/>
      <c r="O267" s="542"/>
      <c r="P267" s="542"/>
      <c r="Q267" s="132"/>
      <c r="R267" s="543"/>
      <c r="S267" s="132"/>
    </row>
    <row r="268" spans="1:19" hidden="1">
      <c r="A268" s="88"/>
      <c r="B268" s="88"/>
      <c r="C268" s="88"/>
      <c r="D268" s="521"/>
      <c r="E268" s="521"/>
      <c r="F268" s="521"/>
      <c r="G268" s="521"/>
      <c r="H268" s="521"/>
      <c r="I268" s="420"/>
      <c r="J268" s="420"/>
      <c r="K268" s="518"/>
      <c r="L268" s="518"/>
      <c r="M268" s="540"/>
      <c r="N268" s="541"/>
      <c r="O268" s="542"/>
      <c r="P268" s="542"/>
      <c r="Q268" s="132"/>
      <c r="R268" s="543"/>
      <c r="S268" s="132"/>
    </row>
    <row r="269" spans="1:19" hidden="1">
      <c r="A269" s="88"/>
      <c r="B269" s="88"/>
      <c r="C269" s="88"/>
      <c r="D269" s="521"/>
      <c r="E269" s="521"/>
      <c r="F269" s="521"/>
      <c r="G269" s="521"/>
      <c r="H269" s="521"/>
      <c r="I269" s="420"/>
      <c r="J269" s="420"/>
      <c r="K269" s="518"/>
      <c r="L269" s="518"/>
      <c r="M269" s="540"/>
      <c r="N269" s="541"/>
      <c r="O269" s="542"/>
      <c r="P269" s="542"/>
      <c r="Q269" s="132"/>
      <c r="R269" s="543"/>
      <c r="S269" s="132"/>
    </row>
    <row r="270" spans="1:19" hidden="1">
      <c r="A270" s="88">
        <v>54310</v>
      </c>
      <c r="B270" s="88"/>
      <c r="C270" s="88" t="s">
        <v>154</v>
      </c>
      <c r="D270" s="521"/>
      <c r="E270" s="521"/>
      <c r="F270" s="521"/>
      <c r="G270" s="521"/>
      <c r="H270" s="521"/>
      <c r="I270" s="420"/>
      <c r="J270" s="420"/>
      <c r="K270" s="518"/>
      <c r="L270" s="518"/>
      <c r="M270" s="540"/>
      <c r="N270" s="541"/>
      <c r="O270" s="542"/>
      <c r="P270" s="542"/>
      <c r="Q270" s="132"/>
      <c r="R270" s="543"/>
      <c r="S270" s="132"/>
    </row>
    <row r="271" spans="1:19" hidden="1">
      <c r="A271" s="88">
        <v>54311</v>
      </c>
      <c r="B271" s="88"/>
      <c r="C271" s="88" t="s">
        <v>49</v>
      </c>
      <c r="D271" s="521"/>
      <c r="E271" s="521"/>
      <c r="F271" s="521"/>
      <c r="G271" s="521"/>
      <c r="H271" s="521"/>
      <c r="I271" s="420"/>
      <c r="J271" s="420"/>
      <c r="K271" s="518"/>
      <c r="L271" s="518"/>
      <c r="M271" s="540"/>
      <c r="N271" s="541"/>
      <c r="O271" s="542"/>
      <c r="P271" s="542"/>
      <c r="Q271" s="132"/>
      <c r="R271" s="543"/>
      <c r="S271" s="132"/>
    </row>
    <row r="272" spans="1:19" hidden="1">
      <c r="A272" s="88">
        <v>54312</v>
      </c>
      <c r="B272" s="88"/>
      <c r="C272" s="88"/>
      <c r="D272" s="521"/>
      <c r="E272" s="521"/>
      <c r="F272" s="521"/>
      <c r="G272" s="521"/>
      <c r="H272" s="521"/>
      <c r="I272" s="420"/>
      <c r="J272" s="420"/>
      <c r="K272" s="518"/>
      <c r="L272" s="518"/>
      <c r="M272" s="540"/>
      <c r="N272" s="541"/>
      <c r="O272" s="542"/>
      <c r="P272" s="542"/>
      <c r="Q272" s="132"/>
      <c r="R272" s="543"/>
      <c r="S272" s="132"/>
    </row>
    <row r="273" spans="1:19" hidden="1">
      <c r="A273" s="88">
        <v>54313</v>
      </c>
      <c r="B273" s="88"/>
      <c r="C273" s="88" t="s">
        <v>412</v>
      </c>
      <c r="D273" s="521"/>
      <c r="E273" s="521"/>
      <c r="F273" s="521"/>
      <c r="G273" s="521"/>
      <c r="H273" s="521"/>
      <c r="I273" s="420"/>
      <c r="J273" s="420"/>
      <c r="K273" s="518"/>
      <c r="L273" s="518"/>
      <c r="M273" s="540"/>
      <c r="N273" s="541"/>
      <c r="O273" s="542"/>
      <c r="P273" s="542"/>
      <c r="Q273" s="132"/>
      <c r="R273" s="543"/>
      <c r="S273" s="132"/>
    </row>
    <row r="274" spans="1:19" hidden="1">
      <c r="A274" s="88">
        <v>54314</v>
      </c>
      <c r="B274" s="88"/>
      <c r="C274" s="88" t="s">
        <v>48</v>
      </c>
      <c r="D274" s="521"/>
      <c r="E274" s="521"/>
      <c r="F274" s="521"/>
      <c r="G274" s="521"/>
      <c r="H274" s="521"/>
      <c r="I274" s="420"/>
      <c r="J274" s="420"/>
      <c r="K274" s="518"/>
      <c r="L274" s="518"/>
      <c r="M274" s="540"/>
      <c r="N274" s="541"/>
      <c r="O274" s="542"/>
      <c r="P274" s="542"/>
      <c r="Q274" s="132"/>
      <c r="R274" s="543"/>
      <c r="S274" s="132"/>
    </row>
    <row r="275" spans="1:19" hidden="1">
      <c r="A275" s="88">
        <v>54315</v>
      </c>
      <c r="B275" s="88"/>
      <c r="C275" s="88" t="s">
        <v>155</v>
      </c>
      <c r="D275" s="521"/>
      <c r="E275" s="521"/>
      <c r="F275" s="521"/>
      <c r="G275" s="521"/>
      <c r="H275" s="521"/>
      <c r="I275" s="420"/>
      <c r="J275" s="420"/>
      <c r="K275" s="518"/>
      <c r="L275" s="518"/>
      <c r="M275" s="540"/>
      <c r="N275" s="541"/>
      <c r="O275" s="542"/>
      <c r="P275" s="542"/>
      <c r="Q275" s="132"/>
      <c r="R275" s="543"/>
      <c r="S275" s="132"/>
    </row>
    <row r="276" spans="1:19" hidden="1">
      <c r="A276" s="88">
        <v>54316</v>
      </c>
      <c r="B276" s="88"/>
      <c r="C276" s="88" t="s">
        <v>156</v>
      </c>
      <c r="D276" s="521"/>
      <c r="E276" s="521"/>
      <c r="F276" s="521"/>
      <c r="G276" s="521"/>
      <c r="H276" s="521"/>
      <c r="I276" s="420"/>
      <c r="J276" s="420"/>
      <c r="K276" s="518"/>
      <c r="L276" s="518"/>
      <c r="M276" s="540"/>
      <c r="N276" s="541"/>
      <c r="O276" s="542"/>
      <c r="P276" s="542"/>
      <c r="Q276" s="132"/>
      <c r="R276" s="543"/>
      <c r="S276" s="132"/>
    </row>
    <row r="277" spans="1:19" hidden="1">
      <c r="A277" s="88">
        <v>54317</v>
      </c>
      <c r="B277" s="88"/>
      <c r="C277" s="88" t="s">
        <v>157</v>
      </c>
      <c r="D277" s="521"/>
      <c r="E277" s="521"/>
      <c r="F277" s="521"/>
      <c r="G277" s="521"/>
      <c r="H277" s="521"/>
      <c r="I277" s="420"/>
      <c r="J277" s="420"/>
      <c r="K277" s="518"/>
      <c r="L277" s="518"/>
      <c r="M277" s="540"/>
      <c r="N277" s="541"/>
      <c r="O277" s="542"/>
      <c r="P277" s="542"/>
      <c r="Q277" s="132"/>
      <c r="R277" s="543"/>
      <c r="S277" s="132"/>
    </row>
    <row r="278" spans="1:19" hidden="1">
      <c r="A278" s="88">
        <v>54318</v>
      </c>
      <c r="B278" s="88"/>
      <c r="C278" s="88"/>
      <c r="D278" s="521"/>
      <c r="E278" s="521"/>
      <c r="F278" s="521"/>
      <c r="G278" s="521"/>
      <c r="H278" s="521"/>
      <c r="I278" s="420"/>
      <c r="J278" s="420"/>
      <c r="K278" s="518"/>
      <c r="L278" s="518"/>
      <c r="M278" s="540"/>
      <c r="N278" s="541"/>
      <c r="O278" s="542"/>
      <c r="P278" s="542"/>
      <c r="Q278" s="132"/>
      <c r="R278" s="543"/>
      <c r="S278" s="132"/>
    </row>
    <row r="279" spans="1:19" hidden="1">
      <c r="A279" s="88">
        <v>54399</v>
      </c>
      <c r="B279" s="88"/>
      <c r="C279" s="88" t="s">
        <v>158</v>
      </c>
      <c r="D279" s="521"/>
      <c r="E279" s="521"/>
      <c r="F279" s="521"/>
      <c r="G279" s="521"/>
      <c r="H279" s="521"/>
      <c r="I279" s="420"/>
      <c r="J279" s="420"/>
      <c r="K279" s="518"/>
      <c r="L279" s="518"/>
      <c r="M279" s="540"/>
      <c r="N279" s="541"/>
      <c r="O279" s="542"/>
      <c r="P279" s="542"/>
      <c r="Q279" s="132"/>
      <c r="R279" s="543"/>
      <c r="S279" s="132"/>
    </row>
    <row r="280" spans="1:19" hidden="1">
      <c r="A280" s="88">
        <v>54401</v>
      </c>
      <c r="B280" s="88"/>
      <c r="C280" s="88" t="s">
        <v>159</v>
      </c>
      <c r="D280" s="521"/>
      <c r="E280" s="521"/>
      <c r="F280" s="521"/>
      <c r="G280" s="521"/>
      <c r="H280" s="521"/>
      <c r="I280" s="420"/>
      <c r="J280" s="420"/>
      <c r="K280" s="518"/>
      <c r="L280" s="518"/>
      <c r="M280" s="540"/>
      <c r="N280" s="541"/>
      <c r="O280" s="542"/>
      <c r="P280" s="542"/>
      <c r="Q280" s="132"/>
      <c r="R280" s="543"/>
      <c r="S280" s="132"/>
    </row>
    <row r="281" spans="1:19" hidden="1">
      <c r="A281" s="88">
        <v>54402</v>
      </c>
      <c r="B281" s="88"/>
      <c r="C281" s="88" t="s">
        <v>160</v>
      </c>
      <c r="D281" s="521"/>
      <c r="E281" s="521"/>
      <c r="F281" s="521"/>
      <c r="G281" s="521"/>
      <c r="H281" s="521"/>
      <c r="I281" s="420"/>
      <c r="J281" s="420"/>
      <c r="K281" s="518"/>
      <c r="L281" s="518"/>
      <c r="M281" s="540"/>
      <c r="N281" s="541"/>
      <c r="O281" s="542"/>
      <c r="P281" s="542"/>
      <c r="Q281" s="132"/>
      <c r="R281" s="543"/>
      <c r="S281" s="132"/>
    </row>
    <row r="282" spans="1:19" hidden="1">
      <c r="A282" s="88">
        <v>54403</v>
      </c>
      <c r="B282" s="88"/>
      <c r="C282" s="88" t="s">
        <v>161</v>
      </c>
      <c r="D282" s="521"/>
      <c r="E282" s="521"/>
      <c r="F282" s="521"/>
      <c r="G282" s="521"/>
      <c r="H282" s="521"/>
      <c r="I282" s="420"/>
      <c r="J282" s="420"/>
      <c r="K282" s="518"/>
      <c r="L282" s="518"/>
      <c r="M282" s="540"/>
      <c r="N282" s="541"/>
      <c r="O282" s="542"/>
      <c r="P282" s="542"/>
      <c r="Q282" s="132"/>
      <c r="R282" s="543"/>
      <c r="S282" s="132"/>
    </row>
    <row r="283" spans="1:19" hidden="1">
      <c r="A283" s="88">
        <v>54404</v>
      </c>
      <c r="B283" s="88"/>
      <c r="C283" s="88" t="s">
        <v>162</v>
      </c>
      <c r="D283" s="521"/>
      <c r="E283" s="521"/>
      <c r="F283" s="521"/>
      <c r="G283" s="521"/>
      <c r="H283" s="521"/>
      <c r="I283" s="420"/>
      <c r="J283" s="420"/>
      <c r="K283" s="518"/>
      <c r="L283" s="518"/>
      <c r="M283" s="540"/>
      <c r="N283" s="541"/>
      <c r="O283" s="542"/>
      <c r="P283" s="542"/>
      <c r="Q283" s="132"/>
      <c r="R283" s="543"/>
      <c r="S283" s="132"/>
    </row>
    <row r="284" spans="1:19" hidden="1">
      <c r="A284" s="88">
        <v>54501</v>
      </c>
      <c r="B284" s="88"/>
      <c r="C284" s="88" t="s">
        <v>163</v>
      </c>
      <c r="D284" s="521"/>
      <c r="E284" s="521"/>
      <c r="F284" s="521"/>
      <c r="G284" s="521"/>
      <c r="H284" s="521"/>
      <c r="I284" s="420"/>
      <c r="J284" s="420"/>
      <c r="K284" s="518"/>
      <c r="L284" s="518"/>
      <c r="M284" s="540"/>
      <c r="N284" s="541"/>
      <c r="O284" s="542"/>
      <c r="P284" s="542"/>
      <c r="Q284" s="132"/>
      <c r="R284" s="543"/>
      <c r="S284" s="132"/>
    </row>
    <row r="285" spans="1:19" hidden="1">
      <c r="A285" s="88">
        <v>54502</v>
      </c>
      <c r="B285" s="88"/>
      <c r="C285" s="88" t="s">
        <v>164</v>
      </c>
      <c r="D285" s="521"/>
      <c r="E285" s="521"/>
      <c r="F285" s="521"/>
      <c r="G285" s="521"/>
      <c r="H285" s="521"/>
      <c r="I285" s="420"/>
      <c r="J285" s="420"/>
      <c r="K285" s="518"/>
      <c r="L285" s="518"/>
      <c r="M285" s="540"/>
      <c r="N285" s="541"/>
      <c r="O285" s="542"/>
      <c r="P285" s="542"/>
      <c r="Q285" s="132"/>
      <c r="R285" s="543"/>
      <c r="S285" s="132"/>
    </row>
    <row r="286" spans="1:19" hidden="1">
      <c r="A286" s="88">
        <v>54503</v>
      </c>
      <c r="B286" s="88"/>
      <c r="C286" s="88" t="s">
        <v>165</v>
      </c>
      <c r="D286" s="521"/>
      <c r="E286" s="521"/>
      <c r="F286" s="521"/>
      <c r="G286" s="521"/>
      <c r="H286" s="521"/>
      <c r="I286" s="420"/>
      <c r="J286" s="420"/>
      <c r="K286" s="518"/>
      <c r="L286" s="518"/>
      <c r="M286" s="540"/>
      <c r="N286" s="541"/>
      <c r="O286" s="542"/>
      <c r="P286" s="542"/>
      <c r="Q286" s="132"/>
      <c r="R286" s="543"/>
      <c r="S286" s="132"/>
    </row>
    <row r="287" spans="1:19" hidden="1">
      <c r="A287" s="88">
        <v>54504</v>
      </c>
      <c r="B287" s="88"/>
      <c r="C287" s="88" t="s">
        <v>166</v>
      </c>
      <c r="D287" s="521"/>
      <c r="E287" s="521"/>
      <c r="F287" s="521"/>
      <c r="G287" s="521"/>
      <c r="H287" s="521"/>
      <c r="I287" s="420"/>
      <c r="J287" s="420"/>
      <c r="K287" s="518"/>
      <c r="L287" s="518"/>
      <c r="M287" s="540"/>
      <c r="N287" s="541"/>
      <c r="O287" s="542"/>
      <c r="P287" s="542"/>
      <c r="Q287" s="132"/>
      <c r="R287" s="543"/>
      <c r="S287" s="132"/>
    </row>
    <row r="288" spans="1:19" hidden="1">
      <c r="A288" s="88">
        <v>54505</v>
      </c>
      <c r="B288" s="88"/>
      <c r="C288" s="88" t="s">
        <v>167</v>
      </c>
      <c r="D288" s="521"/>
      <c r="E288" s="521"/>
      <c r="F288" s="521"/>
      <c r="G288" s="521"/>
      <c r="H288" s="521"/>
      <c r="I288" s="420"/>
      <c r="J288" s="420"/>
      <c r="K288" s="518"/>
      <c r="L288" s="518"/>
      <c r="M288" s="540"/>
      <c r="N288" s="541"/>
      <c r="O288" s="542"/>
      <c r="P288" s="542"/>
      <c r="Q288" s="132"/>
      <c r="R288" s="543"/>
      <c r="S288" s="132"/>
    </row>
    <row r="289" spans="1:19" hidden="1">
      <c r="A289" s="88">
        <v>54506</v>
      </c>
      <c r="B289" s="88"/>
      <c r="C289" s="88" t="s">
        <v>168</v>
      </c>
      <c r="D289" s="521"/>
      <c r="E289" s="521"/>
      <c r="F289" s="521"/>
      <c r="G289" s="521"/>
      <c r="H289" s="521"/>
      <c r="I289" s="420"/>
      <c r="J289" s="420"/>
      <c r="K289" s="518"/>
      <c r="L289" s="518"/>
      <c r="M289" s="540"/>
      <c r="N289" s="541"/>
      <c r="O289" s="542"/>
      <c r="P289" s="542"/>
      <c r="Q289" s="132"/>
      <c r="R289" s="543"/>
      <c r="S289" s="132"/>
    </row>
    <row r="290" spans="1:19" hidden="1">
      <c r="A290" s="88">
        <v>54507</v>
      </c>
      <c r="B290" s="88"/>
      <c r="C290" s="88" t="s">
        <v>169</v>
      </c>
      <c r="D290" s="521"/>
      <c r="E290" s="521"/>
      <c r="F290" s="521"/>
      <c r="G290" s="521"/>
      <c r="H290" s="521"/>
      <c r="I290" s="420"/>
      <c r="J290" s="420"/>
      <c r="K290" s="518"/>
      <c r="L290" s="518"/>
      <c r="M290" s="540"/>
      <c r="N290" s="541"/>
      <c r="O290" s="542"/>
      <c r="P290" s="542"/>
      <c r="Q290" s="132"/>
      <c r="R290" s="543"/>
      <c r="S290" s="132"/>
    </row>
    <row r="291" spans="1:19" hidden="1">
      <c r="A291" s="88">
        <v>54508</v>
      </c>
      <c r="B291" s="88"/>
      <c r="C291" s="88" t="s">
        <v>170</v>
      </c>
      <c r="D291" s="521"/>
      <c r="E291" s="521"/>
      <c r="F291" s="521"/>
      <c r="G291" s="521"/>
      <c r="H291" s="521"/>
      <c r="I291" s="420"/>
      <c r="J291" s="420"/>
      <c r="K291" s="518"/>
      <c r="L291" s="518"/>
      <c r="M291" s="540"/>
      <c r="N291" s="541"/>
      <c r="O291" s="542"/>
      <c r="P291" s="542"/>
      <c r="Q291" s="132"/>
      <c r="R291" s="543"/>
      <c r="S291" s="132"/>
    </row>
    <row r="292" spans="1:19" hidden="1">
      <c r="A292" s="88">
        <v>54599</v>
      </c>
      <c r="B292" s="88"/>
      <c r="C292" s="88" t="s">
        <v>171</v>
      </c>
      <c r="D292" s="521"/>
      <c r="E292" s="521"/>
      <c r="F292" s="521"/>
      <c r="G292" s="521"/>
      <c r="H292" s="521"/>
      <c r="I292" s="420"/>
      <c r="J292" s="420"/>
      <c r="K292" s="518"/>
      <c r="L292" s="518"/>
      <c r="M292" s="540"/>
      <c r="N292" s="541"/>
      <c r="O292" s="542"/>
      <c r="P292" s="542"/>
      <c r="Q292" s="132"/>
      <c r="R292" s="543"/>
      <c r="S292" s="132"/>
    </row>
    <row r="293" spans="1:19" hidden="1">
      <c r="A293" s="88">
        <v>54601</v>
      </c>
      <c r="B293" s="88"/>
      <c r="C293" s="88" t="s">
        <v>172</v>
      </c>
      <c r="D293" s="521"/>
      <c r="E293" s="521"/>
      <c r="F293" s="521"/>
      <c r="G293" s="521"/>
      <c r="H293" s="521"/>
      <c r="I293" s="420"/>
      <c r="J293" s="420"/>
      <c r="K293" s="518"/>
      <c r="L293" s="518"/>
      <c r="M293" s="540"/>
      <c r="N293" s="541"/>
      <c r="O293" s="542"/>
      <c r="P293" s="542"/>
      <c r="Q293" s="132"/>
      <c r="R293" s="543"/>
      <c r="S293" s="132"/>
    </row>
    <row r="294" spans="1:19" hidden="1">
      <c r="A294" s="88">
        <v>54602</v>
      </c>
      <c r="B294" s="88"/>
      <c r="C294" s="88" t="s">
        <v>173</v>
      </c>
      <c r="D294" s="521"/>
      <c r="E294" s="521"/>
      <c r="F294" s="521"/>
      <c r="G294" s="521"/>
      <c r="H294" s="521"/>
      <c r="I294" s="420"/>
      <c r="J294" s="420"/>
      <c r="K294" s="518"/>
      <c r="L294" s="518"/>
      <c r="M294" s="540"/>
      <c r="N294" s="541"/>
      <c r="O294" s="542"/>
      <c r="P294" s="542"/>
      <c r="Q294" s="132"/>
      <c r="R294" s="543"/>
      <c r="S294" s="132"/>
    </row>
    <row r="295" spans="1:19" hidden="1">
      <c r="A295" s="88">
        <v>54603</v>
      </c>
      <c r="B295" s="88"/>
      <c r="C295" s="88" t="s">
        <v>174</v>
      </c>
      <c r="D295" s="521"/>
      <c r="E295" s="521"/>
      <c r="F295" s="521"/>
      <c r="G295" s="521"/>
      <c r="H295" s="521"/>
      <c r="I295" s="420"/>
      <c r="J295" s="420"/>
      <c r="K295" s="518"/>
      <c r="L295" s="518"/>
      <c r="M295" s="540"/>
      <c r="N295" s="541"/>
      <c r="O295" s="542"/>
      <c r="P295" s="542"/>
      <c r="Q295" s="132"/>
      <c r="R295" s="543"/>
      <c r="S295" s="132"/>
    </row>
    <row r="296" spans="1:19" hidden="1">
      <c r="A296" s="88">
        <v>54699</v>
      </c>
      <c r="B296" s="88"/>
      <c r="C296" s="88" t="s">
        <v>175</v>
      </c>
      <c r="D296" s="521"/>
      <c r="E296" s="521"/>
      <c r="F296" s="521"/>
      <c r="G296" s="521"/>
      <c r="H296" s="521"/>
      <c r="I296" s="420"/>
      <c r="J296" s="420"/>
      <c r="K296" s="518"/>
      <c r="L296" s="518"/>
      <c r="M296" s="540"/>
      <c r="N296" s="541"/>
      <c r="O296" s="542"/>
      <c r="P296" s="542"/>
      <c r="Q296" s="132"/>
      <c r="R296" s="543"/>
      <c r="S296" s="132"/>
    </row>
    <row r="297" spans="1:19">
      <c r="A297" s="88">
        <v>55302</v>
      </c>
      <c r="B297" s="88"/>
      <c r="C297" s="88" t="s">
        <v>492</v>
      </c>
      <c r="D297" s="521"/>
      <c r="E297" s="521"/>
      <c r="F297" s="521"/>
      <c r="G297" s="521"/>
      <c r="H297" s="521">
        <v>8423.7800000000007</v>
      </c>
      <c r="I297" s="420"/>
      <c r="J297" s="420"/>
      <c r="K297" s="518"/>
      <c r="L297" s="518"/>
      <c r="M297" s="540"/>
      <c r="N297" s="541"/>
      <c r="O297" s="542"/>
      <c r="P297" s="542"/>
      <c r="Q297" s="132"/>
      <c r="R297" s="543"/>
      <c r="S297" s="132"/>
    </row>
    <row r="298" spans="1:19">
      <c r="A298" s="88">
        <v>55304</v>
      </c>
      <c r="B298" s="88"/>
      <c r="C298" s="485" t="s">
        <v>929</v>
      </c>
      <c r="D298" s="521"/>
      <c r="E298" s="521"/>
      <c r="F298" s="521"/>
      <c r="G298" s="521"/>
      <c r="H298" s="521">
        <v>485745.48</v>
      </c>
      <c r="I298" s="420"/>
      <c r="J298" s="420"/>
      <c r="K298" s="518"/>
      <c r="L298" s="518"/>
      <c r="M298" s="540"/>
      <c r="N298" s="541"/>
      <c r="O298" s="542"/>
      <c r="P298" s="542"/>
      <c r="Q298" s="132"/>
      <c r="R298" s="543"/>
      <c r="S298" s="132"/>
    </row>
    <row r="299" spans="1:19" hidden="1">
      <c r="A299" s="88">
        <v>55308</v>
      </c>
      <c r="B299" s="88"/>
      <c r="C299" s="88" t="s">
        <v>41</v>
      </c>
      <c r="D299" s="521"/>
      <c r="E299" s="521"/>
      <c r="F299" s="521"/>
      <c r="G299" s="521"/>
      <c r="H299" s="521"/>
      <c r="I299" s="420"/>
      <c r="J299" s="420"/>
      <c r="K299" s="518"/>
      <c r="L299" s="518"/>
      <c r="M299" s="540"/>
      <c r="N299" s="541"/>
      <c r="O299" s="542">
        <v>67464.649999999994</v>
      </c>
      <c r="P299" s="542"/>
      <c r="Q299" s="132"/>
      <c r="R299" s="543"/>
      <c r="S299" s="132"/>
    </row>
    <row r="300" spans="1:19" hidden="1">
      <c r="A300" s="88">
        <v>55602</v>
      </c>
      <c r="B300" s="88"/>
      <c r="C300" s="88" t="s">
        <v>569</v>
      </c>
      <c r="D300" s="521"/>
      <c r="E300" s="521"/>
      <c r="F300" s="521"/>
      <c r="G300" s="521"/>
      <c r="H300" s="521"/>
      <c r="I300" s="420"/>
      <c r="J300" s="420"/>
      <c r="K300" s="518"/>
      <c r="L300" s="518"/>
      <c r="M300" s="540"/>
      <c r="N300" s="541"/>
      <c r="O300" s="542"/>
      <c r="P300" s="542"/>
      <c r="Q300" s="132"/>
      <c r="R300" s="543"/>
      <c r="S300" s="132"/>
    </row>
    <row r="301" spans="1:19" hidden="1">
      <c r="A301" s="88">
        <v>55603</v>
      </c>
      <c r="B301" s="88"/>
      <c r="C301" s="88" t="s">
        <v>493</v>
      </c>
      <c r="D301" s="521"/>
      <c r="E301" s="521"/>
      <c r="F301" s="521"/>
      <c r="G301" s="521"/>
      <c r="H301" s="521"/>
      <c r="I301" s="420"/>
      <c r="J301" s="420"/>
      <c r="K301" s="518"/>
      <c r="L301" s="518"/>
      <c r="M301" s="540"/>
      <c r="N301" s="541"/>
      <c r="O301" s="542"/>
      <c r="P301" s="542"/>
      <c r="Q301" s="132"/>
      <c r="R301" s="543"/>
      <c r="S301" s="132"/>
    </row>
    <row r="302" spans="1:19" hidden="1">
      <c r="A302" s="88">
        <v>55703</v>
      </c>
      <c r="B302" s="88"/>
      <c r="C302" s="88" t="s">
        <v>527</v>
      </c>
      <c r="D302" s="521"/>
      <c r="E302" s="521"/>
      <c r="F302" s="521"/>
      <c r="G302" s="521"/>
      <c r="H302" s="521"/>
      <c r="I302" s="420"/>
      <c r="J302" s="420"/>
      <c r="K302" s="518"/>
      <c r="L302" s="518"/>
      <c r="M302" s="540"/>
      <c r="N302" s="541"/>
      <c r="O302" s="542"/>
      <c r="P302" s="542"/>
      <c r="Q302" s="132"/>
      <c r="R302" s="543"/>
      <c r="S302" s="132"/>
    </row>
    <row r="303" spans="1:19" hidden="1">
      <c r="A303" s="88">
        <v>55799</v>
      </c>
      <c r="B303" s="88"/>
      <c r="C303" s="88" t="s">
        <v>808</v>
      </c>
      <c r="D303" s="521"/>
      <c r="E303" s="521"/>
      <c r="F303" s="521"/>
      <c r="G303" s="521"/>
      <c r="H303" s="521"/>
      <c r="I303" s="420"/>
      <c r="J303" s="420"/>
      <c r="K303" s="518"/>
      <c r="L303" s="518"/>
      <c r="M303" s="540"/>
      <c r="N303" s="541"/>
      <c r="O303" s="542"/>
      <c r="P303" s="542"/>
      <c r="Q303" s="132"/>
      <c r="R303" s="543"/>
      <c r="S303" s="132"/>
    </row>
    <row r="304" spans="1:19" hidden="1">
      <c r="A304" s="88">
        <v>56201</v>
      </c>
      <c r="B304" s="88"/>
      <c r="C304" s="88" t="s">
        <v>453</v>
      </c>
      <c r="D304" s="521"/>
      <c r="E304" s="521"/>
      <c r="F304" s="521"/>
      <c r="G304" s="521"/>
      <c r="H304" s="521"/>
      <c r="I304" s="420"/>
      <c r="J304" s="420"/>
      <c r="K304" s="518"/>
      <c r="L304" s="518"/>
      <c r="M304" s="540"/>
      <c r="N304" s="541"/>
      <c r="O304" s="542"/>
      <c r="P304" s="542"/>
      <c r="Q304" s="132"/>
      <c r="R304" s="543"/>
      <c r="S304" s="132"/>
    </row>
    <row r="305" spans="1:19" hidden="1">
      <c r="A305" s="88">
        <v>56303</v>
      </c>
      <c r="B305" s="88"/>
      <c r="C305" s="88" t="s">
        <v>494</v>
      </c>
      <c r="D305" s="521"/>
      <c r="E305" s="521"/>
      <c r="F305" s="521"/>
      <c r="G305" s="521"/>
      <c r="H305" s="521"/>
      <c r="I305" s="420"/>
      <c r="J305" s="420"/>
      <c r="K305" s="518"/>
      <c r="L305" s="518"/>
      <c r="M305" s="540"/>
      <c r="N305" s="541"/>
      <c r="O305" s="542"/>
      <c r="P305" s="542"/>
      <c r="Q305" s="132"/>
      <c r="R305" s="543"/>
      <c r="S305" s="132"/>
    </row>
    <row r="306" spans="1:19" hidden="1">
      <c r="A306" s="88">
        <v>56304</v>
      </c>
      <c r="B306" s="88"/>
      <c r="C306" s="88" t="s">
        <v>177</v>
      </c>
      <c r="D306" s="521"/>
      <c r="E306" s="521"/>
      <c r="F306" s="521"/>
      <c r="G306" s="521"/>
      <c r="H306" s="521"/>
      <c r="I306" s="420"/>
      <c r="J306" s="420"/>
      <c r="K306" s="518"/>
      <c r="L306" s="518"/>
      <c r="M306" s="540"/>
      <c r="N306" s="541"/>
      <c r="O306" s="542"/>
      <c r="P306" s="542"/>
      <c r="Q306" s="132"/>
      <c r="R306" s="543"/>
      <c r="S306" s="132"/>
    </row>
    <row r="307" spans="1:19" hidden="1">
      <c r="A307" s="88">
        <v>56305</v>
      </c>
      <c r="B307" s="88"/>
      <c r="C307" s="88" t="s">
        <v>178</v>
      </c>
      <c r="D307" s="521"/>
      <c r="E307" s="521"/>
      <c r="F307" s="521"/>
      <c r="G307" s="521"/>
      <c r="H307" s="521"/>
      <c r="I307" s="420"/>
      <c r="J307" s="420"/>
      <c r="K307" s="518"/>
      <c r="L307" s="518"/>
      <c r="M307" s="540"/>
      <c r="N307" s="541"/>
      <c r="O307" s="542"/>
      <c r="P307" s="542"/>
      <c r="Q307" s="132"/>
      <c r="R307" s="543"/>
      <c r="S307" s="132"/>
    </row>
    <row r="308" spans="1:19" hidden="1">
      <c r="A308" s="88">
        <v>61101</v>
      </c>
      <c r="B308" s="88"/>
      <c r="C308" s="88" t="s">
        <v>179</v>
      </c>
      <c r="D308" s="521"/>
      <c r="E308" s="521"/>
      <c r="F308" s="521"/>
      <c r="G308" s="521"/>
      <c r="H308" s="521"/>
      <c r="I308" s="420"/>
      <c r="J308" s="420"/>
      <c r="K308" s="518"/>
      <c r="L308" s="518"/>
      <c r="M308" s="540"/>
      <c r="N308" s="541"/>
      <c r="O308" s="542"/>
      <c r="P308" s="542"/>
      <c r="Q308" s="132"/>
      <c r="R308" s="543"/>
      <c r="S308" s="132"/>
    </row>
    <row r="309" spans="1:19" hidden="1">
      <c r="A309" s="88">
        <v>61102</v>
      </c>
      <c r="B309" s="88"/>
      <c r="C309" s="88" t="s">
        <v>194</v>
      </c>
      <c r="D309" s="521"/>
      <c r="E309" s="521"/>
      <c r="F309" s="521"/>
      <c r="G309" s="521"/>
      <c r="H309" s="521"/>
      <c r="I309" s="420"/>
      <c r="J309" s="420"/>
      <c r="K309" s="518"/>
      <c r="L309" s="518"/>
      <c r="M309" s="540"/>
      <c r="N309" s="541"/>
      <c r="O309" s="542"/>
      <c r="P309" s="542"/>
      <c r="Q309" s="132"/>
      <c r="R309" s="543"/>
      <c r="S309" s="132"/>
    </row>
    <row r="310" spans="1:19" hidden="1">
      <c r="A310" s="88">
        <v>61103</v>
      </c>
      <c r="B310" s="88"/>
      <c r="C310" s="88"/>
      <c r="D310" s="521"/>
      <c r="E310" s="521"/>
      <c r="F310" s="521"/>
      <c r="G310" s="521"/>
      <c r="H310" s="521"/>
      <c r="I310" s="420"/>
      <c r="J310" s="420"/>
      <c r="K310" s="518"/>
      <c r="L310" s="518"/>
      <c r="M310" s="540"/>
      <c r="N310" s="541"/>
      <c r="O310" s="542"/>
      <c r="P310" s="542"/>
      <c r="Q310" s="132"/>
      <c r="R310" s="543"/>
      <c r="S310" s="132"/>
    </row>
    <row r="311" spans="1:19" hidden="1">
      <c r="A311" s="88">
        <v>61104</v>
      </c>
      <c r="B311" s="88"/>
      <c r="C311" s="88" t="s">
        <v>180</v>
      </c>
      <c r="D311" s="521"/>
      <c r="E311" s="521"/>
      <c r="F311" s="521"/>
      <c r="G311" s="521"/>
      <c r="H311" s="521"/>
      <c r="I311" s="420"/>
      <c r="J311" s="420"/>
      <c r="K311" s="518"/>
      <c r="L311" s="518"/>
      <c r="M311" s="540"/>
      <c r="N311" s="541"/>
      <c r="O311" s="542"/>
      <c r="P311" s="542"/>
      <c r="Q311" s="132"/>
      <c r="R311" s="543"/>
      <c r="S311" s="132"/>
    </row>
    <row r="312" spans="1:19" hidden="1">
      <c r="A312" s="88">
        <v>61105</v>
      </c>
      <c r="B312" s="88"/>
      <c r="C312" s="88" t="s">
        <v>181</v>
      </c>
      <c r="D312" s="521"/>
      <c r="E312" s="521"/>
      <c r="F312" s="521"/>
      <c r="G312" s="521"/>
      <c r="H312" s="521"/>
      <c r="I312" s="420"/>
      <c r="J312" s="420"/>
      <c r="K312" s="518"/>
      <c r="L312" s="518"/>
      <c r="M312" s="540"/>
      <c r="N312" s="541"/>
      <c r="O312" s="542"/>
      <c r="P312" s="542"/>
      <c r="Q312" s="132"/>
      <c r="R312" s="543"/>
      <c r="S312" s="132"/>
    </row>
    <row r="313" spans="1:19" hidden="1">
      <c r="A313" s="88">
        <v>61106</v>
      </c>
      <c r="B313" s="88"/>
      <c r="C313" s="88" t="s">
        <v>182</v>
      </c>
      <c r="D313" s="521"/>
      <c r="E313" s="521"/>
      <c r="F313" s="521"/>
      <c r="G313" s="521"/>
      <c r="H313" s="521"/>
      <c r="I313" s="420"/>
      <c r="J313" s="420"/>
      <c r="K313" s="518"/>
      <c r="L313" s="518"/>
      <c r="M313" s="540"/>
      <c r="N313" s="541"/>
      <c r="O313" s="542"/>
      <c r="P313" s="542"/>
      <c r="Q313" s="132"/>
      <c r="R313" s="543"/>
      <c r="S313" s="132"/>
    </row>
    <row r="314" spans="1:19" hidden="1">
      <c r="A314" s="88">
        <v>61107</v>
      </c>
      <c r="B314" s="88"/>
      <c r="C314" s="88" t="s">
        <v>183</v>
      </c>
      <c r="D314" s="521"/>
      <c r="E314" s="521"/>
      <c r="F314" s="521"/>
      <c r="G314" s="521"/>
      <c r="H314" s="521"/>
      <c r="I314" s="420"/>
      <c r="J314" s="420"/>
      <c r="K314" s="518"/>
      <c r="L314" s="518"/>
      <c r="M314" s="540"/>
      <c r="N314" s="541"/>
      <c r="O314" s="542"/>
      <c r="P314" s="542"/>
      <c r="Q314" s="132"/>
      <c r="R314" s="543"/>
      <c r="S314" s="132"/>
    </row>
    <row r="315" spans="1:19" hidden="1">
      <c r="A315" s="88">
        <v>61108</v>
      </c>
      <c r="B315" s="88"/>
      <c r="C315" s="88" t="s">
        <v>184</v>
      </c>
      <c r="D315" s="521"/>
      <c r="E315" s="521"/>
      <c r="F315" s="521"/>
      <c r="G315" s="521"/>
      <c r="H315" s="521"/>
      <c r="I315" s="420"/>
      <c r="J315" s="420"/>
      <c r="K315" s="518"/>
      <c r="L315" s="518"/>
      <c r="M315" s="540"/>
      <c r="N315" s="541"/>
      <c r="O315" s="542"/>
      <c r="P315" s="542"/>
      <c r="Q315" s="543"/>
      <c r="R315" s="543"/>
      <c r="S315" s="132"/>
    </row>
    <row r="316" spans="1:19" hidden="1">
      <c r="A316" s="88">
        <v>61199</v>
      </c>
      <c r="B316" s="88"/>
      <c r="C316" s="88" t="s">
        <v>185</v>
      </c>
      <c r="D316" s="521"/>
      <c r="E316" s="521"/>
      <c r="F316" s="521"/>
      <c r="G316" s="521"/>
      <c r="H316" s="521"/>
      <c r="I316" s="420"/>
      <c r="J316" s="420"/>
      <c r="K316" s="518"/>
      <c r="L316" s="518"/>
      <c r="M316" s="540"/>
      <c r="N316" s="541"/>
      <c r="O316" s="542"/>
      <c r="P316" s="542"/>
      <c r="Q316" s="543"/>
      <c r="R316" s="91"/>
      <c r="S316" s="132"/>
    </row>
    <row r="317" spans="1:19" hidden="1">
      <c r="A317" s="88">
        <v>61201</v>
      </c>
      <c r="B317" s="88"/>
      <c r="C317" s="88" t="s">
        <v>72</v>
      </c>
      <c r="D317" s="521"/>
      <c r="E317" s="521"/>
      <c r="F317" s="521"/>
      <c r="G317" s="521"/>
      <c r="H317" s="521"/>
      <c r="I317" s="420"/>
      <c r="J317" s="420"/>
      <c r="K317" s="518"/>
      <c r="L317" s="518"/>
      <c r="M317" s="540"/>
      <c r="N317" s="541"/>
      <c r="O317" s="542"/>
      <c r="P317" s="542"/>
      <c r="Q317" s="543"/>
      <c r="R317" s="543"/>
      <c r="S317" s="132"/>
    </row>
    <row r="318" spans="1:19">
      <c r="A318" s="88">
        <v>61599</v>
      </c>
      <c r="B318" s="88"/>
      <c r="C318" s="88" t="s">
        <v>495</v>
      </c>
      <c r="D318" s="521">
        <f>'Plan 10'!E129*0.05</f>
        <v>78928.926000000007</v>
      </c>
      <c r="E318" s="521"/>
      <c r="F318" s="521"/>
      <c r="G318" s="521"/>
      <c r="H318" s="521"/>
      <c r="I318" s="420"/>
      <c r="J318" s="420"/>
      <c r="K318" s="518"/>
      <c r="L318" s="518"/>
      <c r="M318" s="610"/>
      <c r="N318" s="541"/>
      <c r="O318" s="611">
        <f>O299*12</f>
        <v>809575.79999999993</v>
      </c>
      <c r="P318" s="611">
        <f>O318*0.6</f>
        <v>485745.47999999992</v>
      </c>
      <c r="Q318" s="543" t="s">
        <v>1392</v>
      </c>
      <c r="R318" s="543"/>
      <c r="S318" s="132"/>
    </row>
    <row r="319" spans="1:19">
      <c r="A319" s="88">
        <v>61601</v>
      </c>
      <c r="B319" s="88"/>
      <c r="C319" s="88" t="s">
        <v>186</v>
      </c>
      <c r="D319" s="521"/>
      <c r="E319" s="521"/>
      <c r="F319" s="521"/>
      <c r="G319" s="521"/>
      <c r="H319" s="521"/>
      <c r="I319" s="420"/>
      <c r="J319" s="521"/>
      <c r="K319" s="518">
        <f>SUM('Plan 8'!M22:M25)</f>
        <v>176000</v>
      </c>
      <c r="L319" s="518"/>
      <c r="M319" s="540"/>
      <c r="N319" s="541"/>
      <c r="O319" s="542"/>
      <c r="P319" s="542">
        <f>O318*0.4</f>
        <v>323830.32</v>
      </c>
      <c r="Q319" s="543" t="s">
        <v>1391</v>
      </c>
      <c r="R319" s="543"/>
      <c r="S319" s="132"/>
    </row>
    <row r="320" spans="1:19">
      <c r="A320" s="88">
        <v>61602</v>
      </c>
      <c r="B320" s="88"/>
      <c r="C320" s="88" t="s">
        <v>496</v>
      </c>
      <c r="D320" s="521"/>
      <c r="E320" s="521"/>
      <c r="F320" s="521">
        <f>200000-118750.46+I340+367.75-4200</f>
        <v>77760.86</v>
      </c>
      <c r="G320" s="521"/>
      <c r="H320" s="521"/>
      <c r="I320" s="420"/>
      <c r="K320" s="518"/>
      <c r="L320" s="518"/>
      <c r="M320" s="540"/>
      <c r="N320" s="541"/>
      <c r="O320" s="542"/>
      <c r="P320" s="542"/>
      <c r="Q320" s="543"/>
      <c r="R320" s="543"/>
      <c r="S320" s="132"/>
    </row>
    <row r="321" spans="1:19">
      <c r="A321" s="88">
        <v>61603</v>
      </c>
      <c r="B321" s="88"/>
      <c r="C321" s="485" t="s">
        <v>932</v>
      </c>
      <c r="D321" s="521"/>
      <c r="E321" s="521"/>
      <c r="F321" s="521">
        <f>'Plan 8'!M9+'Plan 8'!M11</f>
        <v>111000</v>
      </c>
      <c r="G321" s="521"/>
      <c r="H321" s="521"/>
      <c r="I321" s="420"/>
      <c r="J321" s="420"/>
      <c r="K321" s="518"/>
      <c r="L321" s="518"/>
      <c r="M321" s="540"/>
      <c r="N321" s="541"/>
      <c r="O321" s="542"/>
      <c r="P321" s="542"/>
      <c r="Q321" s="543"/>
      <c r="R321" s="543"/>
      <c r="S321" s="132"/>
    </row>
    <row r="322" spans="1:19" hidden="1">
      <c r="A322" s="88">
        <v>61604</v>
      </c>
      <c r="B322" s="88"/>
      <c r="C322" s="88" t="s">
        <v>498</v>
      </c>
      <c r="D322" s="521"/>
      <c r="E322" s="521"/>
      <c r="F322" s="521"/>
      <c r="G322" s="521"/>
      <c r="H322" s="521"/>
      <c r="I322" s="420"/>
      <c r="J322" s="420"/>
      <c r="K322" s="518"/>
      <c r="L322" s="518"/>
      <c r="M322" s="540"/>
      <c r="N322" s="541"/>
      <c r="O322" s="542"/>
      <c r="P322" s="542"/>
      <c r="Q322" s="543"/>
      <c r="R322" s="612"/>
      <c r="S322" s="132"/>
    </row>
    <row r="323" spans="1:19" hidden="1">
      <c r="A323" s="88">
        <v>61607</v>
      </c>
      <c r="B323" s="88"/>
      <c r="C323" s="88" t="s">
        <v>528</v>
      </c>
      <c r="D323" s="521"/>
      <c r="E323" s="521"/>
      <c r="F323" s="521"/>
      <c r="G323" s="521"/>
      <c r="H323" s="521"/>
      <c r="I323" s="420"/>
      <c r="J323" s="420"/>
      <c r="K323" s="518"/>
      <c r="L323" s="518"/>
      <c r="M323" s="540"/>
      <c r="N323" s="541"/>
      <c r="O323" s="542"/>
      <c r="P323" s="542"/>
      <c r="Q323" s="613"/>
      <c r="R323" s="543"/>
      <c r="S323" s="132"/>
    </row>
    <row r="324" spans="1:19" hidden="1">
      <c r="A324" s="88">
        <v>61606</v>
      </c>
      <c r="B324" s="88"/>
      <c r="C324" s="88" t="s">
        <v>499</v>
      </c>
      <c r="D324" s="521"/>
      <c r="E324" s="521"/>
      <c r="F324" s="521"/>
      <c r="G324" s="521"/>
      <c r="H324" s="521"/>
      <c r="I324" s="420"/>
      <c r="J324" s="420"/>
      <c r="K324" s="420"/>
      <c r="L324" s="518"/>
      <c r="M324" s="540"/>
      <c r="N324" s="541"/>
      <c r="O324" s="541"/>
      <c r="P324" s="541"/>
      <c r="Q324" s="543"/>
      <c r="R324" s="612"/>
      <c r="S324" s="132"/>
    </row>
    <row r="325" spans="1:19" hidden="1">
      <c r="A325" s="88">
        <v>61608</v>
      </c>
      <c r="B325" s="88"/>
      <c r="C325" s="485" t="s">
        <v>941</v>
      </c>
      <c r="D325" s="521"/>
      <c r="E325" s="521"/>
      <c r="F325" s="521"/>
      <c r="G325" s="521"/>
      <c r="H325" s="521"/>
      <c r="I325" s="522"/>
      <c r="J325" s="420"/>
      <c r="K325" s="518"/>
      <c r="L325" s="518"/>
      <c r="M325" s="540"/>
      <c r="N325" s="541"/>
      <c r="O325" s="541"/>
      <c r="P325" s="541"/>
      <c r="Q325" s="543"/>
      <c r="R325" s="612"/>
      <c r="S325" s="132"/>
    </row>
    <row r="326" spans="1:19">
      <c r="A326" s="88">
        <v>61699</v>
      </c>
      <c r="B326" s="88"/>
      <c r="C326" s="88" t="s">
        <v>500</v>
      </c>
      <c r="D326" s="521"/>
      <c r="E326" s="521"/>
      <c r="F326" s="521">
        <f>'Plan 8'!M12+'Plan 8'!M13+'Plan 8'!M14+'Plan 8'!M15+'Plan 8'!M19+'Plan 8'!M20</f>
        <v>221500</v>
      </c>
      <c r="G326" s="521"/>
      <c r="H326" s="521"/>
      <c r="I326" s="1125"/>
      <c r="J326" s="522">
        <v>3250000</v>
      </c>
      <c r="K326" s="518"/>
      <c r="L326" s="518"/>
      <c r="M326" s="540"/>
      <c r="N326" s="541"/>
      <c r="O326" s="541"/>
      <c r="P326" s="541"/>
      <c r="Q326" s="132"/>
      <c r="R326" s="543"/>
      <c r="S326" s="132"/>
    </row>
    <row r="327" spans="1:19">
      <c r="A327" s="88">
        <v>71304</v>
      </c>
      <c r="B327" s="88"/>
      <c r="C327" s="485" t="s">
        <v>931</v>
      </c>
      <c r="D327" s="521"/>
      <c r="E327" s="521"/>
      <c r="F327" s="521"/>
      <c r="G327" s="521"/>
      <c r="H327" s="521">
        <v>323830.32</v>
      </c>
      <c r="I327" s="420"/>
      <c r="J327" s="420"/>
      <c r="K327" s="518"/>
      <c r="L327" s="518"/>
      <c r="M327" s="540"/>
      <c r="N327" s="541"/>
      <c r="O327" s="541"/>
      <c r="P327" s="541"/>
      <c r="Q327" s="132"/>
      <c r="R327" s="543"/>
      <c r="S327" s="132"/>
    </row>
    <row r="328" spans="1:19" hidden="1">
      <c r="A328" s="88">
        <v>71308</v>
      </c>
      <c r="B328" s="88"/>
      <c r="C328" s="485" t="s">
        <v>930</v>
      </c>
      <c r="D328" s="521"/>
      <c r="E328" s="521"/>
      <c r="F328" s="521"/>
      <c r="G328" s="521"/>
      <c r="H328" s="521"/>
      <c r="I328" s="420"/>
      <c r="J328" s="420"/>
      <c r="K328" s="518"/>
      <c r="L328" s="518"/>
      <c r="M328" s="540"/>
      <c r="N328" s="541"/>
      <c r="O328" s="542"/>
      <c r="P328" s="542"/>
      <c r="Q328" s="132"/>
      <c r="R328" s="613"/>
      <c r="S328" s="132"/>
    </row>
    <row r="329" spans="1:19" hidden="1">
      <c r="A329" s="88">
        <v>72101</v>
      </c>
      <c r="B329" s="88"/>
      <c r="C329" s="88" t="s">
        <v>290</v>
      </c>
      <c r="D329" s="521"/>
      <c r="E329" s="521"/>
      <c r="F329" s="521"/>
      <c r="G329" s="521"/>
      <c r="H329" s="521"/>
      <c r="I329" s="521"/>
      <c r="J329" s="420"/>
      <c r="K329" s="420"/>
      <c r="L329" s="518"/>
      <c r="M329" s="540"/>
      <c r="N329" s="541"/>
      <c r="O329" s="542"/>
      <c r="P329" s="542"/>
      <c r="Q329" s="132"/>
      <c r="R329" s="542"/>
      <c r="S329" s="132"/>
    </row>
    <row r="330" spans="1:19" hidden="1">
      <c r="A330" s="88"/>
      <c r="B330" s="88"/>
      <c r="C330" s="88"/>
      <c r="D330" s="521"/>
      <c r="E330" s="521"/>
      <c r="F330" s="521"/>
      <c r="G330" s="521"/>
      <c r="H330" s="521"/>
      <c r="I330" s="521"/>
      <c r="J330" s="420"/>
      <c r="K330" s="420"/>
      <c r="L330" s="518"/>
      <c r="M330" s="540"/>
      <c r="N330" s="541"/>
      <c r="O330" s="542"/>
      <c r="P330" s="542"/>
      <c r="Q330" s="132"/>
      <c r="R330" s="543"/>
      <c r="S330" s="132"/>
    </row>
    <row r="331" spans="1:19">
      <c r="A331" s="88" t="s">
        <v>395</v>
      </c>
      <c r="B331" s="88"/>
      <c r="C331" s="88"/>
      <c r="D331" s="521">
        <f t="shared" ref="D331:J331" si="7">SUM(D216:D330)</f>
        <v>78928.926000000007</v>
      </c>
      <c r="E331" s="521">
        <f t="shared" si="7"/>
        <v>0</v>
      </c>
      <c r="F331" s="521">
        <f t="shared" si="7"/>
        <v>540480.5</v>
      </c>
      <c r="G331" s="521">
        <f t="shared" si="7"/>
        <v>0</v>
      </c>
      <c r="H331" s="521">
        <f>SUM(H216:H330)</f>
        <v>817999.58000000007</v>
      </c>
      <c r="I331" s="521">
        <f t="shared" si="7"/>
        <v>0</v>
      </c>
      <c r="J331" s="521">
        <f t="shared" si="7"/>
        <v>3250000</v>
      </c>
      <c r="K331" s="521">
        <f>SUM(K216:K330)</f>
        <v>176000</v>
      </c>
      <c r="L331" s="521">
        <f>SUM(L216:L330)</f>
        <v>0</v>
      </c>
      <c r="M331" s="538"/>
      <c r="N331" s="538"/>
      <c r="O331" s="538"/>
      <c r="P331" s="538"/>
      <c r="Q331" s="538"/>
      <c r="R331" s="538"/>
      <c r="S331" s="132"/>
    </row>
    <row r="332" spans="1:19" hidden="1">
      <c r="A332" s="90" t="s">
        <v>501</v>
      </c>
      <c r="D332" s="524">
        <f>SUM(D331:E331)</f>
        <v>78928.926000000007</v>
      </c>
      <c r="E332" s="524"/>
      <c r="F332" s="608">
        <f>F331+G331</f>
        <v>540480.5</v>
      </c>
      <c r="G332" s="608"/>
      <c r="H332" s="608"/>
      <c r="I332" s="1703">
        <f>I331+J331</f>
        <v>3250000</v>
      </c>
      <c r="J332" s="1703"/>
    </row>
    <row r="333" spans="1:19">
      <c r="A333" s="90" t="s">
        <v>502</v>
      </c>
    </row>
    <row r="334" spans="1:19">
      <c r="C334" s="607" t="s">
        <v>805</v>
      </c>
      <c r="D334" s="524">
        <f>E331+G331</f>
        <v>0</v>
      </c>
      <c r="E334" s="525">
        <f>'Plan 10'!E130+'Plan 10'!E131+'Plan 10'!E146+'Plan 10'!E147</f>
        <v>0</v>
      </c>
      <c r="F334" s="525">
        <f t="shared" ref="F334:F340" si="8">E334-D334</f>
        <v>0</v>
      </c>
      <c r="L334" s="986"/>
      <c r="M334" s="986"/>
      <c r="N334" s="986"/>
      <c r="O334" s="1102"/>
      <c r="P334" s="1102"/>
    </row>
    <row r="335" spans="1:19">
      <c r="C335" s="607" t="s">
        <v>802</v>
      </c>
      <c r="D335" s="525">
        <f>E144</f>
        <v>526192.80110000004</v>
      </c>
      <c r="E335" s="524">
        <f>F144</f>
        <v>526192.80000000005</v>
      </c>
      <c r="F335" s="525">
        <f t="shared" si="8"/>
        <v>-1.0999999940395355E-3</v>
      </c>
      <c r="L335" s="1102"/>
      <c r="M335" s="1102"/>
      <c r="N335" s="1102"/>
      <c r="O335" s="1102">
        <f>F336+D138</f>
        <v>174863.17860000004</v>
      </c>
      <c r="P335" s="1102"/>
    </row>
    <row r="336" spans="1:19">
      <c r="C336" s="90" t="s">
        <v>226</v>
      </c>
      <c r="D336" s="525">
        <f>J144</f>
        <v>747986.28139999998</v>
      </c>
      <c r="E336" s="524">
        <f>'Plan 10'!F97</f>
        <v>877586.28</v>
      </c>
      <c r="F336" s="525">
        <f t="shared" si="8"/>
        <v>129599.99860000005</v>
      </c>
      <c r="L336" s="986"/>
      <c r="M336" s="986"/>
      <c r="N336" s="986"/>
      <c r="O336" s="1102">
        <v>15875.97</v>
      </c>
      <c r="P336" s="1102"/>
      <c r="Q336" s="1702"/>
      <c r="R336" s="1702"/>
    </row>
    <row r="337" spans="3:18">
      <c r="C337" s="517" t="s">
        <v>936</v>
      </c>
      <c r="D337" s="525">
        <f>D331+H331+K331+F331</f>
        <v>1613409.0060000001</v>
      </c>
      <c r="E337" s="525">
        <f>'Plan 10'!E129+'Plan 10'!E144+'Plan 10'!E145</f>
        <v>1613409.01</v>
      </c>
      <c r="F337" s="525">
        <f t="shared" si="8"/>
        <v>3.9999999571591616E-3</v>
      </c>
      <c r="H337" s="989"/>
      <c r="L337" s="987"/>
      <c r="M337" s="987"/>
      <c r="N337" s="987"/>
      <c r="O337" s="1101"/>
      <c r="P337" s="1101"/>
      <c r="Q337" s="532"/>
    </row>
    <row r="338" spans="3:18" hidden="1">
      <c r="C338" s="517" t="s">
        <v>1163</v>
      </c>
      <c r="D338" s="525">
        <f>J331+I331</f>
        <v>3250000</v>
      </c>
      <c r="E338" s="525">
        <f>'Plan 10'!F136</f>
        <v>3250000</v>
      </c>
      <c r="F338" s="525">
        <f t="shared" si="8"/>
        <v>0</v>
      </c>
      <c r="Q338" s="532"/>
    </row>
    <row r="339" spans="3:18" hidden="1">
      <c r="C339" s="517" t="s">
        <v>1180</v>
      </c>
      <c r="D339" s="525">
        <f>L331</f>
        <v>0</v>
      </c>
      <c r="E339" s="525">
        <f>'Plan 10'!F187</f>
        <v>0</v>
      </c>
      <c r="F339" s="525">
        <f t="shared" si="8"/>
        <v>0</v>
      </c>
      <c r="Q339" s="531"/>
    </row>
    <row r="340" spans="3:18">
      <c r="D340" s="525">
        <f>SUM(D334:D339)+0.01</f>
        <v>6137588.0985000003</v>
      </c>
      <c r="E340" s="525">
        <f>SUM(E334:E339)</f>
        <v>6267188.0899999999</v>
      </c>
      <c r="F340" s="988">
        <f t="shared" si="8"/>
        <v>129599.99149999954</v>
      </c>
      <c r="I340" s="525">
        <v>343.57</v>
      </c>
      <c r="M340" s="987"/>
      <c r="N340" s="987"/>
    </row>
    <row r="342" spans="3:18">
      <c r="M342" s="526"/>
      <c r="Q342" s="1698"/>
      <c r="R342" s="1698"/>
    </row>
    <row r="346" spans="3:18">
      <c r="L346" s="526"/>
    </row>
  </sheetData>
  <mergeCells count="38">
    <mergeCell ref="A73:C75"/>
    <mergeCell ref="K73:K75"/>
    <mergeCell ref="J73:J75"/>
    <mergeCell ref="H74:I74"/>
    <mergeCell ref="F74:G74"/>
    <mergeCell ref="D74:E74"/>
    <mergeCell ref="A1:L1"/>
    <mergeCell ref="A57:L57"/>
    <mergeCell ref="H4:I4"/>
    <mergeCell ref="A3:C5"/>
    <mergeCell ref="Q342:R342"/>
    <mergeCell ref="A213:C215"/>
    <mergeCell ref="J3:J5"/>
    <mergeCell ref="K3:K5"/>
    <mergeCell ref="A211:L211"/>
    <mergeCell ref="Q336:R336"/>
    <mergeCell ref="N4:Q4"/>
    <mergeCell ref="L4:M4"/>
    <mergeCell ref="D4:E4"/>
    <mergeCell ref="F4:G4"/>
    <mergeCell ref="I332:J332"/>
    <mergeCell ref="Q152:R152"/>
    <mergeCell ref="Q146:R146"/>
    <mergeCell ref="M150:N150"/>
    <mergeCell ref="L147:N147"/>
    <mergeCell ref="L145:N145"/>
    <mergeCell ref="L146:N146"/>
    <mergeCell ref="H143:I143"/>
    <mergeCell ref="F143:G143"/>
    <mergeCell ref="R74:R75"/>
    <mergeCell ref="L73:M73"/>
    <mergeCell ref="L74:L75"/>
    <mergeCell ref="M74:M75"/>
    <mergeCell ref="N74:N75"/>
    <mergeCell ref="N73:Q73"/>
    <mergeCell ref="O74:O75"/>
    <mergeCell ref="P74:P75"/>
    <mergeCell ref="Q74:Q75"/>
  </mergeCells>
  <phoneticPr fontId="0" type="noConversion"/>
  <pageMargins left="0.35433070866141736" right="0.19685039370078741" top="0.17" bottom="0.18" header="0" footer="0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09"/>
  <sheetViews>
    <sheetView topLeftCell="A51" workbookViewId="0">
      <selection activeCell="D52" sqref="D52"/>
    </sheetView>
  </sheetViews>
  <sheetFormatPr baseColWidth="10" defaultColWidth="11.42578125" defaultRowHeight="12.75"/>
  <cols>
    <col min="1" max="1" width="6.28515625" style="1010" customWidth="1"/>
    <col min="2" max="2" width="33.42578125" style="1011" customWidth="1"/>
    <col min="3" max="3" width="14" style="1012" bestFit="1" customWidth="1"/>
    <col min="4" max="4" width="14.140625" style="1010" customWidth="1"/>
    <col min="5" max="7" width="17.85546875" style="1010" hidden="1" customWidth="1"/>
    <col min="8" max="8" width="14.42578125" style="1010" customWidth="1"/>
    <col min="9" max="9" width="16" style="1012" customWidth="1"/>
    <col min="10" max="10" width="6.85546875" style="1010" hidden="1" customWidth="1"/>
    <col min="11" max="11" width="6.42578125" style="1010" hidden="1" customWidth="1"/>
    <col min="12" max="12" width="12.28515625" style="1010" hidden="1" customWidth="1"/>
    <col min="13" max="13" width="11.42578125" style="1010" hidden="1" customWidth="1"/>
    <col min="14" max="15" width="0" style="1010" hidden="1" customWidth="1"/>
    <col min="16" max="16384" width="11.42578125" style="1010"/>
  </cols>
  <sheetData>
    <row r="1" spans="1:10" s="990" customFormat="1" ht="15">
      <c r="A1" s="1722" t="s">
        <v>1279</v>
      </c>
      <c r="B1" s="1722"/>
      <c r="C1" s="1722"/>
      <c r="D1" s="1722"/>
      <c r="E1" s="1722"/>
      <c r="F1" s="1722"/>
      <c r="G1" s="1722"/>
      <c r="H1" s="1722"/>
      <c r="I1" s="1722"/>
    </row>
    <row r="2" spans="1:10" s="990" customFormat="1" ht="12.75" customHeight="1">
      <c r="A2" s="1716" t="s">
        <v>1066</v>
      </c>
      <c r="B2" s="1717" t="s">
        <v>539</v>
      </c>
      <c r="C2" s="1718" t="s">
        <v>1280</v>
      </c>
      <c r="D2" s="1719" t="s">
        <v>1283</v>
      </c>
      <c r="E2" s="1720" t="s">
        <v>1096</v>
      </c>
      <c r="F2" s="1720" t="s">
        <v>470</v>
      </c>
      <c r="G2" s="1720" t="s">
        <v>471</v>
      </c>
      <c r="H2" s="1720" t="s">
        <v>1282</v>
      </c>
      <c r="I2" s="1721" t="s">
        <v>1284</v>
      </c>
    </row>
    <row r="3" spans="1:10" s="990" customFormat="1" ht="39" customHeight="1">
      <c r="A3" s="1716"/>
      <c r="B3" s="1717"/>
      <c r="C3" s="1718"/>
      <c r="D3" s="1719"/>
      <c r="E3" s="1720"/>
      <c r="F3" s="1720"/>
      <c r="G3" s="1720"/>
      <c r="H3" s="1720"/>
      <c r="I3" s="1721"/>
    </row>
    <row r="4" spans="1:10" s="995" customFormat="1" ht="15" customHeight="1">
      <c r="A4" s="991">
        <v>11</v>
      </c>
      <c r="B4" s="992" t="s">
        <v>225</v>
      </c>
      <c r="C4" s="993">
        <f t="shared" ref="C4:I4" si="0">C5</f>
        <v>69548.090000000011</v>
      </c>
      <c r="D4" s="993">
        <f t="shared" si="0"/>
        <v>50798.100000000006</v>
      </c>
      <c r="E4" s="993">
        <f t="shared" si="0"/>
        <v>0</v>
      </c>
      <c r="F4" s="993">
        <f t="shared" si="0"/>
        <v>0</v>
      </c>
      <c r="G4" s="993">
        <f t="shared" si="0"/>
        <v>0</v>
      </c>
      <c r="H4" s="993">
        <f t="shared" si="0"/>
        <v>67730.8</v>
      </c>
      <c r="I4" s="993">
        <f t="shared" si="0"/>
        <v>67921.789333333334</v>
      </c>
      <c r="J4" s="994"/>
    </row>
    <row r="5" spans="1:10" s="995" customFormat="1" ht="15" customHeight="1">
      <c r="A5" s="991">
        <v>118</v>
      </c>
      <c r="B5" s="992" t="s">
        <v>224</v>
      </c>
      <c r="C5" s="993">
        <f>SUM(C6:C18)</f>
        <v>69548.090000000011</v>
      </c>
      <c r="D5" s="993">
        <f>SUM(D6:D18)</f>
        <v>50798.100000000006</v>
      </c>
      <c r="E5" s="993">
        <f>SUM(E6:E17)</f>
        <v>0</v>
      </c>
      <c r="F5" s="993">
        <f>SUM(F6:F17)</f>
        <v>0</v>
      </c>
      <c r="G5" s="993">
        <f>SUM(G6:G17)</f>
        <v>0</v>
      </c>
      <c r="H5" s="993">
        <f>SUM(H6:H18)</f>
        <v>67730.8</v>
      </c>
      <c r="I5" s="993">
        <f>SUM(I6:I18)</f>
        <v>67921.789333333334</v>
      </c>
      <c r="J5" s="994"/>
    </row>
    <row r="6" spans="1:10" s="990" customFormat="1" ht="15" customHeight="1">
      <c r="A6" s="996">
        <v>11801</v>
      </c>
      <c r="B6" s="997" t="s">
        <v>300</v>
      </c>
      <c r="C6" s="998">
        <v>16970.79</v>
      </c>
      <c r="D6" s="998">
        <v>12001.97</v>
      </c>
      <c r="E6" s="998"/>
      <c r="F6" s="998"/>
      <c r="G6" s="998"/>
      <c r="H6" s="999">
        <f>(D6/9)*12</f>
        <v>16002.626666666665</v>
      </c>
      <c r="I6" s="998">
        <f>H6</f>
        <v>16002.626666666665</v>
      </c>
      <c r="J6" s="1001"/>
    </row>
    <row r="7" spans="1:10" s="990" customFormat="1" ht="15" customHeight="1">
      <c r="A7" s="996">
        <v>11802</v>
      </c>
      <c r="B7" s="997" t="s">
        <v>301</v>
      </c>
      <c r="C7" s="998">
        <v>624.33000000000004</v>
      </c>
      <c r="D7" s="998">
        <v>2052.3200000000002</v>
      </c>
      <c r="E7" s="998"/>
      <c r="F7" s="998"/>
      <c r="G7" s="998"/>
      <c r="H7" s="999">
        <f t="shared" ref="H7:H18" si="1">(D7/9)*12</f>
        <v>2736.4266666666667</v>
      </c>
      <c r="I7" s="998">
        <f t="shared" ref="I7:I16" si="2">H7</f>
        <v>2736.4266666666667</v>
      </c>
      <c r="J7" s="1001"/>
    </row>
    <row r="8" spans="1:10" s="990" customFormat="1" ht="15" customHeight="1">
      <c r="A8" s="996">
        <v>11803</v>
      </c>
      <c r="B8" s="997" t="s">
        <v>743</v>
      </c>
      <c r="C8" s="998">
        <v>36666.959999999999</v>
      </c>
      <c r="D8" s="998">
        <v>25687.24</v>
      </c>
      <c r="E8" s="998"/>
      <c r="F8" s="998"/>
      <c r="G8" s="998"/>
      <c r="H8" s="999">
        <f t="shared" si="1"/>
        <v>34249.653333333335</v>
      </c>
      <c r="I8" s="998">
        <f t="shared" si="2"/>
        <v>34249.653333333335</v>
      </c>
      <c r="J8" s="1001"/>
    </row>
    <row r="9" spans="1:10" s="990" customFormat="1" ht="15" customHeight="1">
      <c r="A9" s="996">
        <v>11804</v>
      </c>
      <c r="B9" s="997" t="s">
        <v>744</v>
      </c>
      <c r="C9" s="1002">
        <v>9442.34</v>
      </c>
      <c r="D9" s="1002">
        <v>5961.94</v>
      </c>
      <c r="E9" s="1002"/>
      <c r="F9" s="1002"/>
      <c r="G9" s="1002"/>
      <c r="H9" s="999">
        <f t="shared" si="1"/>
        <v>7949.2533333333322</v>
      </c>
      <c r="I9" s="998">
        <f t="shared" si="2"/>
        <v>7949.2533333333322</v>
      </c>
      <c r="J9" s="1001"/>
    </row>
    <row r="10" spans="1:10" s="990" customFormat="1" ht="15" customHeight="1">
      <c r="A10" s="996">
        <v>11806</v>
      </c>
      <c r="B10" s="997" t="s">
        <v>876</v>
      </c>
      <c r="C10" s="1002">
        <v>792.54</v>
      </c>
      <c r="D10" s="1002">
        <v>368.61</v>
      </c>
      <c r="E10" s="1002"/>
      <c r="F10" s="1002"/>
      <c r="G10" s="1002"/>
      <c r="H10" s="999">
        <f t="shared" si="1"/>
        <v>491.48</v>
      </c>
      <c r="I10" s="998">
        <f t="shared" si="2"/>
        <v>491.48</v>
      </c>
      <c r="J10" s="1001"/>
    </row>
    <row r="11" spans="1:10" s="990" customFormat="1" ht="15" hidden="1" customHeight="1">
      <c r="A11" s="996">
        <v>11808</v>
      </c>
      <c r="B11" s="997" t="s">
        <v>877</v>
      </c>
      <c r="C11" s="1002"/>
      <c r="D11" s="1002"/>
      <c r="E11" s="1002"/>
      <c r="F11" s="1002"/>
      <c r="G11" s="1002"/>
      <c r="H11" s="999">
        <f t="shared" si="1"/>
        <v>0</v>
      </c>
      <c r="I11" s="998">
        <f t="shared" si="2"/>
        <v>0</v>
      </c>
      <c r="J11" s="1001"/>
    </row>
    <row r="12" spans="1:10" s="990" customFormat="1" ht="15" hidden="1" customHeight="1">
      <c r="A12" s="996">
        <v>11809</v>
      </c>
      <c r="B12" s="997" t="s">
        <v>878</v>
      </c>
      <c r="C12" s="1002"/>
      <c r="D12" s="1002"/>
      <c r="E12" s="1002"/>
      <c r="F12" s="1002"/>
      <c r="G12" s="1002"/>
      <c r="H12" s="999">
        <f t="shared" si="1"/>
        <v>0</v>
      </c>
      <c r="I12" s="998">
        <f t="shared" si="2"/>
        <v>0</v>
      </c>
      <c r="J12" s="1001"/>
    </row>
    <row r="13" spans="1:10" s="990" customFormat="1" ht="15" customHeight="1">
      <c r="A13" s="996">
        <v>11810</v>
      </c>
      <c r="B13" s="997" t="s">
        <v>879</v>
      </c>
      <c r="C13" s="1002">
        <v>523.44000000000005</v>
      </c>
      <c r="D13" s="1002">
        <v>180.57</v>
      </c>
      <c r="E13" s="1002"/>
      <c r="F13" s="1002"/>
      <c r="G13" s="1002"/>
      <c r="H13" s="999">
        <f t="shared" si="1"/>
        <v>240.76</v>
      </c>
      <c r="I13" s="998">
        <f t="shared" si="2"/>
        <v>240.76</v>
      </c>
      <c r="J13" s="1001"/>
    </row>
    <row r="14" spans="1:10" s="990" customFormat="1" ht="15" customHeight="1">
      <c r="A14" s="996">
        <v>11813</v>
      </c>
      <c r="B14" s="997" t="s">
        <v>1098</v>
      </c>
      <c r="C14" s="1002">
        <v>368.55</v>
      </c>
      <c r="D14" s="1002">
        <v>106.86</v>
      </c>
      <c r="E14" s="1002"/>
      <c r="F14" s="1002"/>
      <c r="G14" s="1002"/>
      <c r="H14" s="999">
        <f t="shared" si="1"/>
        <v>142.47999999999999</v>
      </c>
      <c r="I14" s="998">
        <f t="shared" si="2"/>
        <v>142.47999999999999</v>
      </c>
      <c r="J14" s="1001"/>
    </row>
    <row r="15" spans="1:10" s="990" customFormat="1" ht="15" customHeight="1">
      <c r="A15" s="996">
        <v>11814</v>
      </c>
      <c r="B15" s="997" t="s">
        <v>1099</v>
      </c>
      <c r="C15" s="1002">
        <v>154.28</v>
      </c>
      <c r="D15" s="1002">
        <v>105.71</v>
      </c>
      <c r="E15" s="1002"/>
      <c r="F15" s="1002"/>
      <c r="G15" s="1002"/>
      <c r="H15" s="999">
        <f t="shared" si="1"/>
        <v>140.94666666666666</v>
      </c>
      <c r="I15" s="998">
        <f t="shared" si="2"/>
        <v>140.94666666666666</v>
      </c>
      <c r="J15" s="1001"/>
    </row>
    <row r="16" spans="1:10" s="990" customFormat="1" ht="15" hidden="1" customHeight="1">
      <c r="A16" s="996">
        <v>11817</v>
      </c>
      <c r="B16" s="997" t="s">
        <v>327</v>
      </c>
      <c r="C16" s="1002"/>
      <c r="D16" s="1002"/>
      <c r="E16" s="1002"/>
      <c r="F16" s="1002"/>
      <c r="G16" s="1002"/>
      <c r="H16" s="999">
        <f t="shared" si="1"/>
        <v>0</v>
      </c>
      <c r="I16" s="998">
        <f t="shared" si="2"/>
        <v>0</v>
      </c>
      <c r="J16" s="1001"/>
    </row>
    <row r="17" spans="1:14" s="990" customFormat="1" ht="15" customHeight="1">
      <c r="A17" s="996">
        <v>11818</v>
      </c>
      <c r="B17" s="997" t="s">
        <v>1067</v>
      </c>
      <c r="C17" s="1002">
        <v>1629.25</v>
      </c>
      <c r="D17" s="1002">
        <v>1468.04</v>
      </c>
      <c r="E17" s="1130"/>
      <c r="F17" s="1130"/>
      <c r="G17" s="1130"/>
      <c r="H17" s="999">
        <f t="shared" si="1"/>
        <v>1957.3866666666665</v>
      </c>
      <c r="I17" s="998">
        <f>H17</f>
        <v>1957.3866666666665</v>
      </c>
      <c r="J17" s="1001"/>
      <c r="K17" s="1715">
        <f>SUM(I6:I17)</f>
        <v>63911.013333333336</v>
      </c>
      <c r="L17" s="1715"/>
      <c r="M17" s="1001"/>
    </row>
    <row r="18" spans="1:14" s="990" customFormat="1" ht="15" customHeight="1">
      <c r="A18" s="996">
        <v>11899</v>
      </c>
      <c r="B18" s="997" t="s">
        <v>1097</v>
      </c>
      <c r="C18" s="1002">
        <v>2375.61</v>
      </c>
      <c r="D18" s="1002">
        <v>2864.84</v>
      </c>
      <c r="E18" s="1002"/>
      <c r="F18" s="1002"/>
      <c r="G18" s="1002"/>
      <c r="H18" s="999">
        <f t="shared" si="1"/>
        <v>3819.7866666666669</v>
      </c>
      <c r="I18" s="998">
        <f>H18*1.05</f>
        <v>4010.7760000000003</v>
      </c>
      <c r="J18" s="1001"/>
    </row>
    <row r="19" spans="1:14" s="990" customFormat="1" ht="15" customHeight="1">
      <c r="A19" s="996"/>
      <c r="B19" s="997"/>
      <c r="C19" s="998"/>
      <c r="D19" s="998"/>
      <c r="E19" s="998"/>
      <c r="F19" s="998"/>
      <c r="G19" s="998"/>
      <c r="H19" s="993"/>
      <c r="I19" s="998"/>
      <c r="J19" s="1001"/>
    </row>
    <row r="20" spans="1:14" s="995" customFormat="1" ht="15" customHeight="1">
      <c r="A20" s="991">
        <v>12</v>
      </c>
      <c r="B20" s="992" t="s">
        <v>223</v>
      </c>
      <c r="C20" s="993">
        <f t="shared" ref="C20:I20" si="3">C21+C37</f>
        <v>485980.67000000004</v>
      </c>
      <c r="D20" s="993">
        <f t="shared" si="3"/>
        <v>356245.46</v>
      </c>
      <c r="E20" s="993">
        <f t="shared" si="3"/>
        <v>0</v>
      </c>
      <c r="F20" s="993">
        <f t="shared" si="3"/>
        <v>0</v>
      </c>
      <c r="G20" s="993">
        <f t="shared" si="3"/>
        <v>0</v>
      </c>
      <c r="H20" s="993">
        <f t="shared" si="3"/>
        <v>528143.20666666667</v>
      </c>
      <c r="I20" s="993">
        <f t="shared" si="3"/>
        <v>737714.92149999994</v>
      </c>
      <c r="J20" s="994"/>
    </row>
    <row r="21" spans="1:14" s="995" customFormat="1" ht="15" customHeight="1">
      <c r="A21" s="991">
        <v>121</v>
      </c>
      <c r="B21" s="992" t="s">
        <v>1068</v>
      </c>
      <c r="C21" s="993">
        <f>SUM(C22:C36)</f>
        <v>435796.56000000006</v>
      </c>
      <c r="D21" s="993">
        <f>SUM(D23:D36)</f>
        <v>318895.56</v>
      </c>
      <c r="E21" s="993">
        <f>SUM(E23:E36)</f>
        <v>0</v>
      </c>
      <c r="F21" s="993">
        <f>SUM(F23:F36)</f>
        <v>0</v>
      </c>
      <c r="G21" s="993">
        <f>SUM(G23:G36)</f>
        <v>0</v>
      </c>
      <c r="H21" s="993">
        <f>SUM(H23:H36)</f>
        <v>478343.33999999997</v>
      </c>
      <c r="I21" s="993">
        <f>SUM(I22:I36)</f>
        <v>678888.82899999991</v>
      </c>
      <c r="J21" s="994"/>
    </row>
    <row r="22" spans="1:14" s="1004" customFormat="1" ht="15" customHeight="1">
      <c r="A22" s="996">
        <v>12105</v>
      </c>
      <c r="B22" s="997" t="s">
        <v>1069</v>
      </c>
      <c r="C22" s="999">
        <v>31085.5</v>
      </c>
      <c r="D22" s="999">
        <v>25429</v>
      </c>
      <c r="E22" s="999"/>
      <c r="F22" s="999"/>
      <c r="G22" s="999"/>
      <c r="H22" s="999">
        <f t="shared" ref="H22:H36" si="4">(D22/8)*12</f>
        <v>38143.5</v>
      </c>
      <c r="I22" s="998">
        <f t="shared" ref="I22:I39" si="5">H22*1.05</f>
        <v>40050.675000000003</v>
      </c>
      <c r="J22" s="1003"/>
    </row>
    <row r="23" spans="1:14" s="990" customFormat="1" ht="15" hidden="1" customHeight="1">
      <c r="A23" s="996">
        <v>12106</v>
      </c>
      <c r="B23" s="997" t="s">
        <v>1070</v>
      </c>
      <c r="C23" s="998"/>
      <c r="D23" s="998"/>
      <c r="E23" s="998"/>
      <c r="F23" s="998"/>
      <c r="G23" s="998"/>
      <c r="H23" s="999">
        <f t="shared" si="4"/>
        <v>0</v>
      </c>
      <c r="I23" s="998">
        <f t="shared" si="5"/>
        <v>0</v>
      </c>
      <c r="J23" s="1001"/>
    </row>
    <row r="24" spans="1:14" s="990" customFormat="1" ht="15" hidden="1" customHeight="1">
      <c r="A24" s="996">
        <v>12107</v>
      </c>
      <c r="B24" s="997" t="s">
        <v>1071</v>
      </c>
      <c r="C24" s="998"/>
      <c r="D24" s="998"/>
      <c r="E24" s="998"/>
      <c r="F24" s="998"/>
      <c r="G24" s="998"/>
      <c r="H24" s="999">
        <f t="shared" si="4"/>
        <v>0</v>
      </c>
      <c r="I24" s="998">
        <f t="shared" si="5"/>
        <v>0</v>
      </c>
      <c r="J24" s="1001"/>
    </row>
    <row r="25" spans="1:14" s="990" customFormat="1" ht="15" customHeight="1">
      <c r="A25" s="996">
        <v>12108</v>
      </c>
      <c r="B25" s="997" t="s">
        <v>1072</v>
      </c>
      <c r="C25" s="998">
        <v>48933.04</v>
      </c>
      <c r="D25" s="998">
        <v>26866.959999999999</v>
      </c>
      <c r="E25" s="998"/>
      <c r="F25" s="998"/>
      <c r="G25" s="998"/>
      <c r="H25" s="999">
        <f t="shared" si="4"/>
        <v>40300.44</v>
      </c>
      <c r="I25" s="998">
        <f t="shared" si="5"/>
        <v>42315.462000000007</v>
      </c>
      <c r="J25" s="1001"/>
    </row>
    <row r="26" spans="1:14" s="990" customFormat="1" ht="15" customHeight="1">
      <c r="A26" s="996">
        <v>12109</v>
      </c>
      <c r="B26" s="997" t="s">
        <v>303</v>
      </c>
      <c r="C26" s="1002">
        <v>26016.25</v>
      </c>
      <c r="D26" s="1002">
        <v>19325.990000000002</v>
      </c>
      <c r="E26" s="998"/>
      <c r="F26" s="998"/>
      <c r="G26" s="998"/>
      <c r="H26" s="999">
        <f t="shared" si="4"/>
        <v>28988.985000000001</v>
      </c>
      <c r="I26" s="998">
        <f t="shared" si="5"/>
        <v>30438.434250000002</v>
      </c>
      <c r="J26" s="1001"/>
    </row>
    <row r="27" spans="1:14" s="990" customFormat="1" ht="15" hidden="1" customHeight="1">
      <c r="A27" s="996">
        <v>12110</v>
      </c>
      <c r="B27" s="997" t="s">
        <v>1073</v>
      </c>
      <c r="C27" s="1002"/>
      <c r="D27" s="1002"/>
      <c r="E27" s="998"/>
      <c r="F27" s="998"/>
      <c r="G27" s="998"/>
      <c r="H27" s="999">
        <f t="shared" si="4"/>
        <v>0</v>
      </c>
      <c r="I27" s="998">
        <f t="shared" si="5"/>
        <v>0</v>
      </c>
      <c r="J27" s="1001"/>
    </row>
    <row r="28" spans="1:14" s="990" customFormat="1" ht="15" customHeight="1">
      <c r="A28" s="996">
        <v>12111</v>
      </c>
      <c r="B28" s="997" t="s">
        <v>483</v>
      </c>
      <c r="C28" s="1002">
        <v>5268.85</v>
      </c>
      <c r="D28" s="1002">
        <v>3510.05</v>
      </c>
      <c r="E28" s="1002"/>
      <c r="F28" s="1002"/>
      <c r="G28" s="1002"/>
      <c r="H28" s="999">
        <f t="shared" si="4"/>
        <v>5265.0750000000007</v>
      </c>
      <c r="I28" s="998">
        <f t="shared" si="5"/>
        <v>5528.3287500000006</v>
      </c>
      <c r="J28" s="1001"/>
    </row>
    <row r="29" spans="1:14" s="990" customFormat="1" ht="15" hidden="1" customHeight="1">
      <c r="A29" s="996">
        <v>12112</v>
      </c>
      <c r="B29" s="997" t="s">
        <v>1074</v>
      </c>
      <c r="C29" s="1002"/>
      <c r="D29" s="998"/>
      <c r="E29" s="998"/>
      <c r="F29" s="998"/>
      <c r="G29" s="998"/>
      <c r="H29" s="999">
        <f t="shared" si="4"/>
        <v>0</v>
      </c>
      <c r="I29" s="998">
        <f t="shared" si="5"/>
        <v>0</v>
      </c>
      <c r="J29" s="1001"/>
    </row>
    <row r="30" spans="1:14" s="990" customFormat="1" ht="15" customHeight="1">
      <c r="A30" s="996">
        <v>12114</v>
      </c>
      <c r="B30" s="997" t="s">
        <v>222</v>
      </c>
      <c r="C30" s="1002">
        <v>34551.96</v>
      </c>
      <c r="D30" s="1002">
        <v>26836.04</v>
      </c>
      <c r="E30" s="1002"/>
      <c r="F30" s="1002"/>
      <c r="G30" s="1002"/>
      <c r="H30" s="999">
        <f t="shared" si="4"/>
        <v>40254.06</v>
      </c>
      <c r="I30" s="998">
        <v>52016.41</v>
      </c>
      <c r="J30" s="1001"/>
      <c r="M30" s="1132">
        <f>I5*0.05</f>
        <v>3396.0894666666668</v>
      </c>
      <c r="N30" s="990">
        <f>(I21+I37+I44)*0.07</f>
        <v>55657.567735000004</v>
      </c>
    </row>
    <row r="31" spans="1:14" s="990" customFormat="1" ht="15" customHeight="1">
      <c r="A31" s="996">
        <v>12115</v>
      </c>
      <c r="B31" s="997" t="s">
        <v>304</v>
      </c>
      <c r="C31" s="1002">
        <v>93206.34</v>
      </c>
      <c r="D31" s="1002">
        <v>71873.740000000005</v>
      </c>
      <c r="E31" s="1002"/>
      <c r="F31" s="1002"/>
      <c r="G31" s="1002"/>
      <c r="H31" s="999">
        <f t="shared" si="4"/>
        <v>107810.61000000002</v>
      </c>
      <c r="I31" s="998">
        <f t="shared" si="5"/>
        <v>113201.14050000002</v>
      </c>
      <c r="J31" s="1001"/>
    </row>
    <row r="32" spans="1:14" s="990" customFormat="1" ht="15" customHeight="1">
      <c r="A32" s="996">
        <v>12117</v>
      </c>
      <c r="B32" s="997" t="s">
        <v>232</v>
      </c>
      <c r="C32" s="1002">
        <v>76033.58</v>
      </c>
      <c r="D32" s="1002">
        <v>47568.19</v>
      </c>
      <c r="E32" s="1002"/>
      <c r="F32" s="1002"/>
      <c r="G32" s="1002"/>
      <c r="H32" s="999">
        <f t="shared" si="4"/>
        <v>71352.285000000003</v>
      </c>
      <c r="I32" s="998">
        <f t="shared" si="5"/>
        <v>74919.899250000002</v>
      </c>
      <c r="J32" s="1001"/>
    </row>
    <row r="33" spans="1:13" s="990" customFormat="1" ht="15" customHeight="1">
      <c r="A33" s="996">
        <v>12118</v>
      </c>
      <c r="B33" s="997" t="s">
        <v>746</v>
      </c>
      <c r="C33" s="1002">
        <v>85310.8</v>
      </c>
      <c r="D33" s="1002">
        <v>92024.28</v>
      </c>
      <c r="E33" s="1002"/>
      <c r="F33" s="1002"/>
      <c r="G33" s="1002"/>
      <c r="H33" s="999">
        <f t="shared" si="4"/>
        <v>138036.41999999998</v>
      </c>
      <c r="I33" s="998">
        <f>(H33*1.05)+126828</f>
        <v>271766.24099999998</v>
      </c>
      <c r="J33" s="1001"/>
    </row>
    <row r="34" spans="1:13" s="990" customFormat="1" ht="15" customHeight="1">
      <c r="A34" s="996">
        <v>12119</v>
      </c>
      <c r="B34" s="997" t="s">
        <v>305</v>
      </c>
      <c r="C34" s="1002">
        <v>2087.9499999999998</v>
      </c>
      <c r="D34" s="1002">
        <v>1534.66</v>
      </c>
      <c r="E34" s="1002"/>
      <c r="F34" s="1002"/>
      <c r="G34" s="1002"/>
      <c r="H34" s="999">
        <f t="shared" si="4"/>
        <v>2301.9900000000002</v>
      </c>
      <c r="I34" s="998">
        <f t="shared" si="5"/>
        <v>2417.0895000000005</v>
      </c>
      <c r="J34" s="1001"/>
    </row>
    <row r="35" spans="1:13" s="990" customFormat="1" ht="15" customHeight="1">
      <c r="A35" s="996">
        <v>12123</v>
      </c>
      <c r="B35" s="997" t="s">
        <v>1075</v>
      </c>
      <c r="C35" s="1002">
        <v>30316.45</v>
      </c>
      <c r="D35" s="1002">
        <v>28444.25</v>
      </c>
      <c r="E35" s="1002"/>
      <c r="F35" s="1002"/>
      <c r="G35" s="1002"/>
      <c r="H35" s="999">
        <f t="shared" si="4"/>
        <v>42666.375</v>
      </c>
      <c r="I35" s="998">
        <f t="shared" si="5"/>
        <v>44799.693749999999</v>
      </c>
      <c r="J35" s="1001"/>
    </row>
    <row r="36" spans="1:13" s="990" customFormat="1" ht="15" customHeight="1">
      <c r="A36" s="996">
        <v>12199</v>
      </c>
      <c r="B36" s="997" t="s">
        <v>747</v>
      </c>
      <c r="C36" s="1002">
        <v>2985.84</v>
      </c>
      <c r="D36" s="1002">
        <v>911.4</v>
      </c>
      <c r="E36" s="1002"/>
      <c r="F36" s="1002"/>
      <c r="G36" s="1002"/>
      <c r="H36" s="999">
        <f t="shared" si="4"/>
        <v>1367.1</v>
      </c>
      <c r="I36" s="998">
        <f t="shared" si="5"/>
        <v>1435.4549999999999</v>
      </c>
      <c r="J36" s="1001"/>
      <c r="L36" s="1001">
        <f>SUM(I22:I36)-I30</f>
        <v>626872.41899999988</v>
      </c>
      <c r="M36" s="1001">
        <f>L36*0.07</f>
        <v>43881.069329999998</v>
      </c>
    </row>
    <row r="37" spans="1:13" s="995" customFormat="1" ht="15" customHeight="1">
      <c r="A37" s="991">
        <v>122</v>
      </c>
      <c r="B37" s="992" t="s">
        <v>221</v>
      </c>
      <c r="C37" s="993">
        <f>SUM(C38:C39)</f>
        <v>50184.11</v>
      </c>
      <c r="D37" s="993">
        <f>SUM(D38:D39)</f>
        <v>37349.9</v>
      </c>
      <c r="E37" s="993"/>
      <c r="F37" s="993"/>
      <c r="G37" s="993"/>
      <c r="H37" s="993">
        <f>(D37/9)*12</f>
        <v>49799.866666666669</v>
      </c>
      <c r="I37" s="993">
        <f>SUM(I38:I39)</f>
        <v>58826.092500000006</v>
      </c>
      <c r="J37" s="994"/>
    </row>
    <row r="38" spans="1:13" s="990" customFormat="1" ht="15" customHeight="1">
      <c r="A38" s="996">
        <v>12210</v>
      </c>
      <c r="B38" s="997" t="s">
        <v>1076</v>
      </c>
      <c r="C38" s="1002">
        <v>50001.11</v>
      </c>
      <c r="D38" s="1002">
        <v>37199.9</v>
      </c>
      <c r="E38" s="1002"/>
      <c r="F38" s="1002"/>
      <c r="G38" s="1002"/>
      <c r="H38" s="999">
        <f>(D38/8)*12</f>
        <v>55799.850000000006</v>
      </c>
      <c r="I38" s="998">
        <f t="shared" si="5"/>
        <v>58589.842500000006</v>
      </c>
      <c r="J38" s="1001"/>
    </row>
    <row r="39" spans="1:13" s="990" customFormat="1" ht="15" customHeight="1">
      <c r="A39" s="996">
        <v>12211</v>
      </c>
      <c r="B39" s="997" t="s">
        <v>325</v>
      </c>
      <c r="C39" s="1002">
        <v>183</v>
      </c>
      <c r="D39" s="1002">
        <v>150</v>
      </c>
      <c r="E39" s="1002"/>
      <c r="F39" s="1002"/>
      <c r="G39" s="1002"/>
      <c r="H39" s="999">
        <f>(D39/8)*12</f>
        <v>225</v>
      </c>
      <c r="I39" s="998">
        <f t="shared" si="5"/>
        <v>236.25</v>
      </c>
      <c r="J39" s="1001"/>
    </row>
    <row r="40" spans="1:13" s="990" customFormat="1" ht="15" hidden="1" customHeight="1">
      <c r="A40" s="996"/>
      <c r="B40" s="997"/>
      <c r="C40" s="998"/>
      <c r="D40" s="998"/>
      <c r="E40" s="998"/>
      <c r="F40" s="998"/>
      <c r="G40" s="998"/>
      <c r="H40" s="993"/>
      <c r="I40" s="998"/>
      <c r="J40" s="1001"/>
    </row>
    <row r="41" spans="1:13" s="995" customFormat="1" ht="15" hidden="1" customHeight="1">
      <c r="A41" s="1716" t="s">
        <v>1066</v>
      </c>
      <c r="B41" s="1717" t="s">
        <v>539</v>
      </c>
      <c r="C41" s="1718"/>
      <c r="D41" s="1719"/>
      <c r="E41" s="1720" t="s">
        <v>1096</v>
      </c>
      <c r="F41" s="1720" t="s">
        <v>470</v>
      </c>
      <c r="G41" s="1720" t="s">
        <v>471</v>
      </c>
      <c r="H41" s="1720" t="s">
        <v>1209</v>
      </c>
      <c r="I41" s="1721" t="s">
        <v>1210</v>
      </c>
      <c r="J41" s="994"/>
    </row>
    <row r="42" spans="1:13" s="995" customFormat="1" ht="22.5" hidden="1" customHeight="1">
      <c r="A42" s="1716"/>
      <c r="B42" s="1717"/>
      <c r="C42" s="1718"/>
      <c r="D42" s="1719"/>
      <c r="E42" s="1720"/>
      <c r="F42" s="1720"/>
      <c r="G42" s="1720"/>
      <c r="H42" s="1720"/>
      <c r="I42" s="1721"/>
      <c r="J42" s="994"/>
    </row>
    <row r="43" spans="1:13" s="995" customFormat="1" ht="15" customHeight="1">
      <c r="A43" s="991">
        <v>14</v>
      </c>
      <c r="B43" s="992" t="s">
        <v>749</v>
      </c>
      <c r="C43" s="993"/>
      <c r="D43" s="993"/>
      <c r="E43" s="993">
        <f>E44</f>
        <v>0</v>
      </c>
      <c r="F43" s="993">
        <f>F44</f>
        <v>0</v>
      </c>
      <c r="G43" s="993">
        <f>G44</f>
        <v>0</v>
      </c>
      <c r="H43" s="993">
        <f>H44</f>
        <v>54660.180000000008</v>
      </c>
      <c r="I43" s="993">
        <f>I44</f>
        <v>57393.189000000013</v>
      </c>
      <c r="J43" s="994"/>
    </row>
    <row r="44" spans="1:13" s="995" customFormat="1" ht="15" customHeight="1">
      <c r="A44" s="991">
        <v>142</v>
      </c>
      <c r="B44" s="992" t="s">
        <v>1077</v>
      </c>
      <c r="C44" s="993"/>
      <c r="D44" s="993"/>
      <c r="E44" s="993">
        <f>SUM(E45:E46)</f>
        <v>0</v>
      </c>
      <c r="F44" s="993">
        <f>SUM(F45:F46)</f>
        <v>0</v>
      </c>
      <c r="G44" s="993">
        <f>SUM(G45:G46)</f>
        <v>0</v>
      </c>
      <c r="H44" s="993">
        <f>SUM(H45:H46)</f>
        <v>54660.180000000008</v>
      </c>
      <c r="I44" s="993">
        <f>SUM(I45:I46)</f>
        <v>57393.189000000013</v>
      </c>
      <c r="J44" s="994"/>
    </row>
    <row r="45" spans="1:13" s="990" customFormat="1" ht="15" customHeight="1">
      <c r="A45" s="996">
        <v>14201</v>
      </c>
      <c r="B45" s="997" t="s">
        <v>353</v>
      </c>
      <c r="C45" s="998">
        <v>53867.360000000001</v>
      </c>
      <c r="D45" s="998">
        <v>36440.120000000003</v>
      </c>
      <c r="E45" s="998"/>
      <c r="F45" s="998"/>
      <c r="G45" s="998"/>
      <c r="H45" s="999">
        <f>(D45/8)*12</f>
        <v>54660.180000000008</v>
      </c>
      <c r="I45" s="998">
        <f>H45*1.05</f>
        <v>57393.189000000013</v>
      </c>
      <c r="J45" s="1001"/>
      <c r="L45" s="1001">
        <f>SUM(I45:I46)</f>
        <v>57393.189000000013</v>
      </c>
      <c r="M45" s="1001">
        <f>L45*0.07</f>
        <v>4017.5232300000011</v>
      </c>
    </row>
    <row r="46" spans="1:13" s="990" customFormat="1" ht="15" hidden="1" customHeight="1">
      <c r="A46" s="996">
        <v>14299</v>
      </c>
      <c r="B46" s="997" t="s">
        <v>36</v>
      </c>
      <c r="C46" s="998"/>
      <c r="D46" s="998"/>
      <c r="E46" s="998"/>
      <c r="F46" s="998"/>
      <c r="G46" s="998"/>
      <c r="H46" s="999">
        <f>(D46/9)*12</f>
        <v>0</v>
      </c>
      <c r="I46" s="998"/>
      <c r="J46" s="1001"/>
    </row>
    <row r="47" spans="1:13" s="990" customFormat="1" ht="16.5" hidden="1" customHeight="1">
      <c r="A47" s="996"/>
      <c r="B47" s="997"/>
      <c r="C47" s="998"/>
      <c r="D47" s="998"/>
      <c r="E47" s="998"/>
      <c r="F47" s="998"/>
      <c r="G47" s="998"/>
      <c r="H47" s="993"/>
      <c r="I47" s="998"/>
      <c r="J47" s="1001"/>
      <c r="L47" s="1001">
        <f>SUM(K17,L36,L45)</f>
        <v>748176.6213333332</v>
      </c>
      <c r="M47" s="1001">
        <f>SUM(L17,M36,M45)</f>
        <v>47898.592559999997</v>
      </c>
    </row>
    <row r="48" spans="1:13" s="990" customFormat="1" ht="16.5" customHeight="1">
      <c r="A48" s="996"/>
      <c r="B48" s="997"/>
      <c r="C48" s="998"/>
      <c r="D48" s="998"/>
      <c r="E48" s="998"/>
      <c r="F48" s="998"/>
      <c r="G48" s="998"/>
      <c r="H48" s="993"/>
      <c r="I48" s="998"/>
      <c r="J48" s="1001"/>
      <c r="L48" s="1001"/>
      <c r="M48" s="1001"/>
    </row>
    <row r="49" spans="1:10" s="990" customFormat="1" ht="15.75" customHeight="1">
      <c r="A49" s="991">
        <v>15</v>
      </c>
      <c r="B49" s="992" t="s">
        <v>220</v>
      </c>
      <c r="C49" s="993"/>
      <c r="D49" s="993"/>
      <c r="E49" s="993">
        <f>E50+E57+E60</f>
        <v>88.39</v>
      </c>
      <c r="F49" s="993">
        <f>F50+F57+F60</f>
        <v>0</v>
      </c>
      <c r="G49" s="993">
        <f>G50+G57+G60</f>
        <v>0</v>
      </c>
      <c r="H49" s="993">
        <f>H50+H57+H60</f>
        <v>10628.834999999999</v>
      </c>
      <c r="I49" s="993">
        <f>I50+I57+I60</f>
        <v>11160.276750000001</v>
      </c>
      <c r="J49" s="1001"/>
    </row>
    <row r="50" spans="1:10" s="990" customFormat="1" ht="15.75" customHeight="1">
      <c r="A50" s="991">
        <v>153</v>
      </c>
      <c r="B50" s="992" t="s">
        <v>1078</v>
      </c>
      <c r="C50" s="993"/>
      <c r="D50" s="993"/>
      <c r="E50" s="993">
        <f>SUM(E51:E54)</f>
        <v>0</v>
      </c>
      <c r="F50" s="993">
        <f>SUM(F51:F54)</f>
        <v>0</v>
      </c>
      <c r="G50" s="993">
        <f>SUM(G51:G54)</f>
        <v>0</v>
      </c>
      <c r="H50" s="993">
        <f>SUM(H51:H54)</f>
        <v>2378.91</v>
      </c>
      <c r="I50" s="993">
        <f>SUM(I51:I54)</f>
        <v>2497.8554999999997</v>
      </c>
      <c r="J50" s="1001"/>
    </row>
    <row r="51" spans="1:10" s="990" customFormat="1" ht="15.75" customHeight="1">
      <c r="A51" s="996">
        <v>15301</v>
      </c>
      <c r="B51" s="997" t="s">
        <v>750</v>
      </c>
      <c r="C51" s="998">
        <v>1377.57</v>
      </c>
      <c r="D51" s="998">
        <v>1016.67</v>
      </c>
      <c r="E51" s="998"/>
      <c r="F51" s="998"/>
      <c r="G51" s="998"/>
      <c r="H51" s="999">
        <f>(D51/8)*12</f>
        <v>1525.0049999999999</v>
      </c>
      <c r="I51" s="998">
        <f>H51*1.05</f>
        <v>1601.2552499999999</v>
      </c>
      <c r="J51" s="1001"/>
    </row>
    <row r="52" spans="1:10" s="990" customFormat="1" ht="15.75" customHeight="1">
      <c r="A52" s="996">
        <v>15302</v>
      </c>
      <c r="B52" s="997" t="s">
        <v>1079</v>
      </c>
      <c r="C52" s="998">
        <v>596.59</v>
      </c>
      <c r="D52" s="998">
        <v>267.69</v>
      </c>
      <c r="E52" s="998"/>
      <c r="F52" s="998"/>
      <c r="G52" s="998"/>
      <c r="H52" s="999">
        <f>(D52/8)*12</f>
        <v>401.53499999999997</v>
      </c>
      <c r="I52" s="998">
        <f>H52*1.05</f>
        <v>421.61174999999997</v>
      </c>
      <c r="J52" s="1001"/>
    </row>
    <row r="53" spans="1:10" s="990" customFormat="1" ht="15.75" customHeight="1">
      <c r="A53" s="996">
        <v>15312</v>
      </c>
      <c r="B53" s="997" t="s">
        <v>1080</v>
      </c>
      <c r="C53" s="998">
        <v>18.53</v>
      </c>
      <c r="D53" s="998">
        <v>37.19</v>
      </c>
      <c r="E53" s="998"/>
      <c r="F53" s="998"/>
      <c r="G53" s="998"/>
      <c r="H53" s="999">
        <f>(D53/8)*12</f>
        <v>55.784999999999997</v>
      </c>
      <c r="I53" s="998">
        <f>H53*1.05</f>
        <v>58.574249999999999</v>
      </c>
      <c r="J53" s="1001"/>
    </row>
    <row r="54" spans="1:10" s="995" customFormat="1" ht="15.75" customHeight="1">
      <c r="A54" s="996">
        <v>15314</v>
      </c>
      <c r="B54" s="997" t="s">
        <v>323</v>
      </c>
      <c r="C54" s="998">
        <v>453.03</v>
      </c>
      <c r="D54" s="998">
        <v>264.39</v>
      </c>
      <c r="E54" s="998"/>
      <c r="F54" s="998"/>
      <c r="G54" s="998"/>
      <c r="H54" s="999">
        <f>(D54/8)*12</f>
        <v>396.58499999999998</v>
      </c>
      <c r="I54" s="998">
        <f>H54*1.05</f>
        <v>416.41424999999998</v>
      </c>
      <c r="J54" s="994"/>
    </row>
    <row r="55" spans="1:10" s="995" customFormat="1" ht="15.75" customHeight="1">
      <c r="A55" s="996">
        <v>15399</v>
      </c>
      <c r="B55" s="997" t="s">
        <v>1281</v>
      </c>
      <c r="C55" s="998">
        <v>2.86</v>
      </c>
      <c r="D55" s="998"/>
      <c r="E55" s="998"/>
      <c r="F55" s="998"/>
      <c r="G55" s="998"/>
      <c r="H55" s="999"/>
      <c r="I55" s="998"/>
      <c r="J55" s="994"/>
    </row>
    <row r="56" spans="1:10" s="990" customFormat="1" ht="15.75" customHeight="1">
      <c r="A56" s="996"/>
      <c r="B56" s="997"/>
      <c r="C56" s="998"/>
      <c r="D56" s="998"/>
      <c r="E56" s="998"/>
      <c r="F56" s="998"/>
      <c r="G56" s="998"/>
      <c r="H56" s="993"/>
      <c r="I56" s="998"/>
      <c r="J56" s="1001"/>
    </row>
    <row r="57" spans="1:10" s="990" customFormat="1" ht="15.75" hidden="1" customHeight="1">
      <c r="A57" s="991">
        <v>154</v>
      </c>
      <c r="B57" s="992" t="s">
        <v>1081</v>
      </c>
      <c r="C57" s="993">
        <f t="shared" ref="C57:H57" si="6">C58</f>
        <v>0</v>
      </c>
      <c r="D57" s="993">
        <f t="shared" si="6"/>
        <v>0</v>
      </c>
      <c r="E57" s="993">
        <f t="shared" si="6"/>
        <v>0</v>
      </c>
      <c r="F57" s="993">
        <f t="shared" si="6"/>
        <v>0</v>
      </c>
      <c r="G57" s="993">
        <f t="shared" si="6"/>
        <v>0</v>
      </c>
      <c r="H57" s="993">
        <f t="shared" si="6"/>
        <v>0</v>
      </c>
      <c r="I57" s="993"/>
      <c r="J57" s="1001"/>
    </row>
    <row r="58" spans="1:10" s="995" customFormat="1" ht="15.75" hidden="1" customHeight="1">
      <c r="A58" s="996">
        <v>15499</v>
      </c>
      <c r="B58" s="997" t="s">
        <v>1082</v>
      </c>
      <c r="C58" s="998"/>
      <c r="D58" s="998"/>
      <c r="E58" s="998"/>
      <c r="F58" s="998"/>
      <c r="G58" s="998"/>
      <c r="H58" s="993">
        <f>E58+F58+G58</f>
        <v>0</v>
      </c>
      <c r="I58" s="998"/>
      <c r="J58" s="994"/>
    </row>
    <row r="59" spans="1:10" s="990" customFormat="1" ht="15.75" hidden="1" customHeight="1">
      <c r="A59" s="996"/>
      <c r="B59" s="997"/>
      <c r="C59" s="998"/>
      <c r="D59" s="998"/>
      <c r="E59" s="998"/>
      <c r="F59" s="998"/>
      <c r="G59" s="998"/>
      <c r="H59" s="993"/>
      <c r="I59" s="998"/>
      <c r="J59" s="1001"/>
    </row>
    <row r="60" spans="1:10" s="990" customFormat="1" ht="15.75" customHeight="1">
      <c r="A60" s="991">
        <v>157</v>
      </c>
      <c r="B60" s="992" t="s">
        <v>329</v>
      </c>
      <c r="C60" s="993">
        <f t="shared" ref="C60:I60" si="7">SUM(C61:C63)</f>
        <v>5240.29</v>
      </c>
      <c r="D60" s="993">
        <f t="shared" si="7"/>
        <v>5499.95</v>
      </c>
      <c r="E60" s="993">
        <f t="shared" si="7"/>
        <v>88.39</v>
      </c>
      <c r="F60" s="993">
        <f t="shared" si="7"/>
        <v>0</v>
      </c>
      <c r="G60" s="993">
        <f t="shared" si="7"/>
        <v>0</v>
      </c>
      <c r="H60" s="993">
        <f t="shared" si="7"/>
        <v>8249.9249999999993</v>
      </c>
      <c r="I60" s="993">
        <f t="shared" si="7"/>
        <v>8662.4212500000012</v>
      </c>
      <c r="J60" s="1001"/>
    </row>
    <row r="61" spans="1:10" s="990" customFormat="1" ht="15.75" hidden="1" customHeight="1">
      <c r="A61" s="996">
        <v>15701</v>
      </c>
      <c r="B61" s="997" t="s">
        <v>1083</v>
      </c>
      <c r="C61" s="998"/>
      <c r="D61" s="998"/>
      <c r="E61" s="998"/>
      <c r="F61" s="998"/>
      <c r="G61" s="998"/>
      <c r="H61" s="993">
        <f>E61+F61+G61</f>
        <v>0</v>
      </c>
      <c r="I61" s="998"/>
      <c r="J61" s="1001"/>
    </row>
    <row r="62" spans="1:10" s="990" customFormat="1" ht="15.75" customHeight="1">
      <c r="A62" s="996">
        <v>15703</v>
      </c>
      <c r="B62" s="997" t="s">
        <v>330</v>
      </c>
      <c r="C62" s="998">
        <v>2330.21</v>
      </c>
      <c r="D62" s="998">
        <v>765.26</v>
      </c>
      <c r="E62" s="998"/>
      <c r="F62" s="998"/>
      <c r="G62" s="998"/>
      <c r="H62" s="999">
        <f>(D62/8)*12</f>
        <v>1147.8899999999999</v>
      </c>
      <c r="I62" s="998">
        <f>H62*1.05</f>
        <v>1205.2845</v>
      </c>
      <c r="J62" s="1001"/>
    </row>
    <row r="63" spans="1:10" s="990" customFormat="1" ht="15.75" customHeight="1">
      <c r="A63" s="996">
        <v>15799</v>
      </c>
      <c r="B63" s="997" t="s">
        <v>549</v>
      </c>
      <c r="C63" s="998">
        <v>2910.08</v>
      </c>
      <c r="D63" s="998">
        <v>4734.6899999999996</v>
      </c>
      <c r="E63" s="998">
        <v>88.39</v>
      </c>
      <c r="F63" s="998"/>
      <c r="G63" s="998"/>
      <c r="H63" s="999">
        <f>(D63/8)*12</f>
        <v>7102.0349999999999</v>
      </c>
      <c r="I63" s="998">
        <f>H63*1.05</f>
        <v>7457.1367500000006</v>
      </c>
      <c r="J63" s="1001"/>
    </row>
    <row r="64" spans="1:10" s="990" customFormat="1" ht="15.75" hidden="1" customHeight="1">
      <c r="A64" s="996"/>
      <c r="B64" s="997"/>
      <c r="C64" s="998"/>
      <c r="D64" s="998"/>
      <c r="E64" s="998"/>
      <c r="F64" s="998"/>
      <c r="G64" s="998"/>
      <c r="H64" s="993"/>
      <c r="I64" s="998"/>
      <c r="J64" s="1001"/>
    </row>
    <row r="65" spans="1:10" s="990" customFormat="1" ht="15.75" customHeight="1">
      <c r="A65" s="991">
        <v>16</v>
      </c>
      <c r="B65" s="992" t="s">
        <v>307</v>
      </c>
      <c r="C65" s="993">
        <f>C66</f>
        <v>0</v>
      </c>
      <c r="D65" s="993">
        <f>D66</f>
        <v>0</v>
      </c>
      <c r="E65" s="993">
        <f t="shared" ref="E65:H66" si="8">E66</f>
        <v>0</v>
      </c>
      <c r="F65" s="993">
        <f t="shared" si="8"/>
        <v>0</v>
      </c>
      <c r="G65" s="993">
        <f t="shared" si="8"/>
        <v>0</v>
      </c>
      <c r="H65" s="993">
        <f t="shared" si="8"/>
        <v>534228.24</v>
      </c>
      <c r="I65" s="993">
        <f>I66</f>
        <v>532534.80000000005</v>
      </c>
      <c r="J65" s="1001"/>
    </row>
    <row r="66" spans="1:10" s="995" customFormat="1" ht="15.75" customHeight="1">
      <c r="A66" s="996">
        <v>162</v>
      </c>
      <c r="B66" s="1005" t="s">
        <v>1084</v>
      </c>
      <c r="C66" s="1000"/>
      <c r="D66" s="1000"/>
      <c r="E66" s="1000">
        <f t="shared" si="8"/>
        <v>0</v>
      </c>
      <c r="F66" s="1000">
        <f t="shared" si="8"/>
        <v>0</v>
      </c>
      <c r="G66" s="1000">
        <f t="shared" si="8"/>
        <v>0</v>
      </c>
      <c r="H66" s="1000">
        <f t="shared" si="8"/>
        <v>534228.24</v>
      </c>
      <c r="I66" s="998">
        <f>I67</f>
        <v>532534.80000000005</v>
      </c>
      <c r="J66" s="994"/>
    </row>
    <row r="67" spans="1:10" s="990" customFormat="1" ht="15.75" customHeight="1">
      <c r="A67" s="996">
        <v>16201</v>
      </c>
      <c r="B67" s="997" t="s">
        <v>1085</v>
      </c>
      <c r="C67" s="998">
        <v>532488.73</v>
      </c>
      <c r="D67" s="998">
        <v>311633.14</v>
      </c>
      <c r="E67" s="998"/>
      <c r="F67" s="998"/>
      <c r="G67" s="998"/>
      <c r="H67" s="999">
        <f>(D67/7)*12</f>
        <v>534228.24</v>
      </c>
      <c r="I67" s="998">
        <v>532534.80000000005</v>
      </c>
      <c r="J67" s="1001"/>
    </row>
    <row r="68" spans="1:10" s="990" customFormat="1" ht="15.75" hidden="1" customHeight="1">
      <c r="A68" s="991">
        <v>164</v>
      </c>
      <c r="B68" s="992" t="s">
        <v>1086</v>
      </c>
      <c r="C68" s="993"/>
      <c r="D68" s="993"/>
      <c r="E68" s="993"/>
      <c r="F68" s="993"/>
      <c r="G68" s="993"/>
      <c r="H68" s="993">
        <f>E68+F68+G68</f>
        <v>0</v>
      </c>
      <c r="I68" s="993"/>
      <c r="J68" s="1001"/>
    </row>
    <row r="69" spans="1:10" s="995" customFormat="1" ht="15.75" hidden="1" customHeight="1">
      <c r="A69" s="996">
        <v>16304</v>
      </c>
      <c r="B69" s="997" t="s">
        <v>1087</v>
      </c>
      <c r="C69" s="998"/>
      <c r="D69" s="998"/>
      <c r="E69" s="998"/>
      <c r="F69" s="998"/>
      <c r="G69" s="998"/>
      <c r="H69" s="993">
        <f>E69+F69+G69</f>
        <v>0</v>
      </c>
      <c r="I69" s="998"/>
      <c r="J69" s="994"/>
    </row>
    <row r="70" spans="1:10" s="995" customFormat="1" ht="15.75" hidden="1" customHeight="1">
      <c r="A70" s="996">
        <v>16402</v>
      </c>
      <c r="B70" s="997" t="s">
        <v>1088</v>
      </c>
      <c r="C70" s="998"/>
      <c r="D70" s="998"/>
      <c r="E70" s="998"/>
      <c r="F70" s="998"/>
      <c r="G70" s="998"/>
      <c r="H70" s="993">
        <f>E70+F70+G70</f>
        <v>0</v>
      </c>
      <c r="I70" s="998"/>
      <c r="J70" s="994"/>
    </row>
    <row r="71" spans="1:10" s="995" customFormat="1" ht="15.75" hidden="1" customHeight="1">
      <c r="A71" s="996"/>
      <c r="B71" s="997"/>
      <c r="C71" s="998"/>
      <c r="D71" s="998"/>
      <c r="E71" s="998"/>
      <c r="F71" s="998"/>
      <c r="G71" s="998"/>
      <c r="H71" s="993"/>
      <c r="I71" s="998"/>
      <c r="J71" s="994"/>
    </row>
    <row r="72" spans="1:10" s="990" customFormat="1" ht="15.75" customHeight="1">
      <c r="A72" s="991">
        <v>22</v>
      </c>
      <c r="B72" s="992" t="s">
        <v>1089</v>
      </c>
      <c r="C72" s="993">
        <f t="shared" ref="C72:I72" si="9">C73+C75</f>
        <v>1799749.6</v>
      </c>
      <c r="D72" s="993">
        <f t="shared" si="9"/>
        <v>991266.09</v>
      </c>
      <c r="E72" s="993">
        <f t="shared" si="9"/>
        <v>0</v>
      </c>
      <c r="F72" s="993">
        <f t="shared" si="9"/>
        <v>0</v>
      </c>
      <c r="G72" s="993">
        <f t="shared" si="9"/>
        <v>0</v>
      </c>
      <c r="H72" s="993">
        <f t="shared" si="9"/>
        <v>1699313.297142857</v>
      </c>
      <c r="I72" s="993">
        <f t="shared" si="9"/>
        <v>1597604.4</v>
      </c>
      <c r="J72" s="1001"/>
    </row>
    <row r="73" spans="1:10" s="995" customFormat="1" ht="15.75" customHeight="1">
      <c r="A73" s="991">
        <v>222</v>
      </c>
      <c r="B73" s="992" t="s">
        <v>1090</v>
      </c>
      <c r="C73" s="993">
        <f t="shared" ref="C73:I73" si="10">C74</f>
        <v>1799749.6</v>
      </c>
      <c r="D73" s="993">
        <f t="shared" si="10"/>
        <v>991266.09</v>
      </c>
      <c r="E73" s="993">
        <f t="shared" si="10"/>
        <v>0</v>
      </c>
      <c r="F73" s="993">
        <f t="shared" si="10"/>
        <v>0</v>
      </c>
      <c r="G73" s="993">
        <f t="shared" si="10"/>
        <v>0</v>
      </c>
      <c r="H73" s="993">
        <f t="shared" si="10"/>
        <v>1699313.297142857</v>
      </c>
      <c r="I73" s="993">
        <f t="shared" si="10"/>
        <v>1597604.4</v>
      </c>
      <c r="J73" s="994"/>
    </row>
    <row r="74" spans="1:10" s="990" customFormat="1" ht="15.75" customHeight="1">
      <c r="A74" s="996">
        <v>22201</v>
      </c>
      <c r="B74" s="997" t="s">
        <v>1091</v>
      </c>
      <c r="C74" s="998">
        <v>1799749.6</v>
      </c>
      <c r="D74" s="998">
        <v>991266.09</v>
      </c>
      <c r="E74" s="998"/>
      <c r="F74" s="998"/>
      <c r="G74" s="998"/>
      <c r="H74" s="999">
        <f>(D74/7)*12</f>
        <v>1699313.297142857</v>
      </c>
      <c r="I74" s="998">
        <v>1597604.4</v>
      </c>
      <c r="J74" s="1001"/>
    </row>
    <row r="75" spans="1:10" s="990" customFormat="1" ht="15.75" hidden="1" customHeight="1">
      <c r="A75" s="991">
        <v>224</v>
      </c>
      <c r="B75" s="992" t="s">
        <v>1092</v>
      </c>
      <c r="C75" s="993">
        <f>C76</f>
        <v>0</v>
      </c>
      <c r="D75" s="993">
        <f>D76</f>
        <v>0</v>
      </c>
      <c r="E75" s="993">
        <f>E76</f>
        <v>0</v>
      </c>
      <c r="F75" s="993"/>
      <c r="G75" s="993"/>
      <c r="H75" s="993">
        <f t="shared" ref="H75:H81" si="11">E75+F75+G75</f>
        <v>0</v>
      </c>
      <c r="I75" s="993"/>
      <c r="J75" s="1001"/>
    </row>
    <row r="76" spans="1:10" s="990" customFormat="1" ht="15.75" hidden="1" customHeight="1">
      <c r="A76" s="996">
        <v>22403</v>
      </c>
      <c r="B76" s="997" t="s">
        <v>1093</v>
      </c>
      <c r="C76" s="998"/>
      <c r="D76" s="998"/>
      <c r="E76" s="998"/>
      <c r="F76" s="998"/>
      <c r="G76" s="998"/>
      <c r="H76" s="993">
        <f t="shared" si="11"/>
        <v>0</v>
      </c>
      <c r="I76" s="998"/>
      <c r="J76" s="1001"/>
    </row>
    <row r="77" spans="1:10" s="995" customFormat="1" ht="15.75" hidden="1" customHeight="1">
      <c r="A77" s="996">
        <v>22405</v>
      </c>
      <c r="B77" s="997" t="s">
        <v>1094</v>
      </c>
      <c r="C77" s="998"/>
      <c r="D77" s="998"/>
      <c r="E77" s="998"/>
      <c r="F77" s="998"/>
      <c r="G77" s="998"/>
      <c r="H77" s="993">
        <f t="shared" si="11"/>
        <v>0</v>
      </c>
      <c r="I77" s="998"/>
      <c r="J77" s="994"/>
    </row>
    <row r="78" spans="1:10" s="995" customFormat="1" ht="15.75" hidden="1" customHeight="1">
      <c r="A78" s="996"/>
      <c r="B78" s="997"/>
      <c r="C78" s="998"/>
      <c r="D78" s="998"/>
      <c r="E78" s="998"/>
      <c r="F78" s="998"/>
      <c r="G78" s="998"/>
      <c r="H78" s="993">
        <f t="shared" si="11"/>
        <v>0</v>
      </c>
      <c r="I78" s="998"/>
      <c r="J78" s="994"/>
    </row>
    <row r="79" spans="1:10" s="990" customFormat="1" ht="15.75" hidden="1" customHeight="1">
      <c r="A79" s="991">
        <v>31</v>
      </c>
      <c r="B79" s="992" t="s">
        <v>933</v>
      </c>
      <c r="C79" s="993">
        <f t="shared" ref="C79:E80" si="12">C80</f>
        <v>0</v>
      </c>
      <c r="D79" s="993">
        <f t="shared" si="12"/>
        <v>0</v>
      </c>
      <c r="E79" s="993">
        <f t="shared" si="12"/>
        <v>0</v>
      </c>
      <c r="F79" s="993"/>
      <c r="G79" s="993"/>
      <c r="H79" s="993">
        <f t="shared" si="11"/>
        <v>0</v>
      </c>
      <c r="I79" s="993"/>
      <c r="J79" s="1001"/>
    </row>
    <row r="80" spans="1:10" s="990" customFormat="1" ht="15.75" hidden="1" customHeight="1">
      <c r="A80" s="991">
        <v>313</v>
      </c>
      <c r="B80" s="992" t="s">
        <v>934</v>
      </c>
      <c r="C80" s="993">
        <f t="shared" si="12"/>
        <v>0</v>
      </c>
      <c r="D80" s="993">
        <f t="shared" si="12"/>
        <v>0</v>
      </c>
      <c r="E80" s="993">
        <f t="shared" si="12"/>
        <v>0</v>
      </c>
      <c r="F80" s="993"/>
      <c r="G80" s="993"/>
      <c r="H80" s="993">
        <f t="shared" si="11"/>
        <v>0</v>
      </c>
      <c r="I80" s="993"/>
      <c r="J80" s="1001"/>
    </row>
    <row r="81" spans="1:10" s="990" customFormat="1" ht="15.75" hidden="1" customHeight="1">
      <c r="A81" s="996">
        <v>31308</v>
      </c>
      <c r="B81" s="997" t="s">
        <v>1088</v>
      </c>
      <c r="C81" s="998"/>
      <c r="D81" s="998"/>
      <c r="E81" s="998"/>
      <c r="F81" s="998"/>
      <c r="G81" s="998"/>
      <c r="H81" s="993">
        <f t="shared" si="11"/>
        <v>0</v>
      </c>
      <c r="I81" s="998"/>
      <c r="J81" s="1001"/>
    </row>
    <row r="82" spans="1:10" s="995" customFormat="1" ht="15.75" hidden="1" customHeight="1">
      <c r="A82" s="996"/>
      <c r="B82" s="997"/>
      <c r="C82" s="998"/>
      <c r="D82" s="998"/>
      <c r="E82" s="998"/>
      <c r="F82" s="998"/>
      <c r="G82" s="998"/>
      <c r="H82" s="993"/>
      <c r="I82" s="998"/>
      <c r="J82" s="994"/>
    </row>
    <row r="83" spans="1:10" s="995" customFormat="1" ht="15.75" hidden="1" customHeight="1">
      <c r="A83" s="996"/>
      <c r="B83" s="997"/>
      <c r="C83" s="998"/>
      <c r="D83" s="998"/>
      <c r="E83" s="998"/>
      <c r="F83" s="998"/>
      <c r="G83" s="998"/>
      <c r="H83" s="993"/>
      <c r="I83" s="998"/>
      <c r="J83" s="994"/>
    </row>
    <row r="84" spans="1:10" s="995" customFormat="1" ht="15.75" hidden="1" customHeight="1">
      <c r="A84" s="991"/>
      <c r="B84" s="992" t="s">
        <v>1095</v>
      </c>
      <c r="C84" s="999"/>
      <c r="D84" s="999"/>
      <c r="E84" s="999"/>
      <c r="F84" s="999"/>
      <c r="G84" s="999"/>
      <c r="H84" s="999"/>
      <c r="I84" s="993"/>
      <c r="J84" s="994"/>
    </row>
    <row r="85" spans="1:10" s="995" customFormat="1" ht="15.75" hidden="1" customHeight="1">
      <c r="A85" s="991"/>
      <c r="B85" s="992" t="s">
        <v>415</v>
      </c>
      <c r="C85" s="993">
        <f t="shared" ref="C85:I85" si="13">C4+C20+C43+C49+C65+C72+C79+C84</f>
        <v>2355278.3600000003</v>
      </c>
      <c r="D85" s="993">
        <f t="shared" si="13"/>
        <v>1398309.65</v>
      </c>
      <c r="E85" s="993">
        <f t="shared" si="13"/>
        <v>88.39</v>
      </c>
      <c r="F85" s="993">
        <f t="shared" si="13"/>
        <v>0</v>
      </c>
      <c r="G85" s="993">
        <f t="shared" si="13"/>
        <v>0</v>
      </c>
      <c r="H85" s="993">
        <f t="shared" si="13"/>
        <v>2894704.5588095235</v>
      </c>
      <c r="I85" s="993">
        <f t="shared" si="13"/>
        <v>3004329.3765833331</v>
      </c>
      <c r="J85" s="994"/>
    </row>
    <row r="86" spans="1:10" s="990" customFormat="1" ht="15.75" customHeight="1">
      <c r="A86" s="996"/>
      <c r="B86" s="997"/>
      <c r="C86" s="998"/>
      <c r="D86" s="998"/>
      <c r="E86" s="998"/>
      <c r="F86" s="998"/>
      <c r="G86" s="998"/>
      <c r="H86" s="998"/>
      <c r="I86" s="998"/>
      <c r="J86" s="1001"/>
    </row>
    <row r="87" spans="1:10" s="990" customFormat="1" ht="15.75" customHeight="1">
      <c r="A87" s="1006"/>
      <c r="B87" s="1007"/>
      <c r="C87" s="998"/>
      <c r="D87" s="998"/>
      <c r="E87" s="998"/>
      <c r="F87" s="998"/>
      <c r="G87" s="998"/>
      <c r="H87" s="998"/>
      <c r="I87" s="998"/>
      <c r="J87" s="1001"/>
    </row>
    <row r="88" spans="1:10" s="990" customFormat="1">
      <c r="B88" s="1008"/>
      <c r="C88" s="1001"/>
      <c r="D88" s="1001"/>
      <c r="E88" s="1001"/>
      <c r="F88" s="1001"/>
      <c r="G88" s="1001"/>
      <c r="H88" s="1001"/>
      <c r="I88" s="1001"/>
      <c r="J88" s="1001"/>
    </row>
    <row r="89" spans="1:10" s="990" customFormat="1">
      <c r="B89" s="1009"/>
      <c r="C89" s="1001"/>
      <c r="D89" s="1001"/>
      <c r="E89" s="1001"/>
      <c r="F89" s="1001"/>
      <c r="G89" s="1001"/>
      <c r="H89" s="1001"/>
      <c r="I89" s="1001"/>
    </row>
    <row r="90" spans="1:10" s="990" customFormat="1">
      <c r="B90" s="1009"/>
      <c r="C90" s="1001"/>
      <c r="D90" s="1001"/>
      <c r="E90" s="1001"/>
      <c r="F90" s="1001"/>
      <c r="G90" s="1001"/>
      <c r="H90" s="1001"/>
      <c r="I90" s="1001"/>
    </row>
    <row r="91" spans="1:10" s="990" customFormat="1">
      <c r="B91" s="1009"/>
      <c r="C91" s="1001"/>
      <c r="D91" s="1001"/>
      <c r="E91" s="1001"/>
      <c r="F91" s="1001"/>
      <c r="G91" s="1001"/>
      <c r="H91" s="1001"/>
      <c r="I91" s="1001"/>
    </row>
    <row r="92" spans="1:10" s="990" customFormat="1">
      <c r="B92" s="1009"/>
      <c r="C92" s="1001"/>
      <c r="D92" s="1001"/>
      <c r="E92" s="1001"/>
      <c r="F92" s="1001"/>
      <c r="G92" s="1001"/>
      <c r="H92" s="1001"/>
      <c r="I92" s="1001"/>
    </row>
    <row r="93" spans="1:10" s="990" customFormat="1">
      <c r="B93" s="1009"/>
      <c r="C93" s="1001"/>
      <c r="D93" s="1001"/>
      <c r="E93" s="1001"/>
      <c r="F93" s="1001"/>
      <c r="G93" s="1001"/>
      <c r="H93" s="1001"/>
      <c r="I93" s="1001"/>
    </row>
    <row r="94" spans="1:10" s="990" customFormat="1">
      <c r="B94" s="1009"/>
      <c r="C94" s="1001"/>
      <c r="D94" s="1001"/>
      <c r="E94" s="1001"/>
      <c r="F94" s="1001"/>
      <c r="G94" s="1001"/>
      <c r="H94" s="1001"/>
      <c r="I94" s="1001"/>
    </row>
    <row r="95" spans="1:10" s="990" customFormat="1">
      <c r="B95" s="1009"/>
      <c r="C95" s="1001"/>
      <c r="D95" s="1001"/>
      <c r="E95" s="1001"/>
      <c r="F95" s="1001"/>
      <c r="G95" s="1001"/>
      <c r="H95" s="1001"/>
      <c r="I95" s="1001"/>
    </row>
    <row r="96" spans="1:10" s="990" customFormat="1">
      <c r="B96" s="1009"/>
      <c r="C96" s="1001"/>
      <c r="D96" s="1001"/>
      <c r="E96" s="1001"/>
      <c r="F96" s="1001"/>
      <c r="G96" s="1001"/>
      <c r="H96" s="1001"/>
      <c r="I96" s="1001"/>
    </row>
    <row r="97" spans="1:9" s="990" customFormat="1">
      <c r="B97" s="1009"/>
      <c r="C97" s="1001"/>
      <c r="D97" s="1001"/>
      <c r="E97" s="1001"/>
      <c r="F97" s="1001"/>
      <c r="G97" s="1001"/>
      <c r="H97" s="1001"/>
      <c r="I97" s="1001"/>
    </row>
    <row r="98" spans="1:9" s="990" customFormat="1">
      <c r="B98" s="1009"/>
      <c r="C98" s="1001"/>
      <c r="D98" s="1001"/>
      <c r="E98" s="1001"/>
      <c r="F98" s="1001"/>
      <c r="G98" s="1001"/>
      <c r="H98" s="1001"/>
      <c r="I98" s="1001"/>
    </row>
    <row r="99" spans="1:9" s="990" customFormat="1">
      <c r="B99" s="1009"/>
      <c r="C99" s="1001"/>
      <c r="D99" s="1001"/>
      <c r="E99" s="1001"/>
      <c r="F99" s="1001"/>
      <c r="G99" s="1001"/>
      <c r="H99" s="1001"/>
      <c r="I99" s="1001"/>
    </row>
    <row r="100" spans="1:9">
      <c r="A100" s="990"/>
      <c r="B100" s="1009"/>
      <c r="C100" s="1001"/>
      <c r="D100" s="1001"/>
      <c r="E100" s="1001"/>
      <c r="F100" s="1001"/>
      <c r="G100" s="1001"/>
      <c r="H100" s="1001"/>
      <c r="I100" s="1001"/>
    </row>
    <row r="101" spans="1:9">
      <c r="A101" s="990"/>
      <c r="B101" s="1009"/>
      <c r="C101" s="1001"/>
      <c r="D101" s="1001"/>
      <c r="E101" s="1001"/>
      <c r="F101" s="1001"/>
      <c r="G101" s="1001"/>
      <c r="H101" s="1001"/>
      <c r="I101" s="1001"/>
    </row>
    <row r="102" spans="1:9">
      <c r="D102" s="1012"/>
      <c r="E102" s="1012"/>
      <c r="F102" s="1012"/>
      <c r="G102" s="1012"/>
      <c r="H102" s="1012"/>
    </row>
    <row r="103" spans="1:9">
      <c r="D103" s="1012"/>
      <c r="E103" s="1012"/>
      <c r="F103" s="1012"/>
      <c r="G103" s="1012"/>
      <c r="H103" s="1012"/>
    </row>
    <row r="104" spans="1:9">
      <c r="D104" s="1012"/>
      <c r="E104" s="1012"/>
      <c r="F104" s="1012"/>
      <c r="G104" s="1012"/>
      <c r="H104" s="1012"/>
    </row>
    <row r="105" spans="1:9">
      <c r="D105" s="1012"/>
      <c r="E105" s="1012"/>
      <c r="F105" s="1012"/>
      <c r="G105" s="1012"/>
      <c r="H105" s="1012"/>
    </row>
    <row r="106" spans="1:9">
      <c r="D106" s="1012"/>
      <c r="E106" s="1012"/>
      <c r="F106" s="1012"/>
      <c r="G106" s="1012"/>
      <c r="H106" s="1012"/>
    </row>
    <row r="107" spans="1:9">
      <c r="D107" s="1012"/>
      <c r="E107" s="1012"/>
      <c r="F107" s="1012"/>
      <c r="G107" s="1012"/>
      <c r="H107" s="1012"/>
    </row>
    <row r="108" spans="1:9">
      <c r="D108" s="1012"/>
      <c r="E108" s="1012"/>
      <c r="F108" s="1012"/>
      <c r="G108" s="1012"/>
      <c r="H108" s="1012"/>
    </row>
    <row r="109" spans="1:9">
      <c r="D109" s="1012"/>
      <c r="E109" s="1012"/>
      <c r="F109" s="1012"/>
      <c r="G109" s="1012"/>
      <c r="H109" s="1012"/>
    </row>
  </sheetData>
  <mergeCells count="2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17:L17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</mergeCells>
  <pageMargins left="1.35" right="2.0699999999999998" top="0.43" bottom="0.32" header="0" footer="0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87"/>
  <sheetViews>
    <sheetView topLeftCell="A2" workbookViewId="0">
      <selection activeCell="O65" sqref="O65"/>
    </sheetView>
  </sheetViews>
  <sheetFormatPr baseColWidth="10" defaultRowHeight="12.75"/>
  <cols>
    <col min="1" max="1" width="5.7109375" style="585" customWidth="1"/>
    <col min="2" max="2" width="31.5703125" style="585" customWidth="1"/>
    <col min="3" max="5" width="11.5703125" style="879" hidden="1" customWidth="1"/>
    <col min="6" max="6" width="11.5703125" style="879" customWidth="1"/>
    <col min="7" max="9" width="11.5703125" style="879" hidden="1" customWidth="1"/>
    <col min="10" max="10" width="11.5703125" style="879" customWidth="1"/>
    <col min="11" max="13" width="11.5703125" style="879" hidden="1" customWidth="1"/>
    <col min="14" max="14" width="11.5703125" style="879" customWidth="1"/>
    <col min="15" max="15" width="15" customWidth="1"/>
  </cols>
  <sheetData>
    <row r="1" spans="1:15" hidden="1"/>
    <row r="2" spans="1:15" ht="15.75">
      <c r="A2" s="1729" t="s">
        <v>1387</v>
      </c>
      <c r="B2" s="1729"/>
      <c r="C2" s="1729"/>
      <c r="D2" s="1729"/>
      <c r="E2" s="1729"/>
      <c r="F2" s="1729"/>
      <c r="G2" s="1729"/>
      <c r="H2" s="1729"/>
      <c r="I2" s="1729"/>
      <c r="J2" s="1729"/>
      <c r="K2" s="1729"/>
      <c r="L2" s="1729"/>
      <c r="M2" s="1729"/>
      <c r="N2" s="1729"/>
    </row>
    <row r="3" spans="1:15" ht="18.75" customHeight="1">
      <c r="A3" s="1733" t="s">
        <v>1066</v>
      </c>
      <c r="B3" s="1733" t="s">
        <v>539</v>
      </c>
      <c r="C3" s="1734" t="s">
        <v>1290</v>
      </c>
      <c r="D3" s="1734"/>
      <c r="E3" s="1734"/>
      <c r="F3" s="1734"/>
      <c r="G3" s="1734" t="s">
        <v>1291</v>
      </c>
      <c r="H3" s="1734"/>
      <c r="I3" s="1734"/>
      <c r="J3" s="1734"/>
      <c r="K3" s="1734" t="s">
        <v>1292</v>
      </c>
      <c r="L3" s="1734"/>
      <c r="M3" s="1734"/>
      <c r="N3" s="1735"/>
      <c r="O3" s="1730" t="s">
        <v>1293</v>
      </c>
    </row>
    <row r="4" spans="1:15" s="8" customFormat="1" ht="12.75" customHeight="1">
      <c r="A4" s="1733"/>
      <c r="B4" s="1733"/>
      <c r="C4" s="1731" t="s">
        <v>1294</v>
      </c>
      <c r="D4" s="1731" t="s">
        <v>1295</v>
      </c>
      <c r="E4" s="1731" t="s">
        <v>1296</v>
      </c>
      <c r="F4" s="1731" t="s">
        <v>1210</v>
      </c>
      <c r="G4" s="1731" t="s">
        <v>1294</v>
      </c>
      <c r="H4" s="1731" t="s">
        <v>1295</v>
      </c>
      <c r="I4" s="1731" t="s">
        <v>1296</v>
      </c>
      <c r="J4" s="1731" t="s">
        <v>1210</v>
      </c>
      <c r="K4" s="1731" t="s">
        <v>1294</v>
      </c>
      <c r="L4" s="1731" t="s">
        <v>1295</v>
      </c>
      <c r="M4" s="1731" t="s">
        <v>1296</v>
      </c>
      <c r="N4" s="1731" t="s">
        <v>1210</v>
      </c>
      <c r="O4" s="1730"/>
    </row>
    <row r="5" spans="1:15" s="480" customFormat="1" ht="22.5" customHeight="1">
      <c r="A5" s="1733"/>
      <c r="B5" s="1733"/>
      <c r="C5" s="1731"/>
      <c r="D5" s="1731"/>
      <c r="E5" s="1731"/>
      <c r="F5" s="1731"/>
      <c r="G5" s="1731"/>
      <c r="H5" s="1731"/>
      <c r="I5" s="1731"/>
      <c r="J5" s="1731"/>
      <c r="K5" s="1731"/>
      <c r="L5" s="1731"/>
      <c r="M5" s="1731"/>
      <c r="N5" s="1731"/>
      <c r="O5" s="1730"/>
    </row>
    <row r="6" spans="1:15" s="480" customFormat="1" ht="18" hidden="1" customHeight="1">
      <c r="A6" s="292">
        <v>51</v>
      </c>
      <c r="B6" s="292" t="s">
        <v>341</v>
      </c>
      <c r="C6" s="276"/>
      <c r="D6" s="276"/>
      <c r="E6" s="276"/>
      <c r="F6" s="276"/>
      <c r="G6" s="276"/>
      <c r="H6" s="276"/>
      <c r="I6" s="276"/>
      <c r="J6" s="276"/>
      <c r="K6" s="276">
        <f>K7+K12+K16+K18+K20+K24+K26</f>
        <v>39242.909999999996</v>
      </c>
      <c r="L6" s="276">
        <f>L7+L12+L16+L18+L20+L24+L26</f>
        <v>21874.42</v>
      </c>
      <c r="M6" s="276">
        <f>M7+M12+M16+M18+M20+M24+M26</f>
        <v>29165.893333333333</v>
      </c>
      <c r="N6" s="443"/>
      <c r="O6" s="1134"/>
    </row>
    <row r="7" spans="1:15" s="480" customFormat="1" ht="18" hidden="1" customHeight="1">
      <c r="A7" s="292">
        <v>511</v>
      </c>
      <c r="B7" s="292" t="s">
        <v>342</v>
      </c>
      <c r="C7" s="276"/>
      <c r="D7" s="276"/>
      <c r="E7" s="276"/>
      <c r="F7" s="276"/>
      <c r="G7" s="276"/>
      <c r="H7" s="276"/>
      <c r="I7" s="276"/>
      <c r="J7" s="276"/>
      <c r="K7" s="276">
        <f>SUM(K8:K11)</f>
        <v>8270</v>
      </c>
      <c r="L7" s="276">
        <f>SUM(L8:L11)</f>
        <v>0</v>
      </c>
      <c r="M7" s="276">
        <f t="shared" ref="M7:M29" si="0">(L7/10)*12</f>
        <v>0</v>
      </c>
      <c r="N7" s="443"/>
      <c r="O7" s="1134"/>
    </row>
    <row r="8" spans="1:15" s="724" customFormat="1" ht="18" hidden="1" customHeight="1">
      <c r="A8" s="485">
        <v>51101</v>
      </c>
      <c r="B8" s="485" t="s">
        <v>81</v>
      </c>
      <c r="C8" s="1135"/>
      <c r="D8" s="1135"/>
      <c r="E8" s="1135"/>
      <c r="F8" s="1135"/>
      <c r="G8" s="1135"/>
      <c r="H8" s="1135"/>
      <c r="I8" s="1135"/>
      <c r="J8" s="1135"/>
      <c r="K8" s="1135"/>
      <c r="L8" s="1135"/>
      <c r="M8" s="1135">
        <f>(L8/9)*12</f>
        <v>0</v>
      </c>
      <c r="N8" s="1136"/>
      <c r="O8" s="734"/>
    </row>
    <row r="9" spans="1:15" s="724" customFormat="1" ht="18" hidden="1" customHeight="1">
      <c r="A9" s="485">
        <v>51102</v>
      </c>
      <c r="B9" s="485" t="s">
        <v>1297</v>
      </c>
      <c r="C9" s="1135"/>
      <c r="D9" s="1135"/>
      <c r="E9" s="1135"/>
      <c r="F9" s="1135"/>
      <c r="G9" s="1135"/>
      <c r="H9" s="1135"/>
      <c r="I9" s="1135"/>
      <c r="J9" s="1135"/>
      <c r="K9" s="1135"/>
      <c r="L9" s="1135"/>
      <c r="M9" s="1135">
        <f t="shared" ref="M9:M10" si="1">(L9/9)*12</f>
        <v>0</v>
      </c>
      <c r="N9" s="1136"/>
      <c r="O9" s="734"/>
    </row>
    <row r="10" spans="1:15" s="724" customFormat="1" ht="18" hidden="1" customHeight="1">
      <c r="A10" s="485">
        <v>51103</v>
      </c>
      <c r="B10" s="485" t="s">
        <v>1298</v>
      </c>
      <c r="C10" s="1135"/>
      <c r="D10" s="1135"/>
      <c r="E10" s="1135"/>
      <c r="F10" s="1135"/>
      <c r="G10" s="1135"/>
      <c r="H10" s="1135"/>
      <c r="I10" s="1135"/>
      <c r="J10" s="1135"/>
      <c r="K10" s="1135">
        <v>8270</v>
      </c>
      <c r="L10" s="1135"/>
      <c r="M10" s="1135">
        <f t="shared" si="1"/>
        <v>0</v>
      </c>
      <c r="N10" s="1136"/>
      <c r="O10" s="734"/>
    </row>
    <row r="11" spans="1:15" s="92" customFormat="1" ht="18" hidden="1" customHeight="1">
      <c r="A11" s="485">
        <v>51105</v>
      </c>
      <c r="B11" s="485" t="s">
        <v>294</v>
      </c>
      <c r="C11" s="1135"/>
      <c r="D11" s="1135"/>
      <c r="E11" s="1135"/>
      <c r="F11" s="1135"/>
      <c r="G11" s="1135"/>
      <c r="H11" s="1135"/>
      <c r="I11" s="1135"/>
      <c r="J11" s="1135"/>
      <c r="K11" s="1135"/>
      <c r="L11" s="1135"/>
      <c r="M11" s="276">
        <f t="shared" si="0"/>
        <v>0</v>
      </c>
      <c r="N11" s="1136"/>
      <c r="O11" s="1133"/>
    </row>
    <row r="12" spans="1:15" s="480" customFormat="1" ht="18" hidden="1" customHeight="1">
      <c r="A12" s="292">
        <v>512</v>
      </c>
      <c r="B12" s="292" t="s">
        <v>345</v>
      </c>
      <c r="C12" s="276"/>
      <c r="D12" s="276"/>
      <c r="E12" s="276"/>
      <c r="F12" s="276"/>
      <c r="G12" s="276"/>
      <c r="H12" s="276"/>
      <c r="I12" s="276"/>
      <c r="J12" s="276"/>
      <c r="K12" s="276">
        <f>SUM(K13:K15)</f>
        <v>17337.5</v>
      </c>
      <c r="L12" s="276">
        <f>SUM(L13:L15)</f>
        <v>14396.44</v>
      </c>
      <c r="M12" s="276">
        <f>SUM(M13:M15)</f>
        <v>19195.253333333334</v>
      </c>
      <c r="N12" s="443"/>
      <c r="O12" s="1134"/>
    </row>
    <row r="13" spans="1:15" s="92" customFormat="1" ht="18" hidden="1" customHeight="1">
      <c r="A13" s="485">
        <v>51201</v>
      </c>
      <c r="B13" s="485" t="s">
        <v>81</v>
      </c>
      <c r="C13" s="1135"/>
      <c r="D13" s="1135"/>
      <c r="E13" s="1135"/>
      <c r="F13" s="1135"/>
      <c r="G13" s="1135"/>
      <c r="H13" s="1135"/>
      <c r="I13" s="1135"/>
      <c r="J13" s="1135"/>
      <c r="K13" s="1135"/>
      <c r="L13" s="1135"/>
      <c r="M13" s="276">
        <f t="shared" si="0"/>
        <v>0</v>
      </c>
      <c r="N13" s="1136"/>
      <c r="O13" s="1133"/>
    </row>
    <row r="14" spans="1:15" s="724" customFormat="1" ht="18" hidden="1" customHeight="1">
      <c r="A14" s="485">
        <v>51202</v>
      </c>
      <c r="B14" s="485" t="s">
        <v>1299</v>
      </c>
      <c r="C14" s="1135"/>
      <c r="D14" s="1135"/>
      <c r="E14" s="1135"/>
      <c r="F14" s="1135"/>
      <c r="G14" s="1135"/>
      <c r="H14" s="1135"/>
      <c r="I14" s="1135"/>
      <c r="J14" s="1135"/>
      <c r="K14" s="1135">
        <v>17337.5</v>
      </c>
      <c r="L14" s="1135">
        <v>14396.44</v>
      </c>
      <c r="M14" s="1135">
        <f t="shared" ref="M14" si="2">(L14/9)*12</f>
        <v>19195.253333333334</v>
      </c>
      <c r="N14" s="1136"/>
      <c r="O14" s="734"/>
    </row>
    <row r="15" spans="1:15" s="92" customFormat="1" ht="18" hidden="1" customHeight="1">
      <c r="A15" s="485">
        <v>51203</v>
      </c>
      <c r="B15" s="485" t="s">
        <v>1298</v>
      </c>
      <c r="C15" s="1135"/>
      <c r="D15" s="1135"/>
      <c r="E15" s="1135"/>
      <c r="F15" s="1135"/>
      <c r="G15" s="1135"/>
      <c r="H15" s="1135"/>
      <c r="I15" s="1135"/>
      <c r="J15" s="1135"/>
      <c r="K15" s="1135"/>
      <c r="L15" s="1135"/>
      <c r="M15" s="276">
        <f t="shared" si="0"/>
        <v>0</v>
      </c>
      <c r="N15" s="1136"/>
      <c r="O15" s="1133"/>
    </row>
    <row r="16" spans="1:15" s="480" customFormat="1" ht="18" hidden="1" customHeight="1">
      <c r="A16" s="292">
        <v>513</v>
      </c>
      <c r="B16" s="292" t="s">
        <v>1300</v>
      </c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>
        <f t="shared" si="0"/>
        <v>0</v>
      </c>
      <c r="N16" s="443"/>
      <c r="O16" s="1134"/>
    </row>
    <row r="17" spans="1:15" s="92" customFormat="1" ht="18" hidden="1" customHeight="1">
      <c r="A17" s="485">
        <v>51301</v>
      </c>
      <c r="B17" s="485" t="s">
        <v>176</v>
      </c>
      <c r="C17" s="1135"/>
      <c r="D17" s="1135"/>
      <c r="E17" s="1135"/>
      <c r="F17" s="1135"/>
      <c r="G17" s="1135"/>
      <c r="H17" s="1135"/>
      <c r="I17" s="1135"/>
      <c r="J17" s="1135"/>
      <c r="K17" s="1135"/>
      <c r="L17" s="1135"/>
      <c r="M17" s="276">
        <f t="shared" si="0"/>
        <v>0</v>
      </c>
      <c r="N17" s="1136"/>
      <c r="O17" s="1133"/>
    </row>
    <row r="18" spans="1:15" s="480" customFormat="1" ht="18" hidden="1" customHeight="1">
      <c r="A18" s="292">
        <v>514</v>
      </c>
      <c r="B18" s="292" t="s">
        <v>1301</v>
      </c>
      <c r="C18" s="276"/>
      <c r="D18" s="276"/>
      <c r="E18" s="276"/>
      <c r="F18" s="276"/>
      <c r="G18" s="276"/>
      <c r="H18" s="276"/>
      <c r="I18" s="276"/>
      <c r="J18" s="276"/>
      <c r="K18" s="276">
        <f>K19</f>
        <v>7176.53</v>
      </c>
      <c r="L18" s="276">
        <f>L19</f>
        <v>4826.09</v>
      </c>
      <c r="M18" s="276">
        <f>M19</f>
        <v>6434.7866666666669</v>
      </c>
      <c r="N18" s="443"/>
      <c r="O18" s="1134"/>
    </row>
    <row r="19" spans="1:15" s="724" customFormat="1" ht="18" hidden="1" customHeight="1">
      <c r="A19" s="485">
        <v>51401</v>
      </c>
      <c r="B19" s="485" t="s">
        <v>1302</v>
      </c>
      <c r="C19" s="1135"/>
      <c r="D19" s="1135"/>
      <c r="E19" s="1135"/>
      <c r="F19" s="1135"/>
      <c r="G19" s="1135"/>
      <c r="H19" s="1135"/>
      <c r="I19" s="1135"/>
      <c r="J19" s="1135"/>
      <c r="K19" s="1135">
        <v>7176.53</v>
      </c>
      <c r="L19" s="1135">
        <v>4826.09</v>
      </c>
      <c r="M19" s="1135">
        <f t="shared" ref="M19" si="3">(L19/9)*12</f>
        <v>6434.7866666666669</v>
      </c>
      <c r="N19" s="1136"/>
      <c r="O19" s="734"/>
    </row>
    <row r="20" spans="1:15" s="480" customFormat="1" ht="18" hidden="1" customHeight="1">
      <c r="A20" s="292">
        <v>515</v>
      </c>
      <c r="B20" s="292" t="s">
        <v>1303</v>
      </c>
      <c r="C20" s="276"/>
      <c r="D20" s="276"/>
      <c r="E20" s="276"/>
      <c r="F20" s="276"/>
      <c r="G20" s="276"/>
      <c r="H20" s="276"/>
      <c r="I20" s="276"/>
      <c r="J20" s="276"/>
      <c r="K20" s="276">
        <f>K21</f>
        <v>6458.88</v>
      </c>
      <c r="L20" s="276">
        <f>L21</f>
        <v>2651.89</v>
      </c>
      <c r="M20" s="276">
        <f>M21</f>
        <v>3535.8533333333335</v>
      </c>
      <c r="N20" s="443"/>
      <c r="O20" s="1134"/>
    </row>
    <row r="21" spans="1:15" s="724" customFormat="1" ht="18" hidden="1" customHeight="1">
      <c r="A21" s="485">
        <v>51501</v>
      </c>
      <c r="B21" s="485" t="s">
        <v>1302</v>
      </c>
      <c r="C21" s="1135"/>
      <c r="D21" s="1135"/>
      <c r="E21" s="1135"/>
      <c r="F21" s="1135"/>
      <c r="G21" s="1135"/>
      <c r="H21" s="1135"/>
      <c r="I21" s="1135"/>
      <c r="J21" s="1135"/>
      <c r="K21" s="1135">
        <v>6458.88</v>
      </c>
      <c r="L21" s="1135">
        <v>2651.89</v>
      </c>
      <c r="M21" s="1135">
        <f t="shared" ref="M21" si="4">(L21/9)*12</f>
        <v>3535.8533333333335</v>
      </c>
      <c r="N21" s="1136"/>
      <c r="O21" s="734"/>
    </row>
    <row r="22" spans="1:15" s="92" customFormat="1" ht="18" hidden="1" customHeight="1">
      <c r="A22" s="485">
        <v>516</v>
      </c>
      <c r="B22" s="485" t="s">
        <v>57</v>
      </c>
      <c r="C22" s="1135"/>
      <c r="D22" s="1135"/>
      <c r="E22" s="1135"/>
      <c r="F22" s="1135"/>
      <c r="G22" s="1135"/>
      <c r="H22" s="1135"/>
      <c r="I22" s="1135"/>
      <c r="J22" s="1135"/>
      <c r="K22" s="1135"/>
      <c r="L22" s="1135"/>
      <c r="M22" s="276">
        <f t="shared" si="0"/>
        <v>0</v>
      </c>
      <c r="N22" s="1136"/>
      <c r="O22" s="1133"/>
    </row>
    <row r="23" spans="1:15" s="92" customFormat="1" ht="18" hidden="1" customHeight="1">
      <c r="A23" s="485">
        <v>51602</v>
      </c>
      <c r="B23" s="485" t="s">
        <v>1304</v>
      </c>
      <c r="C23" s="1135"/>
      <c r="D23" s="1135"/>
      <c r="E23" s="1135"/>
      <c r="F23" s="1135"/>
      <c r="G23" s="1135"/>
      <c r="H23" s="1135"/>
      <c r="I23" s="1135"/>
      <c r="J23" s="1135"/>
      <c r="K23" s="1135"/>
      <c r="L23" s="1135"/>
      <c r="M23" s="276">
        <f t="shared" si="0"/>
        <v>0</v>
      </c>
      <c r="N23" s="1136"/>
      <c r="O23" s="1133"/>
    </row>
    <row r="24" spans="1:15" s="480" customFormat="1" ht="18" hidden="1" customHeight="1">
      <c r="A24" s="292">
        <v>517</v>
      </c>
      <c r="B24" s="292" t="s">
        <v>1268</v>
      </c>
      <c r="C24" s="276">
        <f>C25</f>
        <v>0</v>
      </c>
      <c r="D24" s="276">
        <f>D25</f>
        <v>0</v>
      </c>
      <c r="E24" s="276"/>
      <c r="F24" s="276"/>
      <c r="G24" s="276"/>
      <c r="H24" s="276"/>
      <c r="I24" s="276"/>
      <c r="J24" s="276"/>
      <c r="K24" s="276"/>
      <c r="L24" s="276"/>
      <c r="M24" s="276">
        <f t="shared" si="0"/>
        <v>0</v>
      </c>
      <c r="N24" s="443"/>
      <c r="O24" s="1134"/>
    </row>
    <row r="25" spans="1:15" s="92" customFormat="1" ht="18" hidden="1" customHeight="1">
      <c r="A25" s="485">
        <v>51701</v>
      </c>
      <c r="B25" s="485" t="s">
        <v>1305</v>
      </c>
      <c r="C25" s="1135"/>
      <c r="D25" s="1135"/>
      <c r="E25" s="1135"/>
      <c r="F25" s="1135"/>
      <c r="G25" s="1135"/>
      <c r="H25" s="1135"/>
      <c r="I25" s="1135"/>
      <c r="J25" s="1135"/>
      <c r="K25" s="1135"/>
      <c r="L25" s="1135"/>
      <c r="M25" s="276">
        <f t="shared" si="0"/>
        <v>0</v>
      </c>
      <c r="N25" s="1136"/>
      <c r="O25" s="1133"/>
    </row>
    <row r="26" spans="1:15" s="480" customFormat="1" ht="18" hidden="1" customHeight="1">
      <c r="A26" s="292">
        <v>519</v>
      </c>
      <c r="B26" s="292" t="s">
        <v>347</v>
      </c>
      <c r="C26" s="276">
        <f>C28</f>
        <v>0</v>
      </c>
      <c r="D26" s="276">
        <f>D28</f>
        <v>0</v>
      </c>
      <c r="E26" s="276"/>
      <c r="F26" s="276"/>
      <c r="G26" s="276"/>
      <c r="H26" s="276"/>
      <c r="I26" s="276"/>
      <c r="J26" s="276"/>
      <c r="K26" s="276"/>
      <c r="L26" s="276"/>
      <c r="M26" s="276">
        <f t="shared" si="0"/>
        <v>0</v>
      </c>
      <c r="N26" s="443"/>
      <c r="O26" s="1134"/>
    </row>
    <row r="27" spans="1:15" s="92" customFormat="1" ht="18" hidden="1" customHeight="1">
      <c r="A27" s="485">
        <v>51901</v>
      </c>
      <c r="B27" s="485" t="s">
        <v>1306</v>
      </c>
      <c r="C27" s="1135"/>
      <c r="D27" s="1135"/>
      <c r="E27" s="1135"/>
      <c r="F27" s="1135"/>
      <c r="G27" s="1135"/>
      <c r="H27" s="1135"/>
      <c r="I27" s="1135"/>
      <c r="J27" s="1135"/>
      <c r="K27" s="1135"/>
      <c r="L27" s="1135"/>
      <c r="M27" s="276">
        <f t="shared" si="0"/>
        <v>0</v>
      </c>
      <c r="N27" s="1136"/>
      <c r="O27" s="1133"/>
    </row>
    <row r="28" spans="1:15" s="92" customFormat="1" ht="18" hidden="1" customHeight="1">
      <c r="A28" s="485">
        <v>51902</v>
      </c>
      <c r="B28" s="485" t="s">
        <v>1307</v>
      </c>
      <c r="C28" s="1135"/>
      <c r="D28" s="1135"/>
      <c r="E28" s="1135"/>
      <c r="F28" s="1135"/>
      <c r="G28" s="1135"/>
      <c r="H28" s="1135"/>
      <c r="I28" s="1135"/>
      <c r="J28" s="1135"/>
      <c r="K28" s="1135"/>
      <c r="L28" s="1135"/>
      <c r="M28" s="276">
        <f t="shared" si="0"/>
        <v>0</v>
      </c>
      <c r="N28" s="1136"/>
      <c r="O28" s="1133"/>
    </row>
    <row r="29" spans="1:15" s="92" customFormat="1" ht="18" hidden="1" customHeight="1">
      <c r="A29" s="485">
        <v>51999</v>
      </c>
      <c r="B29" s="485" t="s">
        <v>347</v>
      </c>
      <c r="C29" s="1135"/>
      <c r="D29" s="1135"/>
      <c r="E29" s="1135"/>
      <c r="F29" s="1135"/>
      <c r="G29" s="1135"/>
      <c r="H29" s="1135"/>
      <c r="I29" s="1135"/>
      <c r="J29" s="1135"/>
      <c r="K29" s="1135"/>
      <c r="L29" s="1135"/>
      <c r="M29" s="276">
        <f t="shared" si="0"/>
        <v>0</v>
      </c>
      <c r="N29" s="1136"/>
      <c r="O29" s="1133"/>
    </row>
    <row r="30" spans="1:15" s="92" customFormat="1" ht="18" hidden="1" customHeight="1">
      <c r="A30" s="485"/>
      <c r="B30" s="485"/>
      <c r="C30" s="1135"/>
      <c r="D30" s="1135"/>
      <c r="E30" s="1135"/>
      <c r="F30" s="1135"/>
      <c r="G30" s="1135"/>
      <c r="H30" s="1135"/>
      <c r="I30" s="1135"/>
      <c r="J30" s="1135"/>
      <c r="K30" s="1135"/>
      <c r="L30" s="1135"/>
      <c r="M30" s="1135"/>
      <c r="N30" s="1136"/>
      <c r="O30" s="1133"/>
    </row>
    <row r="31" spans="1:15" s="480" customFormat="1" ht="18" customHeight="1">
      <c r="A31" s="292">
        <v>54</v>
      </c>
      <c r="B31" s="292" t="s">
        <v>1308</v>
      </c>
      <c r="C31" s="1137">
        <f t="shared" ref="C31:J31" si="5">C32+C59+C65+C92+C97</f>
        <v>32500</v>
      </c>
      <c r="D31" s="1138">
        <f t="shared" si="5"/>
        <v>8433.9</v>
      </c>
      <c r="E31" s="1139">
        <f t="shared" si="5"/>
        <v>9200.6181818181813</v>
      </c>
      <c r="F31" s="276">
        <f t="shared" si="5"/>
        <v>9900</v>
      </c>
      <c r="G31" s="276">
        <f t="shared" si="5"/>
        <v>19300</v>
      </c>
      <c r="H31" s="276">
        <f t="shared" si="5"/>
        <v>14252</v>
      </c>
      <c r="I31" s="276">
        <f t="shared" si="5"/>
        <v>15547.636363636364</v>
      </c>
      <c r="J31" s="276">
        <f t="shared" si="5"/>
        <v>15750</v>
      </c>
      <c r="K31" s="1137">
        <f>K32+K59+K65+K92+K97</f>
        <v>148839.94</v>
      </c>
      <c r="L31" s="1138">
        <f>L32+L59+L65+L92+L97</f>
        <v>211312.27</v>
      </c>
      <c r="M31" s="1139">
        <f>M32+M59+M65+M92+M97</f>
        <v>230735.80969696969</v>
      </c>
      <c r="N31" s="276">
        <f t="shared" ref="N31:O31" si="6">N32+N59+N65+N92+N97</f>
        <v>217800</v>
      </c>
      <c r="O31" s="276">
        <f t="shared" si="6"/>
        <v>269950</v>
      </c>
    </row>
    <row r="32" spans="1:15" s="480" customFormat="1" ht="18" customHeight="1">
      <c r="A32" s="292">
        <v>541</v>
      </c>
      <c r="B32" s="292" t="s">
        <v>349</v>
      </c>
      <c r="C32" s="1137">
        <f t="shared" ref="C32:J32" si="7">SUM(C33:C58)</f>
        <v>16000</v>
      </c>
      <c r="D32" s="1138">
        <f t="shared" si="7"/>
        <v>6328.9</v>
      </c>
      <c r="E32" s="1139">
        <f t="shared" si="7"/>
        <v>6904.2545454545452</v>
      </c>
      <c r="F32" s="276">
        <f t="shared" si="7"/>
        <v>7300</v>
      </c>
      <c r="G32" s="276">
        <f t="shared" si="7"/>
        <v>16800</v>
      </c>
      <c r="H32" s="276">
        <f t="shared" si="7"/>
        <v>14252</v>
      </c>
      <c r="I32" s="276">
        <f t="shared" si="7"/>
        <v>15547.636363636364</v>
      </c>
      <c r="J32" s="276">
        <f t="shared" si="7"/>
        <v>15750</v>
      </c>
      <c r="K32" s="1137">
        <f>SUM(K33:K58)</f>
        <v>105100</v>
      </c>
      <c r="L32" s="1138">
        <f>SUM(L33:L58)</f>
        <v>121978.95999999999</v>
      </c>
      <c r="M32" s="1139">
        <f>SUM(M33:M58)</f>
        <v>133067.95636363636</v>
      </c>
      <c r="N32" s="276">
        <f t="shared" ref="N32:O32" si="8">SUM(N33:N58)</f>
        <v>117600</v>
      </c>
      <c r="O32" s="276">
        <f t="shared" si="8"/>
        <v>140650</v>
      </c>
    </row>
    <row r="33" spans="1:15" s="724" customFormat="1" ht="18" customHeight="1">
      <c r="A33" s="485">
        <v>54101</v>
      </c>
      <c r="B33" s="485" t="s">
        <v>1309</v>
      </c>
      <c r="C33" s="1140">
        <v>13000</v>
      </c>
      <c r="D33" s="1141">
        <v>6124.67</v>
      </c>
      <c r="E33" s="1142">
        <f>(D33/11)*12</f>
        <v>6681.4581818181814</v>
      </c>
      <c r="F33" s="1135">
        <v>7000</v>
      </c>
      <c r="G33" s="1140"/>
      <c r="H33" s="1141"/>
      <c r="I33" s="1142"/>
      <c r="J33" s="1135"/>
      <c r="K33" s="1140"/>
      <c r="L33" s="1141"/>
      <c r="M33" s="1142"/>
      <c r="N33" s="1136"/>
      <c r="O33" s="1143">
        <f>F33+J33+N33</f>
        <v>7000</v>
      </c>
    </row>
    <row r="34" spans="1:15" s="724" customFormat="1" ht="18" hidden="1" customHeight="1">
      <c r="A34" s="485">
        <v>54103</v>
      </c>
      <c r="B34" s="485" t="s">
        <v>1310</v>
      </c>
      <c r="C34" s="1140"/>
      <c r="D34" s="1141"/>
      <c r="E34" s="1142"/>
      <c r="F34" s="1135"/>
      <c r="G34" s="1140"/>
      <c r="H34" s="1141"/>
      <c r="I34" s="1142"/>
      <c r="J34" s="1135"/>
      <c r="K34" s="1140">
        <v>500</v>
      </c>
      <c r="L34" s="1141"/>
      <c r="M34" s="1142">
        <f t="shared" ref="M34" si="9">(L34/9)*12</f>
        <v>0</v>
      </c>
      <c r="N34" s="1136"/>
      <c r="O34" s="1143">
        <f t="shared" ref="O34:O43" si="10">F34+J34+N34</f>
        <v>0</v>
      </c>
    </row>
    <row r="35" spans="1:15" s="724" customFormat="1" ht="18" customHeight="1">
      <c r="A35" s="485">
        <v>54104</v>
      </c>
      <c r="B35" s="485" t="s">
        <v>1311</v>
      </c>
      <c r="C35" s="1140">
        <v>1200</v>
      </c>
      <c r="D35" s="1141">
        <v>162</v>
      </c>
      <c r="E35" s="1142">
        <f>(D35/11)*12</f>
        <v>176.72727272727272</v>
      </c>
      <c r="F35" s="1135">
        <v>200</v>
      </c>
      <c r="G35" s="1140">
        <v>1800</v>
      </c>
      <c r="H35" s="1141">
        <v>3750</v>
      </c>
      <c r="I35" s="1142">
        <f t="shared" ref="I35:I43" si="11">(H35/11)*12</f>
        <v>4090.909090909091</v>
      </c>
      <c r="J35" s="1135">
        <v>3750</v>
      </c>
      <c r="K35" s="1140">
        <v>6900</v>
      </c>
      <c r="L35" s="1141">
        <v>6376.72</v>
      </c>
      <c r="M35" s="1142">
        <f t="shared" ref="M35:M43" si="12">(L35/11)*12</f>
        <v>6956.4218181818187</v>
      </c>
      <c r="N35" s="1136">
        <v>7000</v>
      </c>
      <c r="O35" s="1143">
        <f t="shared" si="10"/>
        <v>10950</v>
      </c>
    </row>
    <row r="36" spans="1:15" s="724" customFormat="1" ht="18" hidden="1" customHeight="1">
      <c r="A36" s="485">
        <v>54105</v>
      </c>
      <c r="B36" s="485" t="s">
        <v>1312</v>
      </c>
      <c r="C36" s="1140"/>
      <c r="D36" s="1141"/>
      <c r="E36" s="1142">
        <f t="shared" ref="E36:E43" si="13">(D36/11)*12</f>
        <v>0</v>
      </c>
      <c r="F36" s="1135"/>
      <c r="G36" s="1140"/>
      <c r="H36" s="1141"/>
      <c r="I36" s="1142">
        <f t="shared" si="11"/>
        <v>0</v>
      </c>
      <c r="J36" s="1135"/>
      <c r="K36" s="1140"/>
      <c r="L36" s="1141"/>
      <c r="M36" s="1142">
        <f t="shared" si="12"/>
        <v>0</v>
      </c>
      <c r="N36" s="1136"/>
      <c r="O36" s="1143">
        <f t="shared" si="10"/>
        <v>0</v>
      </c>
    </row>
    <row r="37" spans="1:15" s="724" customFormat="1" ht="18" hidden="1" customHeight="1">
      <c r="A37" s="485">
        <v>54106</v>
      </c>
      <c r="B37" s="485" t="s">
        <v>1313</v>
      </c>
      <c r="C37" s="1140"/>
      <c r="D37" s="1141"/>
      <c r="E37" s="1142">
        <f t="shared" si="13"/>
        <v>0</v>
      </c>
      <c r="F37" s="1135"/>
      <c r="G37" s="1140"/>
      <c r="H37" s="1141"/>
      <c r="I37" s="1142">
        <f t="shared" si="11"/>
        <v>0</v>
      </c>
      <c r="J37" s="1135"/>
      <c r="K37" s="1140">
        <v>200</v>
      </c>
      <c r="L37" s="1141"/>
      <c r="M37" s="1142">
        <f t="shared" si="12"/>
        <v>0</v>
      </c>
      <c r="N37" s="1136"/>
      <c r="O37" s="1143">
        <f t="shared" si="10"/>
        <v>0</v>
      </c>
    </row>
    <row r="38" spans="1:15" s="724" customFormat="1" ht="18" customHeight="1">
      <c r="A38" s="485">
        <v>54107</v>
      </c>
      <c r="B38" s="485" t="s">
        <v>1314</v>
      </c>
      <c r="C38" s="1140">
        <v>300</v>
      </c>
      <c r="D38" s="1141"/>
      <c r="E38" s="1142">
        <f t="shared" si="13"/>
        <v>0</v>
      </c>
      <c r="F38" s="1135"/>
      <c r="G38" s="1140"/>
      <c r="H38" s="1141"/>
      <c r="I38" s="1142">
        <f t="shared" si="11"/>
        <v>0</v>
      </c>
      <c r="J38" s="1135"/>
      <c r="K38" s="1140">
        <v>17000</v>
      </c>
      <c r="L38" s="1141">
        <v>8077.28</v>
      </c>
      <c r="M38" s="1142">
        <f t="shared" si="12"/>
        <v>8811.5781818181822</v>
      </c>
      <c r="N38" s="1136">
        <v>9000</v>
      </c>
      <c r="O38" s="1143">
        <f t="shared" si="10"/>
        <v>9000</v>
      </c>
    </row>
    <row r="39" spans="1:15" s="724" customFormat="1" ht="18" customHeight="1">
      <c r="A39" s="485">
        <v>54108</v>
      </c>
      <c r="B39" s="485" t="s">
        <v>1315</v>
      </c>
      <c r="C39" s="1140">
        <v>1000</v>
      </c>
      <c r="D39" s="1141">
        <v>42.23</v>
      </c>
      <c r="E39" s="1142">
        <f t="shared" si="13"/>
        <v>46.069090909090903</v>
      </c>
      <c r="F39" s="1135">
        <v>100</v>
      </c>
      <c r="G39" s="1140"/>
      <c r="H39" s="1141"/>
      <c r="I39" s="1142">
        <f t="shared" si="11"/>
        <v>0</v>
      </c>
      <c r="J39" s="1135"/>
      <c r="K39" s="1140"/>
      <c r="L39" s="1141">
        <v>107.27</v>
      </c>
      <c r="M39" s="1142">
        <f t="shared" si="12"/>
        <v>117.02181818181819</v>
      </c>
      <c r="N39" s="1136">
        <v>200</v>
      </c>
      <c r="O39" s="1143">
        <f t="shared" si="10"/>
        <v>300</v>
      </c>
    </row>
    <row r="40" spans="1:15" s="724" customFormat="1" ht="18" customHeight="1">
      <c r="A40" s="485">
        <v>54109</v>
      </c>
      <c r="B40" s="485" t="s">
        <v>1316</v>
      </c>
      <c r="C40" s="1140"/>
      <c r="D40" s="1141"/>
      <c r="E40" s="1142">
        <f t="shared" si="13"/>
        <v>0</v>
      </c>
      <c r="F40" s="1135"/>
      <c r="G40" s="1140"/>
      <c r="H40" s="1141"/>
      <c r="I40" s="1142">
        <f t="shared" si="11"/>
        <v>0</v>
      </c>
      <c r="J40" s="1135"/>
      <c r="K40" s="1140">
        <v>2000</v>
      </c>
      <c r="L40" s="1141">
        <v>899.69</v>
      </c>
      <c r="M40" s="1142">
        <f t="shared" si="12"/>
        <v>981.48</v>
      </c>
      <c r="N40" s="1136">
        <v>1000</v>
      </c>
      <c r="O40" s="1143">
        <f t="shared" si="10"/>
        <v>1000</v>
      </c>
    </row>
    <row r="41" spans="1:15" s="724" customFormat="1" ht="18" customHeight="1">
      <c r="A41" s="485">
        <v>54110</v>
      </c>
      <c r="B41" s="485" t="s">
        <v>1317</v>
      </c>
      <c r="C41" s="1140"/>
      <c r="D41" s="1141"/>
      <c r="E41" s="1142">
        <f t="shared" si="13"/>
        <v>0</v>
      </c>
      <c r="F41" s="1135"/>
      <c r="G41" s="1140"/>
      <c r="H41" s="1141"/>
      <c r="I41" s="1142">
        <f t="shared" si="11"/>
        <v>0</v>
      </c>
      <c r="J41" s="1135"/>
      <c r="K41" s="1140">
        <v>23000</v>
      </c>
      <c r="L41" s="1141">
        <v>6408.55</v>
      </c>
      <c r="M41" s="1142">
        <f t="shared" si="12"/>
        <v>6991.1454545454544</v>
      </c>
      <c r="N41" s="1136">
        <v>7000</v>
      </c>
      <c r="O41" s="1143">
        <f t="shared" si="10"/>
        <v>7000</v>
      </c>
    </row>
    <row r="42" spans="1:15" s="724" customFormat="1" ht="18" customHeight="1">
      <c r="A42" s="485">
        <v>54111</v>
      </c>
      <c r="B42" s="485" t="s">
        <v>1318</v>
      </c>
      <c r="C42" s="1140"/>
      <c r="D42" s="1141"/>
      <c r="E42" s="1142">
        <f t="shared" si="13"/>
        <v>0</v>
      </c>
      <c r="F42" s="1135"/>
      <c r="G42" s="1140"/>
      <c r="H42" s="1141"/>
      <c r="I42" s="1142">
        <f t="shared" si="11"/>
        <v>0</v>
      </c>
      <c r="J42" s="1135"/>
      <c r="K42" s="1140">
        <v>2000</v>
      </c>
      <c r="L42" s="1141">
        <v>26825.67</v>
      </c>
      <c r="M42" s="1142">
        <f t="shared" si="12"/>
        <v>29264.367272727271</v>
      </c>
      <c r="N42" s="1136">
        <v>12000</v>
      </c>
      <c r="O42" s="1143">
        <f t="shared" si="10"/>
        <v>12000</v>
      </c>
    </row>
    <row r="43" spans="1:15" s="724" customFormat="1" ht="18" customHeight="1">
      <c r="A43" s="485">
        <v>54112</v>
      </c>
      <c r="B43" s="485" t="s">
        <v>1319</v>
      </c>
      <c r="C43" s="1140">
        <v>500</v>
      </c>
      <c r="D43" s="1141"/>
      <c r="E43" s="1142">
        <f t="shared" si="13"/>
        <v>0</v>
      </c>
      <c r="F43" s="1135"/>
      <c r="G43" s="1140"/>
      <c r="H43" s="1141"/>
      <c r="I43" s="1142">
        <f t="shared" si="11"/>
        <v>0</v>
      </c>
      <c r="J43" s="1135"/>
      <c r="K43" s="1140">
        <v>6000</v>
      </c>
      <c r="L43" s="1141">
        <v>4966.4799999999996</v>
      </c>
      <c r="M43" s="1142">
        <f t="shared" si="12"/>
        <v>5417.9781818181809</v>
      </c>
      <c r="N43" s="1136">
        <v>5500</v>
      </c>
      <c r="O43" s="1143">
        <f t="shared" si="10"/>
        <v>5500</v>
      </c>
    </row>
    <row r="44" spans="1:15" s="92" customFormat="1" ht="18" hidden="1" customHeight="1">
      <c r="A44" s="132"/>
      <c r="B44" s="132"/>
      <c r="C44" s="543"/>
      <c r="D44" s="543"/>
      <c r="E44" s="612"/>
      <c r="F44" s="543"/>
      <c r="G44" s="516"/>
      <c r="H44" s="516"/>
      <c r="I44" s="516"/>
      <c r="J44" s="516"/>
      <c r="K44" s="516"/>
      <c r="L44" s="516"/>
      <c r="M44" s="516"/>
      <c r="N44" s="516"/>
      <c r="O44" s="1133"/>
    </row>
    <row r="45" spans="1:15" s="92" customFormat="1" ht="18" hidden="1" customHeight="1">
      <c r="A45" s="132"/>
      <c r="B45" s="132"/>
      <c r="C45" s="543"/>
      <c r="D45" s="543"/>
      <c r="E45" s="612"/>
      <c r="F45" s="543"/>
      <c r="G45" s="516"/>
      <c r="H45" s="516"/>
      <c r="I45" s="516"/>
      <c r="J45" s="516"/>
      <c r="K45" s="516"/>
      <c r="L45" s="516"/>
      <c r="M45" s="516"/>
      <c r="N45" s="516"/>
      <c r="O45" s="1133"/>
    </row>
    <row r="46" spans="1:15" s="92" customFormat="1" ht="18" hidden="1" customHeight="1">
      <c r="A46" s="132"/>
      <c r="B46" s="132"/>
      <c r="C46" s="543"/>
      <c r="D46" s="543"/>
      <c r="E46" s="612"/>
      <c r="F46" s="543"/>
      <c r="G46" s="516"/>
      <c r="H46" s="516"/>
      <c r="I46" s="516"/>
      <c r="J46" s="516"/>
      <c r="K46" s="516"/>
      <c r="L46" s="516"/>
      <c r="M46" s="516"/>
      <c r="N46" s="516"/>
      <c r="O46" s="1133"/>
    </row>
    <row r="47" spans="1:15" s="92" customFormat="1" ht="18" hidden="1" customHeight="1">
      <c r="A47" s="1694" t="str">
        <f>A2</f>
        <v>EGRESOS  AL 30 DE NOVIEMBRE DE 2016 FONDOS PROPIOS</v>
      </c>
      <c r="B47" s="1694"/>
      <c r="C47" s="1694"/>
      <c r="D47" s="1694"/>
      <c r="E47" s="1694"/>
      <c r="F47" s="1694"/>
      <c r="G47" s="1694"/>
      <c r="H47" s="1694"/>
      <c r="I47" s="1694"/>
      <c r="J47" s="1694"/>
      <c r="K47" s="1694"/>
      <c r="L47" s="1694"/>
      <c r="M47" s="1694"/>
      <c r="N47" s="1694"/>
      <c r="O47" s="1133"/>
    </row>
    <row r="48" spans="1:15" s="92" customFormat="1" ht="19.5" hidden="1" customHeight="1">
      <c r="A48" s="1331" t="s">
        <v>1066</v>
      </c>
      <c r="B48" s="1331" t="s">
        <v>539</v>
      </c>
      <c r="C48" s="1738" t="s">
        <v>1290</v>
      </c>
      <c r="D48" s="1738"/>
      <c r="E48" s="1738"/>
      <c r="F48" s="1738"/>
      <c r="G48" s="1738" t="s">
        <v>1291</v>
      </c>
      <c r="H48" s="1738"/>
      <c r="I48" s="1738"/>
      <c r="J48" s="1738"/>
      <c r="K48" s="1738" t="s">
        <v>1292</v>
      </c>
      <c r="L48" s="1738"/>
      <c r="M48" s="1738"/>
      <c r="N48" s="1739"/>
      <c r="O48" s="1737" t="s">
        <v>1293</v>
      </c>
    </row>
    <row r="49" spans="1:15" s="480" customFormat="1" ht="19.5" hidden="1" customHeight="1">
      <c r="A49" s="1331"/>
      <c r="B49" s="1331"/>
      <c r="C49" s="1724" t="s">
        <v>1294</v>
      </c>
      <c r="D49" s="1724" t="s">
        <v>1320</v>
      </c>
      <c r="E49" s="1724" t="s">
        <v>1321</v>
      </c>
      <c r="F49" s="1724" t="s">
        <v>1322</v>
      </c>
      <c r="G49" s="1724" t="s">
        <v>1294</v>
      </c>
      <c r="H49" s="1724" t="s">
        <v>1320</v>
      </c>
      <c r="I49" s="1724" t="s">
        <v>1321</v>
      </c>
      <c r="J49" s="1724" t="s">
        <v>1322</v>
      </c>
      <c r="K49" s="1724" t="s">
        <v>1294</v>
      </c>
      <c r="L49" s="1724" t="s">
        <v>1320</v>
      </c>
      <c r="M49" s="1724" t="s">
        <v>1321</v>
      </c>
      <c r="N49" s="1740" t="s">
        <v>1322</v>
      </c>
      <c r="O49" s="1737"/>
    </row>
    <row r="50" spans="1:15" s="480" customFormat="1" ht="12.75" hidden="1" customHeight="1">
      <c r="A50" s="1331"/>
      <c r="B50" s="1331"/>
      <c r="C50" s="1724"/>
      <c r="D50" s="1724"/>
      <c r="E50" s="1724"/>
      <c r="F50" s="1724"/>
      <c r="G50" s="1724"/>
      <c r="H50" s="1724"/>
      <c r="I50" s="1724"/>
      <c r="J50" s="1724"/>
      <c r="K50" s="1724"/>
      <c r="L50" s="1724"/>
      <c r="M50" s="1724"/>
      <c r="N50" s="1740"/>
      <c r="O50" s="1737"/>
    </row>
    <row r="51" spans="1:15" s="724" customFormat="1" ht="18" customHeight="1">
      <c r="A51" s="485">
        <v>54114</v>
      </c>
      <c r="B51" s="485" t="s">
        <v>1323</v>
      </c>
      <c r="C51" s="1140"/>
      <c r="D51" s="1141"/>
      <c r="E51" s="1142">
        <f t="shared" ref="E51:E78" si="14">(D51/11)*12</f>
        <v>0</v>
      </c>
      <c r="F51" s="1135"/>
      <c r="G51" s="1140">
        <v>15000</v>
      </c>
      <c r="H51" s="1141">
        <v>10502</v>
      </c>
      <c r="I51" s="1142">
        <f>(H51/11)*12</f>
        <v>11456.727272727272</v>
      </c>
      <c r="J51" s="1135">
        <v>12000</v>
      </c>
      <c r="K51" s="1140"/>
      <c r="L51" s="1141"/>
      <c r="M51" s="1142">
        <f t="shared" ref="M51:M78" si="15">(L51/11)*12</f>
        <v>0</v>
      </c>
      <c r="N51" s="1136"/>
      <c r="O51" s="1143">
        <f t="shared" ref="O51:O79" si="16">F51+J51+N51</f>
        <v>12000</v>
      </c>
    </row>
    <row r="52" spans="1:15" s="724" customFormat="1" ht="18" hidden="1" customHeight="1">
      <c r="A52" s="485">
        <v>54115</v>
      </c>
      <c r="B52" s="485" t="s">
        <v>1324</v>
      </c>
      <c r="C52" s="1140"/>
      <c r="D52" s="1141"/>
      <c r="E52" s="1142">
        <f t="shared" si="14"/>
        <v>0</v>
      </c>
      <c r="F52" s="1135"/>
      <c r="G52" s="1140"/>
      <c r="H52" s="1141"/>
      <c r="I52" s="1142">
        <f t="shared" ref="I52:I61" si="17">(H52/11)*12</f>
        <v>0</v>
      </c>
      <c r="J52" s="1135"/>
      <c r="K52" s="1140"/>
      <c r="L52" s="1141"/>
      <c r="M52" s="1142">
        <f t="shared" si="15"/>
        <v>0</v>
      </c>
      <c r="N52" s="1136"/>
      <c r="O52" s="1143">
        <f t="shared" si="16"/>
        <v>0</v>
      </c>
    </row>
    <row r="53" spans="1:15" s="724" customFormat="1" ht="18" hidden="1" customHeight="1">
      <c r="A53" s="485">
        <v>54116</v>
      </c>
      <c r="B53" s="485" t="s">
        <v>1325</v>
      </c>
      <c r="C53" s="1140"/>
      <c r="D53" s="1141"/>
      <c r="E53" s="1142">
        <f t="shared" si="14"/>
        <v>0</v>
      </c>
      <c r="F53" s="1135"/>
      <c r="G53" s="1140"/>
      <c r="H53" s="1141"/>
      <c r="I53" s="1142">
        <f t="shared" si="17"/>
        <v>0</v>
      </c>
      <c r="J53" s="1135"/>
      <c r="K53" s="1140"/>
      <c r="L53" s="1141"/>
      <c r="M53" s="1142">
        <f t="shared" si="15"/>
        <v>0</v>
      </c>
      <c r="N53" s="1136"/>
      <c r="O53" s="1143">
        <f t="shared" si="16"/>
        <v>0</v>
      </c>
    </row>
    <row r="54" spans="1:15" s="724" customFormat="1" ht="18" hidden="1" customHeight="1">
      <c r="A54" s="485">
        <v>54117</v>
      </c>
      <c r="B54" s="485" t="s">
        <v>1326</v>
      </c>
      <c r="C54" s="1140"/>
      <c r="D54" s="1141"/>
      <c r="E54" s="1142">
        <f t="shared" si="14"/>
        <v>0</v>
      </c>
      <c r="F54" s="1135"/>
      <c r="G54" s="1140"/>
      <c r="H54" s="1141"/>
      <c r="I54" s="1142">
        <f t="shared" si="17"/>
        <v>0</v>
      </c>
      <c r="J54" s="1135"/>
      <c r="K54" s="1140"/>
      <c r="L54" s="1141"/>
      <c r="M54" s="1142">
        <f t="shared" si="15"/>
        <v>0</v>
      </c>
      <c r="N54" s="1136"/>
      <c r="O54" s="1143">
        <f t="shared" si="16"/>
        <v>0</v>
      </c>
    </row>
    <row r="55" spans="1:15" s="724" customFormat="1" ht="18" customHeight="1">
      <c r="A55" s="485">
        <v>54118</v>
      </c>
      <c r="B55" s="485" t="s">
        <v>1327</v>
      </c>
      <c r="C55" s="1140"/>
      <c r="D55" s="1141"/>
      <c r="E55" s="1142">
        <f t="shared" si="14"/>
        <v>0</v>
      </c>
      <c r="F55" s="1135"/>
      <c r="G55" s="1140"/>
      <c r="H55" s="1141"/>
      <c r="I55" s="1142">
        <f t="shared" si="17"/>
        <v>0</v>
      </c>
      <c r="J55" s="1135"/>
      <c r="K55" s="1140">
        <v>1500</v>
      </c>
      <c r="L55" s="1141">
        <v>1715.9</v>
      </c>
      <c r="M55" s="1142">
        <f t="shared" si="15"/>
        <v>1871.8909090909092</v>
      </c>
      <c r="N55" s="1136">
        <v>1900</v>
      </c>
      <c r="O55" s="1143">
        <f t="shared" si="16"/>
        <v>1900</v>
      </c>
    </row>
    <row r="56" spans="1:15" s="724" customFormat="1" ht="18" customHeight="1">
      <c r="A56" s="485">
        <v>54119</v>
      </c>
      <c r="B56" s="485" t="s">
        <v>1328</v>
      </c>
      <c r="C56" s="1140"/>
      <c r="D56" s="1141"/>
      <c r="E56" s="1142">
        <f t="shared" si="14"/>
        <v>0</v>
      </c>
      <c r="F56" s="1135"/>
      <c r="G56" s="1140"/>
      <c r="H56" s="1141"/>
      <c r="I56" s="1142">
        <f t="shared" si="17"/>
        <v>0</v>
      </c>
      <c r="J56" s="1135"/>
      <c r="K56" s="1140">
        <v>21000</v>
      </c>
      <c r="L56" s="1141">
        <v>6791.41</v>
      </c>
      <c r="M56" s="1142">
        <f t="shared" si="15"/>
        <v>7408.8109090909093</v>
      </c>
      <c r="N56" s="1136">
        <v>8000</v>
      </c>
      <c r="O56" s="1143">
        <f t="shared" si="16"/>
        <v>8000</v>
      </c>
    </row>
    <row r="57" spans="1:15" s="724" customFormat="1" ht="18" hidden="1" customHeight="1">
      <c r="A57" s="485">
        <v>54121</v>
      </c>
      <c r="B57" s="485" t="s">
        <v>1329</v>
      </c>
      <c r="C57" s="1140"/>
      <c r="D57" s="1141"/>
      <c r="E57" s="1142">
        <f t="shared" si="14"/>
        <v>0</v>
      </c>
      <c r="F57" s="1135"/>
      <c r="G57" s="1140"/>
      <c r="H57" s="1141"/>
      <c r="I57" s="1142">
        <f t="shared" si="17"/>
        <v>0</v>
      </c>
      <c r="J57" s="1135"/>
      <c r="K57" s="1140"/>
      <c r="L57" s="1141"/>
      <c r="M57" s="1142">
        <f t="shared" si="15"/>
        <v>0</v>
      </c>
      <c r="N57" s="1136"/>
      <c r="O57" s="1143">
        <f t="shared" si="16"/>
        <v>0</v>
      </c>
    </row>
    <row r="58" spans="1:15" s="724" customFormat="1" ht="18" customHeight="1">
      <c r="A58" s="485">
        <v>54199</v>
      </c>
      <c r="B58" s="485" t="s">
        <v>491</v>
      </c>
      <c r="C58" s="1140"/>
      <c r="D58" s="1141"/>
      <c r="E58" s="1142">
        <f t="shared" si="14"/>
        <v>0</v>
      </c>
      <c r="F58" s="1135"/>
      <c r="G58" s="1140"/>
      <c r="H58" s="1141"/>
      <c r="I58" s="1142">
        <f t="shared" si="17"/>
        <v>0</v>
      </c>
      <c r="J58" s="1135"/>
      <c r="K58" s="1140">
        <v>25000</v>
      </c>
      <c r="L58" s="1141">
        <v>59809.99</v>
      </c>
      <c r="M58" s="1142">
        <f t="shared" si="15"/>
        <v>65247.261818181818</v>
      </c>
      <c r="N58" s="1136">
        <v>66000</v>
      </c>
      <c r="O58" s="1143">
        <f t="shared" si="16"/>
        <v>66000</v>
      </c>
    </row>
    <row r="59" spans="1:15" s="480" customFormat="1" ht="18" customHeight="1">
      <c r="A59" s="292">
        <v>542</v>
      </c>
      <c r="B59" s="292" t="s">
        <v>353</v>
      </c>
      <c r="C59" s="1137"/>
      <c r="D59" s="1138"/>
      <c r="E59" s="1142">
        <f t="shared" si="14"/>
        <v>0</v>
      </c>
      <c r="F59" s="276"/>
      <c r="G59" s="1137">
        <f>SUM(G60:G64)</f>
        <v>1500</v>
      </c>
      <c r="H59" s="1138">
        <f>SUM(H60:H64)</f>
        <v>0</v>
      </c>
      <c r="I59" s="1142">
        <f t="shared" si="17"/>
        <v>0</v>
      </c>
      <c r="J59" s="276"/>
      <c r="K59" s="1137">
        <f>SUM(K60:K64)</f>
        <v>3000</v>
      </c>
      <c r="L59" s="1138">
        <f>SUM(L60:L64)</f>
        <v>11309.69</v>
      </c>
      <c r="M59" s="1139">
        <f t="shared" ref="M59:O59" si="18">SUM(M60:M64)</f>
        <v>12337.843636363637</v>
      </c>
      <c r="N59" s="276">
        <f t="shared" si="18"/>
        <v>13000</v>
      </c>
      <c r="O59" s="276">
        <f t="shared" si="18"/>
        <v>13000</v>
      </c>
    </row>
    <row r="60" spans="1:15" s="92" customFormat="1" ht="18" hidden="1" customHeight="1">
      <c r="A60" s="485">
        <v>54201</v>
      </c>
      <c r="B60" s="485" t="s">
        <v>1330</v>
      </c>
      <c r="C60" s="1140"/>
      <c r="D60" s="1141"/>
      <c r="E60" s="1142">
        <f t="shared" si="14"/>
        <v>0</v>
      </c>
      <c r="F60" s="1135"/>
      <c r="G60" s="1140"/>
      <c r="H60" s="1141"/>
      <c r="I60" s="1142">
        <f t="shared" si="17"/>
        <v>0</v>
      </c>
      <c r="J60" s="1135"/>
      <c r="K60" s="1140"/>
      <c r="L60" s="1141"/>
      <c r="M60" s="1142">
        <f t="shared" si="15"/>
        <v>0</v>
      </c>
      <c r="N60" s="1136"/>
      <c r="O60" s="1143">
        <f t="shared" si="16"/>
        <v>0</v>
      </c>
    </row>
    <row r="61" spans="1:15" s="724" customFormat="1" ht="18" hidden="1" customHeight="1">
      <c r="A61" s="485">
        <v>54202</v>
      </c>
      <c r="B61" s="485" t="s">
        <v>1331</v>
      </c>
      <c r="C61" s="1140"/>
      <c r="D61" s="1141"/>
      <c r="E61" s="1142">
        <f t="shared" si="14"/>
        <v>0</v>
      </c>
      <c r="F61" s="1135"/>
      <c r="G61" s="1140"/>
      <c r="H61" s="1141"/>
      <c r="I61" s="1142">
        <f t="shared" si="17"/>
        <v>0</v>
      </c>
      <c r="J61" s="1135"/>
      <c r="K61" s="1140"/>
      <c r="L61" s="1141"/>
      <c r="M61" s="1142">
        <f t="shared" si="15"/>
        <v>0</v>
      </c>
      <c r="N61" s="1136"/>
      <c r="O61" s="1143">
        <f t="shared" si="16"/>
        <v>0</v>
      </c>
    </row>
    <row r="62" spans="1:15" s="724" customFormat="1" ht="18" customHeight="1">
      <c r="A62" s="485">
        <v>54203</v>
      </c>
      <c r="B62" s="485" t="s">
        <v>1332</v>
      </c>
      <c r="C62" s="1140"/>
      <c r="D62" s="1141"/>
      <c r="E62" s="1142">
        <f t="shared" si="14"/>
        <v>0</v>
      </c>
      <c r="F62" s="1135"/>
      <c r="G62" s="1140">
        <v>1500</v>
      </c>
      <c r="H62" s="1141"/>
      <c r="I62" s="1142">
        <f t="shared" ref="I62" si="19">(H62/9)*12</f>
        <v>0</v>
      </c>
      <c r="J62" s="1135"/>
      <c r="K62" s="1140">
        <v>3000</v>
      </c>
      <c r="L62" s="1141">
        <v>11309.69</v>
      </c>
      <c r="M62" s="1142">
        <f t="shared" si="15"/>
        <v>12337.843636363637</v>
      </c>
      <c r="N62" s="1136">
        <v>13000</v>
      </c>
      <c r="O62" s="1143">
        <f t="shared" si="16"/>
        <v>13000</v>
      </c>
    </row>
    <row r="63" spans="1:15" s="92" customFormat="1" ht="18" hidden="1" customHeight="1">
      <c r="A63" s="485">
        <v>54204</v>
      </c>
      <c r="B63" s="485" t="s">
        <v>1333</v>
      </c>
      <c r="C63" s="1140"/>
      <c r="D63" s="1141"/>
      <c r="E63" s="1142">
        <f t="shared" si="14"/>
        <v>0</v>
      </c>
      <c r="F63" s="1135"/>
      <c r="G63" s="1140"/>
      <c r="H63" s="1141"/>
      <c r="I63" s="1139">
        <f t="shared" ref="I63:I64" si="20">(H63/10)*12</f>
        <v>0</v>
      </c>
      <c r="J63" s="1135"/>
      <c r="K63" s="1140"/>
      <c r="L63" s="1141"/>
      <c r="M63" s="1142">
        <f t="shared" si="15"/>
        <v>0</v>
      </c>
      <c r="N63" s="1136"/>
      <c r="O63" s="1143">
        <f t="shared" si="16"/>
        <v>0</v>
      </c>
    </row>
    <row r="64" spans="1:15" s="92" customFormat="1" ht="18" hidden="1" customHeight="1">
      <c r="A64" s="485">
        <v>54205</v>
      </c>
      <c r="B64" s="485" t="s">
        <v>233</v>
      </c>
      <c r="C64" s="1140"/>
      <c r="D64" s="1141"/>
      <c r="E64" s="1142">
        <f t="shared" si="14"/>
        <v>0</v>
      </c>
      <c r="F64" s="1135"/>
      <c r="G64" s="1140"/>
      <c r="H64" s="1141"/>
      <c r="I64" s="1139">
        <f t="shared" si="20"/>
        <v>0</v>
      </c>
      <c r="J64" s="1135"/>
      <c r="K64" s="1140"/>
      <c r="L64" s="1141"/>
      <c r="M64" s="1142">
        <f t="shared" si="15"/>
        <v>0</v>
      </c>
      <c r="N64" s="1136"/>
      <c r="O64" s="1143">
        <f t="shared" si="16"/>
        <v>0</v>
      </c>
    </row>
    <row r="65" spans="1:15" s="480" customFormat="1" ht="18" customHeight="1">
      <c r="A65" s="292">
        <v>543</v>
      </c>
      <c r="B65" s="292" t="s">
        <v>509</v>
      </c>
      <c r="C65" s="1137"/>
      <c r="D65" s="1138"/>
      <c r="E65" s="1142">
        <f t="shared" si="14"/>
        <v>0</v>
      </c>
      <c r="F65" s="276"/>
      <c r="G65" s="1137"/>
      <c r="H65" s="1138"/>
      <c r="I65" s="1142">
        <f t="shared" ref="I65:I78" si="21">(H65/11)*12</f>
        <v>0</v>
      </c>
      <c r="J65" s="276"/>
      <c r="K65" s="1137">
        <f>SUM(K66:K78)</f>
        <v>31739.940000000002</v>
      </c>
      <c r="L65" s="1138">
        <f>SUM(L66:L78)</f>
        <v>77143.62</v>
      </c>
      <c r="M65" s="1139">
        <f t="shared" ref="M65:O65" si="22">SUM(M66:M78)</f>
        <v>84156.676363636361</v>
      </c>
      <c r="N65" s="276">
        <f t="shared" si="22"/>
        <v>86000</v>
      </c>
      <c r="O65" s="276">
        <f t="shared" si="22"/>
        <v>112500</v>
      </c>
    </row>
    <row r="66" spans="1:15" s="724" customFormat="1" ht="18" customHeight="1">
      <c r="A66" s="485">
        <v>54301</v>
      </c>
      <c r="B66" s="485" t="s">
        <v>1334</v>
      </c>
      <c r="C66" s="1140"/>
      <c r="D66" s="1141"/>
      <c r="E66" s="1142">
        <f t="shared" si="14"/>
        <v>0</v>
      </c>
      <c r="F66" s="1135"/>
      <c r="G66" s="1140"/>
      <c r="H66" s="1141"/>
      <c r="I66" s="1142">
        <f t="shared" si="21"/>
        <v>0</v>
      </c>
      <c r="J66" s="1135"/>
      <c r="K66" s="1140">
        <v>10000</v>
      </c>
      <c r="L66" s="1141">
        <v>8545.77</v>
      </c>
      <c r="M66" s="1142">
        <f t="shared" si="15"/>
        <v>9322.6581818181821</v>
      </c>
      <c r="N66" s="1136">
        <v>10000</v>
      </c>
      <c r="O66" s="1143">
        <f t="shared" si="16"/>
        <v>10000</v>
      </c>
    </row>
    <row r="67" spans="1:15" s="724" customFormat="1" ht="18" hidden="1" customHeight="1">
      <c r="A67" s="485">
        <v>54302</v>
      </c>
      <c r="B67" s="485" t="s">
        <v>1335</v>
      </c>
      <c r="C67" s="1140">
        <v>3500</v>
      </c>
      <c r="D67" s="1141"/>
      <c r="E67" s="1142">
        <f t="shared" si="14"/>
        <v>0</v>
      </c>
      <c r="F67" s="1135"/>
      <c r="G67" s="1140"/>
      <c r="H67" s="1141"/>
      <c r="I67" s="1142">
        <f t="shared" si="21"/>
        <v>0</v>
      </c>
      <c r="J67" s="1135"/>
      <c r="K67" s="1140"/>
      <c r="L67" s="1141"/>
      <c r="M67" s="1142">
        <f t="shared" si="15"/>
        <v>0</v>
      </c>
      <c r="N67" s="1136"/>
      <c r="O67" s="1143">
        <f t="shared" si="16"/>
        <v>0</v>
      </c>
    </row>
    <row r="68" spans="1:15" s="724" customFormat="1" ht="18" hidden="1" customHeight="1">
      <c r="A68" s="485">
        <v>54303</v>
      </c>
      <c r="B68" s="485" t="s">
        <v>1336</v>
      </c>
      <c r="C68" s="1140"/>
      <c r="D68" s="1141"/>
      <c r="E68" s="1142">
        <f t="shared" si="14"/>
        <v>0</v>
      </c>
      <c r="F68" s="1135"/>
      <c r="G68" s="1140"/>
      <c r="H68" s="1141"/>
      <c r="I68" s="1142">
        <f t="shared" si="21"/>
        <v>0</v>
      </c>
      <c r="J68" s="1135"/>
      <c r="K68" s="1140"/>
      <c r="L68" s="1141"/>
      <c r="M68" s="1142">
        <f t="shared" si="15"/>
        <v>0</v>
      </c>
      <c r="N68" s="1136"/>
      <c r="O68" s="1143">
        <f t="shared" si="16"/>
        <v>0</v>
      </c>
    </row>
    <row r="69" spans="1:15" s="724" customFormat="1" ht="18" customHeight="1">
      <c r="A69" s="485">
        <v>54304</v>
      </c>
      <c r="B69" s="485" t="s">
        <v>1337</v>
      </c>
      <c r="C69" s="1140"/>
      <c r="D69" s="1141"/>
      <c r="E69" s="1142">
        <f t="shared" si="14"/>
        <v>0</v>
      </c>
      <c r="F69" s="1135"/>
      <c r="G69" s="1140"/>
      <c r="H69" s="1141"/>
      <c r="I69" s="1142">
        <f t="shared" si="21"/>
        <v>0</v>
      </c>
      <c r="J69" s="1135"/>
      <c r="K69" s="1140">
        <v>6000</v>
      </c>
      <c r="L69" s="1141">
        <v>8160.79</v>
      </c>
      <c r="M69" s="1142">
        <f t="shared" si="15"/>
        <v>8902.68</v>
      </c>
      <c r="N69" s="1136">
        <v>10000</v>
      </c>
      <c r="O69" s="1143">
        <f t="shared" si="16"/>
        <v>10000</v>
      </c>
    </row>
    <row r="70" spans="1:15" s="724" customFormat="1" ht="18" customHeight="1">
      <c r="A70" s="485">
        <v>54305</v>
      </c>
      <c r="B70" s="485" t="s">
        <v>1338</v>
      </c>
      <c r="C70" s="1140">
        <v>8000</v>
      </c>
      <c r="D70" s="1141">
        <v>5355.4</v>
      </c>
      <c r="E70" s="1142">
        <f t="shared" si="14"/>
        <v>5842.2545454545452</v>
      </c>
      <c r="F70" s="1135">
        <v>6000</v>
      </c>
      <c r="G70" s="1140"/>
      <c r="H70" s="1141"/>
      <c r="I70" s="1142">
        <f t="shared" si="21"/>
        <v>0</v>
      </c>
      <c r="J70" s="1135"/>
      <c r="K70" s="1140"/>
      <c r="L70" s="1141"/>
      <c r="M70" s="1142">
        <f t="shared" si="15"/>
        <v>0</v>
      </c>
      <c r="N70" s="1136"/>
      <c r="O70" s="1143">
        <f t="shared" si="16"/>
        <v>6000</v>
      </c>
    </row>
    <row r="71" spans="1:15" s="724" customFormat="1" ht="18" hidden="1" customHeight="1">
      <c r="A71" s="485">
        <v>54308</v>
      </c>
      <c r="B71" s="485" t="s">
        <v>1339</v>
      </c>
      <c r="C71" s="1140"/>
      <c r="D71" s="1141"/>
      <c r="E71" s="1142">
        <f t="shared" si="14"/>
        <v>0</v>
      </c>
      <c r="F71" s="1135"/>
      <c r="G71" s="1140"/>
      <c r="H71" s="1141"/>
      <c r="I71" s="1142">
        <f t="shared" si="21"/>
        <v>0</v>
      </c>
      <c r="J71" s="1135"/>
      <c r="K71" s="1140"/>
      <c r="L71" s="1141"/>
      <c r="M71" s="1142">
        <f t="shared" si="15"/>
        <v>0</v>
      </c>
      <c r="N71" s="1136"/>
      <c r="O71" s="1143">
        <f t="shared" si="16"/>
        <v>0</v>
      </c>
    </row>
    <row r="72" spans="1:15" s="724" customFormat="1" ht="18" customHeight="1">
      <c r="A72" s="485">
        <v>54310</v>
      </c>
      <c r="B72" s="485" t="s">
        <v>1340</v>
      </c>
      <c r="C72" s="1140">
        <v>20000</v>
      </c>
      <c r="D72" s="1141">
        <v>10504.88</v>
      </c>
      <c r="E72" s="1142">
        <f t="shared" si="14"/>
        <v>11459.869090909089</v>
      </c>
      <c r="F72" s="1135">
        <v>12000</v>
      </c>
      <c r="G72" s="1140"/>
      <c r="H72" s="1141"/>
      <c r="I72" s="1142">
        <f t="shared" si="21"/>
        <v>0</v>
      </c>
      <c r="J72" s="1135"/>
      <c r="K72" s="1140"/>
      <c r="L72" s="1141"/>
      <c r="M72" s="1142">
        <f t="shared" si="15"/>
        <v>0</v>
      </c>
      <c r="N72" s="1136"/>
      <c r="O72" s="1143">
        <f t="shared" si="16"/>
        <v>12000</v>
      </c>
    </row>
    <row r="73" spans="1:15" s="724" customFormat="1" ht="18" hidden="1" customHeight="1">
      <c r="A73" s="485">
        <v>54311</v>
      </c>
      <c r="B73" s="485" t="s">
        <v>1341</v>
      </c>
      <c r="C73" s="1140"/>
      <c r="D73" s="1141"/>
      <c r="E73" s="1142">
        <f t="shared" si="14"/>
        <v>0</v>
      </c>
      <c r="F73" s="1135"/>
      <c r="G73" s="1140"/>
      <c r="H73" s="1141"/>
      <c r="I73" s="1142">
        <f t="shared" si="21"/>
        <v>0</v>
      </c>
      <c r="J73" s="1135"/>
      <c r="K73" s="1140"/>
      <c r="L73" s="1141"/>
      <c r="M73" s="1142">
        <f t="shared" si="15"/>
        <v>0</v>
      </c>
      <c r="N73" s="1136"/>
      <c r="O73" s="1143">
        <f t="shared" si="16"/>
        <v>0</v>
      </c>
    </row>
    <row r="74" spans="1:15" s="724" customFormat="1" ht="18" customHeight="1">
      <c r="A74" s="485">
        <v>54313</v>
      </c>
      <c r="B74" s="485" t="s">
        <v>1342</v>
      </c>
      <c r="C74" s="1140">
        <v>4000</v>
      </c>
      <c r="D74" s="1141">
        <v>615.97</v>
      </c>
      <c r="E74" s="1142">
        <f t="shared" si="14"/>
        <v>671.96727272727276</v>
      </c>
      <c r="F74" s="1135">
        <v>1000</v>
      </c>
      <c r="G74" s="1140"/>
      <c r="H74" s="1141"/>
      <c r="I74" s="1142">
        <f t="shared" si="21"/>
        <v>0</v>
      </c>
      <c r="J74" s="1135"/>
      <c r="K74" s="1140"/>
      <c r="L74" s="1141"/>
      <c r="M74" s="1142">
        <f t="shared" si="15"/>
        <v>0</v>
      </c>
      <c r="N74" s="1136"/>
      <c r="O74" s="1143">
        <f t="shared" si="16"/>
        <v>1000</v>
      </c>
    </row>
    <row r="75" spans="1:15" s="724" customFormat="1" ht="18" customHeight="1">
      <c r="A75" s="485">
        <v>54314</v>
      </c>
      <c r="B75" s="485" t="s">
        <v>1343</v>
      </c>
      <c r="C75" s="1140">
        <v>12000</v>
      </c>
      <c r="D75" s="1141">
        <v>6116.76</v>
      </c>
      <c r="E75" s="1142">
        <f t="shared" si="14"/>
        <v>6672.829090909092</v>
      </c>
      <c r="F75" s="1135">
        <v>7000</v>
      </c>
      <c r="G75" s="1140"/>
      <c r="H75" s="1141"/>
      <c r="I75" s="1142">
        <f t="shared" si="21"/>
        <v>0</v>
      </c>
      <c r="J75" s="1135"/>
      <c r="K75" s="1140"/>
      <c r="L75" s="1141"/>
      <c r="M75" s="1142">
        <f t="shared" si="15"/>
        <v>0</v>
      </c>
      <c r="N75" s="1136"/>
      <c r="O75" s="1143">
        <f t="shared" si="16"/>
        <v>7000</v>
      </c>
    </row>
    <row r="76" spans="1:15" s="724" customFormat="1" ht="18" hidden="1" customHeight="1">
      <c r="A76" s="485">
        <v>54316</v>
      </c>
      <c r="B76" s="485" t="s">
        <v>1344</v>
      </c>
      <c r="C76" s="1140"/>
      <c r="D76" s="1141"/>
      <c r="E76" s="1142">
        <f t="shared" si="14"/>
        <v>0</v>
      </c>
      <c r="F76" s="1135"/>
      <c r="G76" s="1140"/>
      <c r="H76" s="1141"/>
      <c r="I76" s="1142">
        <f t="shared" si="21"/>
        <v>0</v>
      </c>
      <c r="J76" s="1135"/>
      <c r="K76" s="1140"/>
      <c r="L76" s="1141"/>
      <c r="M76" s="1142">
        <f t="shared" si="15"/>
        <v>0</v>
      </c>
      <c r="N76" s="1136"/>
      <c r="O76" s="1143">
        <f t="shared" si="16"/>
        <v>0</v>
      </c>
    </row>
    <row r="77" spans="1:15" s="724" customFormat="1" ht="18" hidden="1" customHeight="1">
      <c r="A77" s="485">
        <v>54317</v>
      </c>
      <c r="B77" s="485" t="s">
        <v>1345</v>
      </c>
      <c r="C77" s="1140"/>
      <c r="D77" s="1141"/>
      <c r="E77" s="1142">
        <f t="shared" si="14"/>
        <v>0</v>
      </c>
      <c r="F77" s="1135"/>
      <c r="G77" s="1140"/>
      <c r="H77" s="1141"/>
      <c r="I77" s="1142">
        <f t="shared" si="21"/>
        <v>0</v>
      </c>
      <c r="J77" s="1135"/>
      <c r="K77" s="1140"/>
      <c r="L77" s="1141"/>
      <c r="M77" s="1142">
        <f t="shared" si="15"/>
        <v>0</v>
      </c>
      <c r="N77" s="1136"/>
      <c r="O77" s="1143">
        <f t="shared" si="16"/>
        <v>0</v>
      </c>
    </row>
    <row r="78" spans="1:15" s="724" customFormat="1" ht="18" customHeight="1">
      <c r="A78" s="485">
        <v>54399</v>
      </c>
      <c r="B78" s="485" t="s">
        <v>509</v>
      </c>
      <c r="C78" s="1140">
        <v>1000</v>
      </c>
      <c r="D78" s="1141">
        <v>222.22</v>
      </c>
      <c r="E78" s="1142">
        <f t="shared" si="14"/>
        <v>242.4218181818182</v>
      </c>
      <c r="F78" s="1135">
        <v>500</v>
      </c>
      <c r="G78" s="1140"/>
      <c r="H78" s="1141"/>
      <c r="I78" s="1142">
        <f t="shared" si="21"/>
        <v>0</v>
      </c>
      <c r="J78" s="1135"/>
      <c r="K78" s="1140">
        <v>15739.94</v>
      </c>
      <c r="L78" s="1141">
        <v>60437.06</v>
      </c>
      <c r="M78" s="1142">
        <f t="shared" si="15"/>
        <v>65931.338181818181</v>
      </c>
      <c r="N78" s="1136">
        <v>66000</v>
      </c>
      <c r="O78" s="1143">
        <f t="shared" si="16"/>
        <v>66500</v>
      </c>
    </row>
    <row r="79" spans="1:15" s="92" customFormat="1" ht="18" hidden="1" customHeight="1">
      <c r="A79" s="1144"/>
      <c r="B79" s="1144"/>
      <c r="C79" s="1145"/>
      <c r="D79" s="1145"/>
      <c r="E79" s="1135">
        <f t="shared" ref="E79" si="23">(D79/9)*12</f>
        <v>0</v>
      </c>
      <c r="F79" s="1145"/>
      <c r="G79" s="1145"/>
      <c r="H79" s="1145"/>
      <c r="I79" s="1146"/>
      <c r="J79" s="1145"/>
      <c r="K79" s="1145"/>
      <c r="L79" s="1145"/>
      <c r="M79" s="1146"/>
      <c r="N79" s="1145"/>
      <c r="O79" s="1143">
        <f t="shared" si="16"/>
        <v>0</v>
      </c>
    </row>
    <row r="80" spans="1:15" s="92" customFormat="1" ht="18" hidden="1" customHeight="1">
      <c r="A80" s="1144"/>
      <c r="B80" s="1144"/>
      <c r="C80" s="1145"/>
      <c r="D80" s="1145"/>
      <c r="E80" s="1145"/>
      <c r="F80" s="1145"/>
      <c r="G80" s="1145"/>
      <c r="H80" s="1145"/>
      <c r="I80" s="1146"/>
      <c r="J80" s="1145"/>
      <c r="K80" s="1145"/>
      <c r="L80" s="1145"/>
      <c r="M80" s="1146"/>
      <c r="N80" s="1145"/>
      <c r="O80" s="1133"/>
    </row>
    <row r="81" spans="1:15" s="92" customFormat="1" ht="18" hidden="1" customHeight="1">
      <c r="A81" s="1144"/>
      <c r="B81" s="1144"/>
      <c r="C81" s="1145"/>
      <c r="D81" s="1145"/>
      <c r="E81" s="1145"/>
      <c r="F81" s="1145"/>
      <c r="G81" s="1145"/>
      <c r="H81" s="1145"/>
      <c r="I81" s="1146"/>
      <c r="J81" s="1145"/>
      <c r="K81" s="1145"/>
      <c r="L81" s="1145"/>
      <c r="M81" s="1146"/>
      <c r="N81" s="1145"/>
      <c r="O81" s="1133"/>
    </row>
    <row r="82" spans="1:15" s="92" customFormat="1" ht="18" hidden="1" customHeight="1">
      <c r="A82" s="1144"/>
      <c r="B82" s="1144"/>
      <c r="C82" s="1145"/>
      <c r="D82" s="1145"/>
      <c r="E82" s="1145"/>
      <c r="F82" s="1145"/>
      <c r="G82" s="1145"/>
      <c r="H82" s="1145"/>
      <c r="I82" s="1146"/>
      <c r="J82" s="1145"/>
      <c r="K82" s="1145"/>
      <c r="L82" s="1145"/>
      <c r="M82" s="1146"/>
      <c r="N82" s="1145"/>
      <c r="O82" s="1133"/>
    </row>
    <row r="83" spans="1:15" s="92" customFormat="1" ht="18" hidden="1" customHeight="1">
      <c r="A83" s="1144"/>
      <c r="B83" s="1144"/>
      <c r="C83" s="1145"/>
      <c r="D83" s="1145"/>
      <c r="E83" s="1145"/>
      <c r="F83" s="1145"/>
      <c r="G83" s="1145"/>
      <c r="H83" s="1145"/>
      <c r="I83" s="1146"/>
      <c r="J83" s="1145"/>
      <c r="K83" s="1145"/>
      <c r="L83" s="1145"/>
      <c r="M83" s="1146"/>
      <c r="N83" s="1145"/>
      <c r="O83" s="1133"/>
    </row>
    <row r="84" spans="1:15" s="92" customFormat="1" ht="18" hidden="1" customHeight="1">
      <c r="A84" s="1144"/>
      <c r="B84" s="1144"/>
      <c r="C84" s="1145"/>
      <c r="D84" s="1145"/>
      <c r="E84" s="1145"/>
      <c r="F84" s="1145"/>
      <c r="G84" s="1145"/>
      <c r="H84" s="1145"/>
      <c r="I84" s="1146"/>
      <c r="J84" s="1145"/>
      <c r="K84" s="1145"/>
      <c r="L84" s="1145"/>
      <c r="M84" s="1146"/>
      <c r="N84" s="1145"/>
      <c r="O84" s="1133"/>
    </row>
    <row r="85" spans="1:15" s="92" customFormat="1" ht="18" hidden="1" customHeight="1">
      <c r="A85" s="1144"/>
      <c r="B85" s="1144"/>
      <c r="C85" s="1145"/>
      <c r="D85" s="1145"/>
      <c r="E85" s="1145"/>
      <c r="F85" s="1145"/>
      <c r="G85" s="1145"/>
      <c r="H85" s="1145"/>
      <c r="I85" s="1146"/>
      <c r="J85" s="1145"/>
      <c r="K85" s="1145"/>
      <c r="L85" s="1145"/>
      <c r="M85" s="1146"/>
      <c r="N85" s="1145"/>
      <c r="O85" s="1133"/>
    </row>
    <row r="86" spans="1:15" s="92" customFormat="1" ht="18" hidden="1" customHeight="1">
      <c r="A86" s="1144"/>
      <c r="B86" s="1144"/>
      <c r="C86" s="1145"/>
      <c r="D86" s="1145"/>
      <c r="E86" s="1145"/>
      <c r="F86" s="1145"/>
      <c r="G86" s="1145"/>
      <c r="H86" s="1145"/>
      <c r="I86" s="1146"/>
      <c r="J86" s="1145"/>
      <c r="K86" s="1145"/>
      <c r="L86" s="1145"/>
      <c r="M86" s="1146"/>
      <c r="N86" s="1145"/>
      <c r="O86" s="1133"/>
    </row>
    <row r="87" spans="1:15" s="92" customFormat="1" ht="18" hidden="1" customHeight="1">
      <c r="A87" s="1144"/>
      <c r="B87" s="1144"/>
      <c r="C87" s="1145"/>
      <c r="D87" s="1145"/>
      <c r="E87" s="1145"/>
      <c r="F87" s="1145"/>
      <c r="G87" s="1145"/>
      <c r="H87" s="1145"/>
      <c r="I87" s="1146"/>
      <c r="J87" s="1145"/>
      <c r="K87" s="1145"/>
      <c r="L87" s="1145"/>
      <c r="M87" s="1146"/>
      <c r="N87" s="1145"/>
      <c r="O87" s="1133"/>
    </row>
    <row r="88" spans="1:15" s="92" customFormat="1" ht="16.5" hidden="1" customHeight="1">
      <c r="A88" s="1732" t="str">
        <f>A2</f>
        <v>EGRESOS  AL 30 DE NOVIEMBRE DE 2016 FONDOS PROPIOS</v>
      </c>
      <c r="B88" s="1732"/>
      <c r="C88" s="1732"/>
      <c r="D88" s="1732"/>
      <c r="E88" s="1732"/>
      <c r="F88" s="1732"/>
      <c r="G88" s="1732"/>
      <c r="H88" s="1732"/>
      <c r="I88" s="1732"/>
      <c r="J88" s="1732"/>
      <c r="K88" s="1732"/>
      <c r="L88" s="1732"/>
      <c r="M88" s="1732"/>
      <c r="N88" s="1732"/>
      <c r="O88" s="1147"/>
    </row>
    <row r="89" spans="1:15" s="92" customFormat="1" ht="16.5" hidden="1" customHeight="1">
      <c r="A89" s="1733" t="s">
        <v>1066</v>
      </c>
      <c r="B89" s="1733" t="s">
        <v>539</v>
      </c>
      <c r="C89" s="1734" t="s">
        <v>1290</v>
      </c>
      <c r="D89" s="1734"/>
      <c r="E89" s="1734"/>
      <c r="F89" s="1734"/>
      <c r="G89" s="1734" t="s">
        <v>1291</v>
      </c>
      <c r="H89" s="1734"/>
      <c r="I89" s="1734"/>
      <c r="J89" s="1734"/>
      <c r="K89" s="1734" t="s">
        <v>1292</v>
      </c>
      <c r="L89" s="1734"/>
      <c r="M89" s="1734"/>
      <c r="N89" s="1735"/>
      <c r="O89" s="1730" t="s">
        <v>1293</v>
      </c>
    </row>
    <row r="90" spans="1:15" s="92" customFormat="1" ht="16.5" hidden="1" customHeight="1">
      <c r="A90" s="1733"/>
      <c r="B90" s="1733"/>
      <c r="C90" s="1731" t="s">
        <v>1294</v>
      </c>
      <c r="D90" s="1731" t="s">
        <v>1320</v>
      </c>
      <c r="E90" s="1731" t="s">
        <v>1321</v>
      </c>
      <c r="F90" s="1731" t="s">
        <v>1322</v>
      </c>
      <c r="G90" s="1731" t="s">
        <v>1294</v>
      </c>
      <c r="H90" s="1731" t="s">
        <v>1320</v>
      </c>
      <c r="I90" s="1731" t="s">
        <v>1321</v>
      </c>
      <c r="J90" s="1731" t="s">
        <v>1322</v>
      </c>
      <c r="K90" s="1731" t="s">
        <v>1294</v>
      </c>
      <c r="L90" s="1731" t="s">
        <v>1320</v>
      </c>
      <c r="M90" s="1731" t="s">
        <v>1321</v>
      </c>
      <c r="N90" s="1736" t="s">
        <v>1322</v>
      </c>
      <c r="O90" s="1730"/>
    </row>
    <row r="91" spans="1:15" s="92" customFormat="1" ht="16.5" hidden="1" customHeight="1">
      <c r="A91" s="1733"/>
      <c r="B91" s="1733"/>
      <c r="C91" s="1731"/>
      <c r="D91" s="1731"/>
      <c r="E91" s="1731"/>
      <c r="F91" s="1731"/>
      <c r="G91" s="1731"/>
      <c r="H91" s="1731"/>
      <c r="I91" s="1731"/>
      <c r="J91" s="1731"/>
      <c r="K91" s="1731"/>
      <c r="L91" s="1731"/>
      <c r="M91" s="1731"/>
      <c r="N91" s="1736"/>
      <c r="O91" s="1730"/>
    </row>
    <row r="92" spans="1:15" s="480" customFormat="1" ht="18" customHeight="1">
      <c r="A92" s="292">
        <v>544</v>
      </c>
      <c r="B92" s="292" t="s">
        <v>1346</v>
      </c>
      <c r="C92" s="1137">
        <f t="shared" ref="C92:O92" si="24">SUM(C93:C96)</f>
        <v>15000</v>
      </c>
      <c r="D92" s="1138">
        <f t="shared" si="24"/>
        <v>80</v>
      </c>
      <c r="E92" s="1139">
        <f t="shared" si="24"/>
        <v>87.272727272727266</v>
      </c>
      <c r="F92" s="276">
        <f t="shared" si="24"/>
        <v>100</v>
      </c>
      <c r="G92" s="1137">
        <f t="shared" si="24"/>
        <v>1000</v>
      </c>
      <c r="H92" s="1138">
        <f t="shared" si="24"/>
        <v>0</v>
      </c>
      <c r="I92" s="1139">
        <f t="shared" si="24"/>
        <v>0</v>
      </c>
      <c r="J92" s="276">
        <f t="shared" si="24"/>
        <v>0</v>
      </c>
      <c r="K92" s="1137">
        <f t="shared" si="24"/>
        <v>2000</v>
      </c>
      <c r="L92" s="1138">
        <f t="shared" si="24"/>
        <v>880</v>
      </c>
      <c r="M92" s="1139">
        <f t="shared" si="24"/>
        <v>1173.3333333333335</v>
      </c>
      <c r="N92" s="276">
        <f t="shared" si="24"/>
        <v>1200</v>
      </c>
      <c r="O92" s="276">
        <f t="shared" si="24"/>
        <v>1300</v>
      </c>
    </row>
    <row r="93" spans="1:15" s="724" customFormat="1" ht="18" customHeight="1">
      <c r="A93" s="485">
        <v>54401</v>
      </c>
      <c r="B93" s="485" t="s">
        <v>1347</v>
      </c>
      <c r="C93" s="1140">
        <v>4000</v>
      </c>
      <c r="D93" s="1141">
        <v>80</v>
      </c>
      <c r="E93" s="1142">
        <f>(D93/11)*12</f>
        <v>87.272727272727266</v>
      </c>
      <c r="F93" s="1135">
        <v>100</v>
      </c>
      <c r="G93" s="1140">
        <v>500</v>
      </c>
      <c r="H93" s="1141"/>
      <c r="I93" s="1142">
        <f>(H93/10)*12</f>
        <v>0</v>
      </c>
      <c r="J93" s="1135"/>
      <c r="K93" s="1140">
        <v>1000</v>
      </c>
      <c r="L93" s="1141">
        <v>110</v>
      </c>
      <c r="M93" s="1142">
        <f t="shared" ref="M93:M95" si="25">(L93/9)*12</f>
        <v>146.66666666666666</v>
      </c>
      <c r="N93" s="1136">
        <v>200</v>
      </c>
      <c r="O93" s="1143">
        <f t="shared" ref="O93:O127" si="26">F93+J93+N93</f>
        <v>300</v>
      </c>
    </row>
    <row r="94" spans="1:15" s="724" customFormat="1" ht="18" hidden="1" customHeight="1">
      <c r="A94" s="485">
        <v>54402</v>
      </c>
      <c r="B94" s="485" t="s">
        <v>1348</v>
      </c>
      <c r="C94" s="1140">
        <v>5000</v>
      </c>
      <c r="D94" s="1141"/>
      <c r="E94" s="1142">
        <f t="shared" ref="E94:E127" si="27">(D94/11)*12</f>
        <v>0</v>
      </c>
      <c r="F94" s="1135"/>
      <c r="G94" s="1140"/>
      <c r="H94" s="1141"/>
      <c r="I94" s="1142"/>
      <c r="J94" s="1135"/>
      <c r="K94" s="1140"/>
      <c r="L94" s="1141"/>
      <c r="M94" s="1142">
        <f t="shared" si="25"/>
        <v>0</v>
      </c>
      <c r="N94" s="1136"/>
      <c r="O94" s="1143">
        <f t="shared" si="26"/>
        <v>0</v>
      </c>
    </row>
    <row r="95" spans="1:15" s="724" customFormat="1" ht="18" customHeight="1">
      <c r="A95" s="485">
        <v>54403</v>
      </c>
      <c r="B95" s="485" t="s">
        <v>1349</v>
      </c>
      <c r="C95" s="1140">
        <v>1000</v>
      </c>
      <c r="D95" s="1141"/>
      <c r="E95" s="1142">
        <f t="shared" si="27"/>
        <v>0</v>
      </c>
      <c r="F95" s="1135"/>
      <c r="G95" s="1140">
        <v>500</v>
      </c>
      <c r="H95" s="1141"/>
      <c r="I95" s="1142">
        <f t="shared" ref="I95" si="28">(H95/9)*12</f>
        <v>0</v>
      </c>
      <c r="J95" s="1135"/>
      <c r="K95" s="1140">
        <v>1000</v>
      </c>
      <c r="L95" s="1141">
        <v>770</v>
      </c>
      <c r="M95" s="1142">
        <f t="shared" si="25"/>
        <v>1026.6666666666667</v>
      </c>
      <c r="N95" s="1136">
        <v>1000</v>
      </c>
      <c r="O95" s="1143">
        <f t="shared" si="26"/>
        <v>1000</v>
      </c>
    </row>
    <row r="96" spans="1:15" s="724" customFormat="1" ht="18" hidden="1" customHeight="1">
      <c r="A96" s="485">
        <v>54404</v>
      </c>
      <c r="B96" s="485" t="s">
        <v>1350</v>
      </c>
      <c r="C96" s="1140">
        <v>5000</v>
      </c>
      <c r="D96" s="1141"/>
      <c r="E96" s="1142">
        <f t="shared" si="27"/>
        <v>0</v>
      </c>
      <c r="F96" s="1135"/>
      <c r="G96" s="1140"/>
      <c r="H96" s="1141"/>
      <c r="I96" s="1142"/>
      <c r="J96" s="1135"/>
      <c r="K96" s="1140"/>
      <c r="L96" s="1141"/>
      <c r="M96" s="1142"/>
      <c r="N96" s="1136"/>
      <c r="O96" s="1143">
        <f t="shared" si="26"/>
        <v>0</v>
      </c>
    </row>
    <row r="97" spans="1:15" s="480" customFormat="1" ht="18" customHeight="1">
      <c r="A97" s="292">
        <v>545</v>
      </c>
      <c r="B97" s="292" t="s">
        <v>514</v>
      </c>
      <c r="C97" s="1137">
        <f>SUM(C98:C101)</f>
        <v>1500</v>
      </c>
      <c r="D97" s="1138">
        <f>SUM(D98:D101)</f>
        <v>2025</v>
      </c>
      <c r="E97" s="1139">
        <f t="shared" ref="E97:O97" si="29">SUM(E98:E101)</f>
        <v>2209.090909090909</v>
      </c>
      <c r="F97" s="276">
        <f t="shared" si="29"/>
        <v>2500</v>
      </c>
      <c r="G97" s="1137">
        <f t="shared" si="29"/>
        <v>0</v>
      </c>
      <c r="H97" s="1138">
        <f t="shared" si="29"/>
        <v>0</v>
      </c>
      <c r="I97" s="1139">
        <f t="shared" si="29"/>
        <v>0</v>
      </c>
      <c r="J97" s="276">
        <f t="shared" si="29"/>
        <v>0</v>
      </c>
      <c r="K97" s="1137">
        <f t="shared" si="29"/>
        <v>7000</v>
      </c>
      <c r="L97" s="1138">
        <f t="shared" si="29"/>
        <v>0</v>
      </c>
      <c r="M97" s="1139">
        <f t="shared" si="29"/>
        <v>0</v>
      </c>
      <c r="N97" s="276">
        <f t="shared" si="29"/>
        <v>0</v>
      </c>
      <c r="O97" s="276">
        <f t="shared" si="29"/>
        <v>2500</v>
      </c>
    </row>
    <row r="98" spans="1:15" s="724" customFormat="1" ht="18" hidden="1" customHeight="1">
      <c r="A98" s="485">
        <v>54503</v>
      </c>
      <c r="B98" s="485" t="s">
        <v>1351</v>
      </c>
      <c r="C98" s="1140"/>
      <c r="D98" s="1141"/>
      <c r="E98" s="1142">
        <f t="shared" si="27"/>
        <v>0</v>
      </c>
      <c r="F98" s="1135"/>
      <c r="G98" s="1140"/>
      <c r="H98" s="1141"/>
      <c r="I98" s="1142"/>
      <c r="J98" s="1135"/>
      <c r="K98" s="1140">
        <v>7000</v>
      </c>
      <c r="L98" s="1141"/>
      <c r="M98" s="1142">
        <f t="shared" ref="M98" si="30">(L98/9)*12</f>
        <v>0</v>
      </c>
      <c r="N98" s="1136"/>
      <c r="O98" s="1143">
        <f t="shared" si="26"/>
        <v>0</v>
      </c>
    </row>
    <row r="99" spans="1:15" s="724" customFormat="1" ht="18" hidden="1" customHeight="1">
      <c r="A99" s="485">
        <v>54505</v>
      </c>
      <c r="B99" s="485" t="s">
        <v>1352</v>
      </c>
      <c r="C99" s="1140">
        <v>1500</v>
      </c>
      <c r="D99" s="1141"/>
      <c r="E99" s="1142">
        <f t="shared" si="27"/>
        <v>0</v>
      </c>
      <c r="F99" s="1135"/>
      <c r="G99" s="1140"/>
      <c r="H99" s="1141"/>
      <c r="I99" s="1142"/>
      <c r="J99" s="1135"/>
      <c r="K99" s="1140"/>
      <c r="L99" s="1141"/>
      <c r="M99" s="1142"/>
      <c r="N99" s="1136"/>
      <c r="O99" s="1143">
        <f t="shared" si="26"/>
        <v>0</v>
      </c>
    </row>
    <row r="100" spans="1:15" s="92" customFormat="1" ht="18" hidden="1" customHeight="1">
      <c r="A100" s="485">
        <v>54508</v>
      </c>
      <c r="B100" s="485" t="s">
        <v>1353</v>
      </c>
      <c r="C100" s="1140"/>
      <c r="D100" s="1141"/>
      <c r="E100" s="1142">
        <f t="shared" si="27"/>
        <v>0</v>
      </c>
      <c r="F100" s="1135"/>
      <c r="G100" s="1140"/>
      <c r="H100" s="1141"/>
      <c r="I100" s="1139"/>
      <c r="J100" s="1135"/>
      <c r="K100" s="1140"/>
      <c r="L100" s="1141"/>
      <c r="M100" s="1139"/>
      <c r="N100" s="1136"/>
      <c r="O100" s="1143">
        <f t="shared" si="26"/>
        <v>0</v>
      </c>
    </row>
    <row r="101" spans="1:15" s="92" customFormat="1" ht="18" customHeight="1">
      <c r="A101" s="485">
        <v>54599</v>
      </c>
      <c r="B101" s="485" t="s">
        <v>514</v>
      </c>
      <c r="C101" s="1140"/>
      <c r="D101" s="1141">
        <v>2025</v>
      </c>
      <c r="E101" s="1142">
        <f t="shared" si="27"/>
        <v>2209.090909090909</v>
      </c>
      <c r="F101" s="1135">
        <v>2500</v>
      </c>
      <c r="G101" s="1140"/>
      <c r="H101" s="1141"/>
      <c r="I101" s="1139"/>
      <c r="J101" s="1135"/>
      <c r="K101" s="1140"/>
      <c r="L101" s="1141"/>
      <c r="M101" s="1139"/>
      <c r="N101" s="1136"/>
      <c r="O101" s="1143">
        <f t="shared" si="26"/>
        <v>2500</v>
      </c>
    </row>
    <row r="102" spans="1:15" s="480" customFormat="1" ht="18" customHeight="1">
      <c r="A102" s="292">
        <v>55</v>
      </c>
      <c r="B102" s="292" t="s">
        <v>355</v>
      </c>
      <c r="C102" s="1137">
        <f>C103+C105+C109</f>
        <v>5500</v>
      </c>
      <c r="D102" s="1138">
        <f t="shared" ref="D102:O102" si="31">D103+D105+D109</f>
        <v>2194.15</v>
      </c>
      <c r="E102" s="1139">
        <f t="shared" si="31"/>
        <v>2393.6181818181817</v>
      </c>
      <c r="F102" s="276">
        <f t="shared" si="31"/>
        <v>2400</v>
      </c>
      <c r="G102" s="1137">
        <f t="shared" si="31"/>
        <v>0</v>
      </c>
      <c r="H102" s="1138">
        <f t="shared" si="31"/>
        <v>0</v>
      </c>
      <c r="I102" s="1139">
        <f t="shared" si="31"/>
        <v>0</v>
      </c>
      <c r="J102" s="276">
        <f t="shared" si="31"/>
        <v>0</v>
      </c>
      <c r="K102" s="1137">
        <f t="shared" si="31"/>
        <v>0</v>
      </c>
      <c r="L102" s="1138">
        <f t="shared" si="31"/>
        <v>0</v>
      </c>
      <c r="M102" s="1139">
        <f t="shared" si="31"/>
        <v>0</v>
      </c>
      <c r="N102" s="276">
        <f t="shared" si="31"/>
        <v>0</v>
      </c>
      <c r="O102" s="276">
        <f t="shared" si="31"/>
        <v>2400</v>
      </c>
    </row>
    <row r="103" spans="1:15" s="480" customFormat="1" ht="18" hidden="1" customHeight="1">
      <c r="A103" s="292">
        <v>553</v>
      </c>
      <c r="B103" s="292" t="s">
        <v>1354</v>
      </c>
      <c r="C103" s="1137">
        <f>C104</f>
        <v>0</v>
      </c>
      <c r="D103" s="1138">
        <f t="shared" ref="D103:O103" si="32">D104</f>
        <v>0</v>
      </c>
      <c r="E103" s="1139">
        <f t="shared" si="32"/>
        <v>0</v>
      </c>
      <c r="F103" s="276">
        <f t="shared" si="32"/>
        <v>0</v>
      </c>
      <c r="G103" s="1137">
        <f t="shared" si="32"/>
        <v>0</v>
      </c>
      <c r="H103" s="1138">
        <f t="shared" si="32"/>
        <v>0</v>
      </c>
      <c r="I103" s="1139">
        <f t="shared" si="32"/>
        <v>0</v>
      </c>
      <c r="J103" s="276">
        <f t="shared" si="32"/>
        <v>0</v>
      </c>
      <c r="K103" s="1137">
        <f t="shared" si="32"/>
        <v>0</v>
      </c>
      <c r="L103" s="1138">
        <f t="shared" si="32"/>
        <v>0</v>
      </c>
      <c r="M103" s="1139">
        <f t="shared" si="32"/>
        <v>0</v>
      </c>
      <c r="N103" s="276">
        <f t="shared" si="32"/>
        <v>0</v>
      </c>
      <c r="O103" s="276">
        <f t="shared" si="32"/>
        <v>0</v>
      </c>
    </row>
    <row r="104" spans="1:15" s="724" customFormat="1" ht="18" hidden="1" customHeight="1">
      <c r="A104" s="485">
        <v>55308</v>
      </c>
      <c r="B104" s="485" t="s">
        <v>1088</v>
      </c>
      <c r="C104" s="1140"/>
      <c r="D104" s="1141"/>
      <c r="E104" s="1142"/>
      <c r="F104" s="1135"/>
      <c r="G104" s="1140"/>
      <c r="H104" s="1141"/>
      <c r="I104" s="1142"/>
      <c r="J104" s="1135"/>
      <c r="K104" s="1140"/>
      <c r="L104" s="1141"/>
      <c r="M104" s="1142"/>
      <c r="N104" s="1135"/>
      <c r="O104" s="1135"/>
    </row>
    <row r="105" spans="1:15" s="480" customFormat="1">
      <c r="A105" s="292">
        <v>556</v>
      </c>
      <c r="B105" s="292" t="s">
        <v>1355</v>
      </c>
      <c r="C105" s="1137">
        <f>C106+C107</f>
        <v>5500</v>
      </c>
      <c r="D105" s="1138">
        <f t="shared" ref="D105:O105" si="33">D106+D107</f>
        <v>2194.15</v>
      </c>
      <c r="E105" s="1139">
        <f t="shared" si="33"/>
        <v>2393.6181818181817</v>
      </c>
      <c r="F105" s="276">
        <f t="shared" si="33"/>
        <v>2400</v>
      </c>
      <c r="G105" s="1137">
        <f t="shared" si="33"/>
        <v>0</v>
      </c>
      <c r="H105" s="1138">
        <f t="shared" si="33"/>
        <v>0</v>
      </c>
      <c r="I105" s="1139">
        <f t="shared" si="33"/>
        <v>0</v>
      </c>
      <c r="J105" s="276">
        <f t="shared" si="33"/>
        <v>0</v>
      </c>
      <c r="K105" s="1137">
        <f t="shared" si="33"/>
        <v>0</v>
      </c>
      <c r="L105" s="1138">
        <f t="shared" si="33"/>
        <v>0</v>
      </c>
      <c r="M105" s="1139">
        <f t="shared" si="33"/>
        <v>0</v>
      </c>
      <c r="N105" s="276">
        <f t="shared" si="33"/>
        <v>0</v>
      </c>
      <c r="O105" s="276">
        <f t="shared" si="33"/>
        <v>2400</v>
      </c>
    </row>
    <row r="106" spans="1:15" s="724" customFormat="1">
      <c r="A106" s="485">
        <v>55602</v>
      </c>
      <c r="B106" s="485" t="s">
        <v>1356</v>
      </c>
      <c r="C106" s="1140">
        <v>5000</v>
      </c>
      <c r="D106" s="1141">
        <v>2194.15</v>
      </c>
      <c r="E106" s="1142">
        <f t="shared" si="27"/>
        <v>2393.6181818181817</v>
      </c>
      <c r="F106" s="1135">
        <v>2400</v>
      </c>
      <c r="G106" s="1140"/>
      <c r="H106" s="1141"/>
      <c r="I106" s="1142"/>
      <c r="J106" s="1135"/>
      <c r="K106" s="1140"/>
      <c r="L106" s="1141"/>
      <c r="M106" s="1142"/>
      <c r="N106" s="1136"/>
      <c r="O106" s="1143">
        <f t="shared" si="26"/>
        <v>2400</v>
      </c>
    </row>
    <row r="107" spans="1:15" s="724" customFormat="1" ht="18" hidden="1" customHeight="1">
      <c r="A107" s="485">
        <v>55603</v>
      </c>
      <c r="B107" s="485" t="s">
        <v>1357</v>
      </c>
      <c r="C107" s="1140">
        <v>500</v>
      </c>
      <c r="D107" s="1141"/>
      <c r="E107" s="1142">
        <f t="shared" si="27"/>
        <v>0</v>
      </c>
      <c r="F107" s="1135"/>
      <c r="G107" s="1140"/>
      <c r="H107" s="1141"/>
      <c r="I107" s="1142"/>
      <c r="J107" s="1135"/>
      <c r="K107" s="1140"/>
      <c r="L107" s="1141"/>
      <c r="M107" s="1142"/>
      <c r="N107" s="1136"/>
      <c r="O107" s="1143">
        <f t="shared" si="26"/>
        <v>0</v>
      </c>
    </row>
    <row r="108" spans="1:15" s="92" customFormat="1" ht="16.5" hidden="1" customHeight="1">
      <c r="A108" s="485"/>
      <c r="B108" s="485"/>
      <c r="C108" s="1140"/>
      <c r="D108" s="1141"/>
      <c r="E108" s="1142">
        <f t="shared" si="27"/>
        <v>0</v>
      </c>
      <c r="F108" s="1135"/>
      <c r="G108" s="1140"/>
      <c r="H108" s="1141"/>
      <c r="I108" s="1139"/>
      <c r="J108" s="1135"/>
      <c r="K108" s="1140"/>
      <c r="L108" s="1141"/>
      <c r="M108" s="1139"/>
      <c r="N108" s="1136"/>
      <c r="O108" s="1143">
        <f t="shared" si="26"/>
        <v>0</v>
      </c>
    </row>
    <row r="109" spans="1:15" s="480" customFormat="1" ht="18" hidden="1" customHeight="1">
      <c r="A109" s="292">
        <v>557</v>
      </c>
      <c r="B109" s="292" t="s">
        <v>1358</v>
      </c>
      <c r="C109" s="1137">
        <f>SUM(C110:C112)</f>
        <v>0</v>
      </c>
      <c r="D109" s="1138">
        <f t="shared" ref="D109:O109" si="34">SUM(D110:D112)</f>
        <v>0</v>
      </c>
      <c r="E109" s="1139">
        <f t="shared" si="34"/>
        <v>0</v>
      </c>
      <c r="F109" s="276">
        <f t="shared" si="34"/>
        <v>0</v>
      </c>
      <c r="G109" s="1137">
        <f t="shared" si="34"/>
        <v>0</v>
      </c>
      <c r="H109" s="1138">
        <f t="shared" si="34"/>
        <v>0</v>
      </c>
      <c r="I109" s="1139">
        <f t="shared" si="34"/>
        <v>0</v>
      </c>
      <c r="J109" s="276">
        <f t="shared" si="34"/>
        <v>0</v>
      </c>
      <c r="K109" s="1137">
        <f t="shared" si="34"/>
        <v>0</v>
      </c>
      <c r="L109" s="1138">
        <f t="shared" si="34"/>
        <v>0</v>
      </c>
      <c r="M109" s="1139">
        <f t="shared" si="34"/>
        <v>0</v>
      </c>
      <c r="N109" s="276">
        <f t="shared" si="34"/>
        <v>0</v>
      </c>
      <c r="O109" s="276">
        <f t="shared" si="34"/>
        <v>0</v>
      </c>
    </row>
    <row r="110" spans="1:15" s="480" customFormat="1" ht="18" hidden="1" customHeight="1">
      <c r="A110" s="485">
        <v>55702</v>
      </c>
      <c r="B110" s="485" t="s">
        <v>1359</v>
      </c>
      <c r="C110" s="1140"/>
      <c r="D110" s="1141"/>
      <c r="E110" s="1142">
        <f t="shared" si="27"/>
        <v>0</v>
      </c>
      <c r="F110" s="1135"/>
      <c r="G110" s="1140"/>
      <c r="H110" s="1141"/>
      <c r="I110" s="1139"/>
      <c r="J110" s="1135"/>
      <c r="K110" s="1140"/>
      <c r="L110" s="1141"/>
      <c r="M110" s="1139"/>
      <c r="N110" s="1136"/>
      <c r="O110" s="1143">
        <f t="shared" si="26"/>
        <v>0</v>
      </c>
    </row>
    <row r="111" spans="1:15" s="724" customFormat="1" ht="18" hidden="1" customHeight="1">
      <c r="A111" s="485">
        <v>55703</v>
      </c>
      <c r="B111" s="485" t="s">
        <v>1360</v>
      </c>
      <c r="C111" s="1140"/>
      <c r="D111" s="1141"/>
      <c r="E111" s="1142">
        <f t="shared" si="27"/>
        <v>0</v>
      </c>
      <c r="F111" s="1135"/>
      <c r="G111" s="1140"/>
      <c r="H111" s="1141"/>
      <c r="I111" s="1142"/>
      <c r="J111" s="1135"/>
      <c r="K111" s="1140"/>
      <c r="L111" s="1141"/>
      <c r="M111" s="1142"/>
      <c r="N111" s="1136"/>
      <c r="O111" s="1143">
        <f t="shared" si="26"/>
        <v>0</v>
      </c>
    </row>
    <row r="112" spans="1:15" s="724" customFormat="1" ht="18" hidden="1" customHeight="1">
      <c r="A112" s="485">
        <v>55799</v>
      </c>
      <c r="B112" s="485" t="s">
        <v>1361</v>
      </c>
      <c r="C112" s="1140"/>
      <c r="D112" s="1141"/>
      <c r="E112" s="1142">
        <f t="shared" si="27"/>
        <v>0</v>
      </c>
      <c r="F112" s="1135"/>
      <c r="G112" s="1140"/>
      <c r="H112" s="1141"/>
      <c r="I112" s="1142"/>
      <c r="J112" s="1135"/>
      <c r="K112" s="1140"/>
      <c r="L112" s="1141"/>
      <c r="M112" s="1142"/>
      <c r="N112" s="1136"/>
      <c r="O112" s="1143">
        <f t="shared" si="26"/>
        <v>0</v>
      </c>
    </row>
    <row r="113" spans="1:15" s="92" customFormat="1">
      <c r="A113" s="292">
        <v>56</v>
      </c>
      <c r="B113" s="292" t="s">
        <v>307</v>
      </c>
      <c r="C113" s="1137">
        <f>C114+C116</f>
        <v>9571.2999999999993</v>
      </c>
      <c r="D113" s="1138">
        <f>D114+D116</f>
        <v>11252.52</v>
      </c>
      <c r="E113" s="1139">
        <f t="shared" ref="E113:O113" si="35">E114+E116</f>
        <v>12275.476363636364</v>
      </c>
      <c r="F113" s="276">
        <f t="shared" si="35"/>
        <v>7047.67</v>
      </c>
      <c r="G113" s="1137">
        <f t="shared" si="35"/>
        <v>0</v>
      </c>
      <c r="H113" s="1138">
        <f t="shared" si="35"/>
        <v>0</v>
      </c>
      <c r="I113" s="1139">
        <f t="shared" si="35"/>
        <v>0</v>
      </c>
      <c r="J113" s="276">
        <f t="shared" si="35"/>
        <v>0</v>
      </c>
      <c r="K113" s="1137">
        <f t="shared" si="35"/>
        <v>0</v>
      </c>
      <c r="L113" s="1138">
        <f t="shared" si="35"/>
        <v>0</v>
      </c>
      <c r="M113" s="1139">
        <f t="shared" si="35"/>
        <v>0</v>
      </c>
      <c r="N113" s="276">
        <f t="shared" si="35"/>
        <v>0</v>
      </c>
      <c r="O113" s="276">
        <f t="shared" si="35"/>
        <v>7047.67</v>
      </c>
    </row>
    <row r="114" spans="1:15" s="92" customFormat="1">
      <c r="A114" s="292">
        <v>562</v>
      </c>
      <c r="B114" s="292" t="s">
        <v>1362</v>
      </c>
      <c r="C114" s="1137">
        <f>C115</f>
        <v>4276.3</v>
      </c>
      <c r="D114" s="1138">
        <f>D115</f>
        <v>3952.52</v>
      </c>
      <c r="E114" s="1139">
        <f t="shared" ref="E114:O114" si="36">E115</f>
        <v>4311.84</v>
      </c>
      <c r="F114" s="276">
        <f t="shared" si="36"/>
        <v>7047.67</v>
      </c>
      <c r="G114" s="1137">
        <f t="shared" si="36"/>
        <v>0</v>
      </c>
      <c r="H114" s="1138">
        <f t="shared" si="36"/>
        <v>0</v>
      </c>
      <c r="I114" s="1139">
        <f t="shared" si="36"/>
        <v>0</v>
      </c>
      <c r="J114" s="276">
        <f t="shared" si="36"/>
        <v>0</v>
      </c>
      <c r="K114" s="1137">
        <f t="shared" si="36"/>
        <v>0</v>
      </c>
      <c r="L114" s="1138">
        <f t="shared" si="36"/>
        <v>0</v>
      </c>
      <c r="M114" s="1139">
        <f t="shared" si="36"/>
        <v>0</v>
      </c>
      <c r="N114" s="276">
        <f t="shared" si="36"/>
        <v>0</v>
      </c>
      <c r="O114" s="276">
        <f t="shared" si="36"/>
        <v>7047.67</v>
      </c>
    </row>
    <row r="115" spans="1:15" s="724" customFormat="1">
      <c r="A115" s="485">
        <v>56201</v>
      </c>
      <c r="B115" s="485" t="s">
        <v>1362</v>
      </c>
      <c r="C115" s="1140">
        <v>4276.3</v>
      </c>
      <c r="D115" s="1141">
        <v>3952.52</v>
      </c>
      <c r="E115" s="1142">
        <f t="shared" si="27"/>
        <v>4311.84</v>
      </c>
      <c r="F115" s="1135">
        <v>7047.67</v>
      </c>
      <c r="G115" s="1140"/>
      <c r="H115" s="1141"/>
      <c r="I115" s="1142"/>
      <c r="J115" s="1135"/>
      <c r="K115" s="1140"/>
      <c r="L115" s="1141"/>
      <c r="M115" s="1142"/>
      <c r="N115" s="1136"/>
      <c r="O115" s="1143">
        <f t="shared" si="26"/>
        <v>7047.67</v>
      </c>
    </row>
    <row r="116" spans="1:15" s="92" customFormat="1" ht="18" hidden="1" customHeight="1">
      <c r="A116" s="292">
        <v>563</v>
      </c>
      <c r="B116" s="292" t="s">
        <v>1363</v>
      </c>
      <c r="C116" s="1137">
        <f>SUM(C117:C119)</f>
        <v>5295</v>
      </c>
      <c r="D116" s="1138">
        <f>D118</f>
        <v>7300</v>
      </c>
      <c r="E116" s="1139">
        <f t="shared" ref="E116" si="37">SUM(E117:E119)</f>
        <v>7963.636363636364</v>
      </c>
      <c r="F116" s="276">
        <f t="shared" ref="F116" si="38">F118+F119</f>
        <v>0</v>
      </c>
      <c r="G116" s="1137">
        <f t="shared" ref="G116" si="39">SUM(G117:G119)</f>
        <v>0</v>
      </c>
      <c r="H116" s="1138">
        <f t="shared" ref="H116" si="40">H118+H119</f>
        <v>0</v>
      </c>
      <c r="I116" s="1139">
        <f t="shared" ref="I116" si="41">SUM(I117:I119)</f>
        <v>0</v>
      </c>
      <c r="J116" s="276">
        <f t="shared" ref="J116" si="42">J118+J119</f>
        <v>0</v>
      </c>
      <c r="K116" s="1137">
        <f t="shared" ref="K116" si="43">SUM(K117:K119)</f>
        <v>0</v>
      </c>
      <c r="L116" s="1138">
        <f t="shared" ref="L116" si="44">L118+L119</f>
        <v>0</v>
      </c>
      <c r="M116" s="1139">
        <f t="shared" ref="M116" si="45">SUM(M117:M119)</f>
        <v>0</v>
      </c>
      <c r="N116" s="276">
        <f t="shared" ref="N116" si="46">N118+N119</f>
        <v>0</v>
      </c>
      <c r="O116" s="276">
        <f t="shared" ref="O116" si="47">SUM(O117:O119)</f>
        <v>0</v>
      </c>
    </row>
    <row r="117" spans="1:15" s="92" customFormat="1" ht="18" hidden="1" customHeight="1">
      <c r="A117" s="485">
        <v>56303</v>
      </c>
      <c r="B117" s="485" t="s">
        <v>1364</v>
      </c>
      <c r="C117" s="1140"/>
      <c r="D117" s="1141"/>
      <c r="E117" s="1142">
        <f t="shared" si="27"/>
        <v>0</v>
      </c>
      <c r="F117" s="1135"/>
      <c r="G117" s="1140"/>
      <c r="H117" s="1141"/>
      <c r="I117" s="1139"/>
      <c r="J117" s="1135"/>
      <c r="K117" s="1140"/>
      <c r="L117" s="1141"/>
      <c r="M117" s="1139"/>
      <c r="N117" s="1136"/>
      <c r="O117" s="1143">
        <f t="shared" si="26"/>
        <v>0</v>
      </c>
    </row>
    <row r="118" spans="1:15" s="724" customFormat="1" ht="18" hidden="1" customHeight="1">
      <c r="A118" s="485">
        <v>56304</v>
      </c>
      <c r="B118" s="485" t="s">
        <v>1365</v>
      </c>
      <c r="C118" s="1140">
        <v>5295</v>
      </c>
      <c r="D118" s="1141">
        <v>7300</v>
      </c>
      <c r="E118" s="1142">
        <f t="shared" si="27"/>
        <v>7963.636363636364</v>
      </c>
      <c r="F118" s="1135"/>
      <c r="G118" s="1140"/>
      <c r="H118" s="1141"/>
      <c r="I118" s="1142"/>
      <c r="J118" s="1135"/>
      <c r="K118" s="1140"/>
      <c r="L118" s="1141"/>
      <c r="M118" s="1142"/>
      <c r="N118" s="1136"/>
      <c r="O118" s="1143">
        <f t="shared" si="26"/>
        <v>0</v>
      </c>
    </row>
    <row r="119" spans="1:15" s="92" customFormat="1" ht="18" hidden="1" customHeight="1">
      <c r="A119" s="485">
        <v>56305</v>
      </c>
      <c r="B119" s="485" t="s">
        <v>1366</v>
      </c>
      <c r="C119" s="1140"/>
      <c r="D119" s="1141"/>
      <c r="E119" s="1142">
        <f t="shared" si="27"/>
        <v>0</v>
      </c>
      <c r="F119" s="1135"/>
      <c r="G119" s="1140"/>
      <c r="H119" s="1141"/>
      <c r="I119" s="1139"/>
      <c r="J119" s="1135"/>
      <c r="K119" s="1140"/>
      <c r="L119" s="1141"/>
      <c r="M119" s="1139"/>
      <c r="N119" s="1136"/>
      <c r="O119" s="1143">
        <f t="shared" si="26"/>
        <v>0</v>
      </c>
    </row>
    <row r="120" spans="1:15" s="92" customFormat="1">
      <c r="A120" s="292">
        <v>61</v>
      </c>
      <c r="B120" s="292" t="s">
        <v>361</v>
      </c>
      <c r="C120" s="1137">
        <f>C121+C128</f>
        <v>9705</v>
      </c>
      <c r="D120" s="1138">
        <f>D121+D128</f>
        <v>0</v>
      </c>
      <c r="E120" s="1139">
        <f t="shared" ref="E120:O120" si="48">E121+E128</f>
        <v>0</v>
      </c>
      <c r="F120" s="276">
        <f t="shared" si="48"/>
        <v>0</v>
      </c>
      <c r="G120" s="1137">
        <f t="shared" si="48"/>
        <v>0</v>
      </c>
      <c r="H120" s="1138">
        <f t="shared" si="48"/>
        <v>0</v>
      </c>
      <c r="I120" s="1139">
        <f t="shared" si="48"/>
        <v>0</v>
      </c>
      <c r="J120" s="276">
        <f t="shared" si="48"/>
        <v>0</v>
      </c>
      <c r="K120" s="1137">
        <f t="shared" si="48"/>
        <v>2500</v>
      </c>
      <c r="L120" s="1138">
        <f t="shared" si="48"/>
        <v>1000</v>
      </c>
      <c r="M120" s="1139">
        <f t="shared" si="48"/>
        <v>1333.3333333333335</v>
      </c>
      <c r="N120" s="276">
        <f t="shared" si="48"/>
        <v>1000</v>
      </c>
      <c r="O120" s="276">
        <f t="shared" si="48"/>
        <v>1000</v>
      </c>
    </row>
    <row r="121" spans="1:15" s="92" customFormat="1">
      <c r="A121" s="292">
        <v>611</v>
      </c>
      <c r="B121" s="292" t="s">
        <v>1367</v>
      </c>
      <c r="C121" s="1137">
        <f>SUM(C122:C127)</f>
        <v>9705</v>
      </c>
      <c r="D121" s="1138">
        <f>SUM(D122:D127)</f>
        <v>0</v>
      </c>
      <c r="E121" s="1139">
        <f t="shared" ref="E121:O121" si="49">SUM(E122:E127)</f>
        <v>0</v>
      </c>
      <c r="F121" s="276">
        <f t="shared" si="49"/>
        <v>0</v>
      </c>
      <c r="G121" s="1137">
        <f t="shared" si="49"/>
        <v>0</v>
      </c>
      <c r="H121" s="1138">
        <f t="shared" si="49"/>
        <v>0</v>
      </c>
      <c r="I121" s="1139">
        <f t="shared" si="49"/>
        <v>0</v>
      </c>
      <c r="J121" s="276">
        <f t="shared" si="49"/>
        <v>0</v>
      </c>
      <c r="K121" s="1137">
        <f t="shared" si="49"/>
        <v>2500</v>
      </c>
      <c r="L121" s="1138">
        <f t="shared" si="49"/>
        <v>1000</v>
      </c>
      <c r="M121" s="1139">
        <f t="shared" si="49"/>
        <v>1333.3333333333335</v>
      </c>
      <c r="N121" s="276">
        <f t="shared" si="49"/>
        <v>1000</v>
      </c>
      <c r="O121" s="276">
        <f t="shared" si="49"/>
        <v>1000</v>
      </c>
    </row>
    <row r="122" spans="1:15" s="480" customFormat="1" ht="18" hidden="1" customHeight="1">
      <c r="A122" s="485">
        <v>61101</v>
      </c>
      <c r="B122" s="485" t="s">
        <v>1368</v>
      </c>
      <c r="C122" s="1140"/>
      <c r="D122" s="1141"/>
      <c r="E122" s="1142">
        <f t="shared" si="27"/>
        <v>0</v>
      </c>
      <c r="F122" s="1135"/>
      <c r="G122" s="1140"/>
      <c r="H122" s="1141"/>
      <c r="I122" s="1139"/>
      <c r="J122" s="1135"/>
      <c r="K122" s="1140"/>
      <c r="L122" s="1141"/>
      <c r="M122" s="1139"/>
      <c r="N122" s="1136"/>
      <c r="O122" s="1143">
        <f t="shared" si="26"/>
        <v>0</v>
      </c>
    </row>
    <row r="123" spans="1:15" s="92" customFormat="1" ht="18" hidden="1" customHeight="1">
      <c r="A123" s="485">
        <v>61102</v>
      </c>
      <c r="B123" s="485" t="s">
        <v>1369</v>
      </c>
      <c r="C123" s="1140"/>
      <c r="D123" s="1141"/>
      <c r="E123" s="1142">
        <f t="shared" si="27"/>
        <v>0</v>
      </c>
      <c r="F123" s="1135"/>
      <c r="G123" s="1140"/>
      <c r="H123" s="1141"/>
      <c r="I123" s="1139"/>
      <c r="J123" s="1135"/>
      <c r="K123" s="1140"/>
      <c r="L123" s="1141"/>
      <c r="M123" s="1139"/>
      <c r="N123" s="1136"/>
      <c r="O123" s="1143">
        <f t="shared" si="26"/>
        <v>0</v>
      </c>
    </row>
    <row r="124" spans="1:15" s="92" customFormat="1" ht="18" hidden="1" customHeight="1">
      <c r="A124" s="485">
        <v>61104</v>
      </c>
      <c r="B124" s="485" t="s">
        <v>1370</v>
      </c>
      <c r="C124" s="1140"/>
      <c r="D124" s="1141"/>
      <c r="E124" s="1142">
        <f t="shared" si="27"/>
        <v>0</v>
      </c>
      <c r="F124" s="276"/>
      <c r="G124" s="1137"/>
      <c r="H124" s="1138"/>
      <c r="I124" s="1139"/>
      <c r="J124" s="276"/>
      <c r="K124" s="1140">
        <v>1500</v>
      </c>
      <c r="L124" s="1141"/>
      <c r="M124" s="1142">
        <f t="shared" ref="M124:M127" si="50">(L124/9)*12</f>
        <v>0</v>
      </c>
      <c r="N124" s="1136"/>
      <c r="O124" s="1143">
        <f t="shared" si="26"/>
        <v>0</v>
      </c>
    </row>
    <row r="125" spans="1:15" s="92" customFormat="1" ht="18" hidden="1" customHeight="1">
      <c r="A125" s="485">
        <v>61105</v>
      </c>
      <c r="B125" s="485" t="s">
        <v>1371</v>
      </c>
      <c r="C125" s="1140"/>
      <c r="D125" s="1141"/>
      <c r="E125" s="1142"/>
      <c r="F125" s="1135"/>
      <c r="G125" s="1137"/>
      <c r="H125" s="1138"/>
      <c r="I125" s="1139"/>
      <c r="J125" s="276"/>
      <c r="K125" s="1140"/>
      <c r="L125" s="1141"/>
      <c r="M125" s="1142"/>
      <c r="N125" s="1136"/>
      <c r="O125" s="1143">
        <f t="shared" si="26"/>
        <v>0</v>
      </c>
    </row>
    <row r="126" spans="1:15" s="92" customFormat="1" ht="18" hidden="1" customHeight="1">
      <c r="A126" s="485">
        <v>61108</v>
      </c>
      <c r="B126" s="485" t="s">
        <v>1372</v>
      </c>
      <c r="C126" s="1140"/>
      <c r="D126" s="1141"/>
      <c r="E126" s="1142">
        <f t="shared" si="27"/>
        <v>0</v>
      </c>
      <c r="F126" s="1135"/>
      <c r="G126" s="1140"/>
      <c r="H126" s="1141"/>
      <c r="I126" s="1139"/>
      <c r="J126" s="1135"/>
      <c r="K126" s="1140"/>
      <c r="L126" s="1141"/>
      <c r="M126" s="1142">
        <f t="shared" si="50"/>
        <v>0</v>
      </c>
      <c r="N126" s="1136"/>
      <c r="O126" s="1143">
        <f t="shared" si="26"/>
        <v>0</v>
      </c>
    </row>
    <row r="127" spans="1:15" s="724" customFormat="1">
      <c r="A127" s="485">
        <v>61199</v>
      </c>
      <c r="B127" s="485" t="s">
        <v>1373</v>
      </c>
      <c r="C127" s="1140">
        <v>9705</v>
      </c>
      <c r="D127" s="1141"/>
      <c r="E127" s="1142">
        <f t="shared" si="27"/>
        <v>0</v>
      </c>
      <c r="F127" s="1135"/>
      <c r="G127" s="1140"/>
      <c r="H127" s="1141"/>
      <c r="I127" s="1142"/>
      <c r="J127" s="1135"/>
      <c r="K127" s="1140">
        <v>1000</v>
      </c>
      <c r="L127" s="1141">
        <v>1000</v>
      </c>
      <c r="M127" s="1142">
        <f t="shared" si="50"/>
        <v>1333.3333333333335</v>
      </c>
      <c r="N127" s="1136">
        <v>1000</v>
      </c>
      <c r="O127" s="1143">
        <f t="shared" si="26"/>
        <v>1000</v>
      </c>
    </row>
    <row r="128" spans="1:15" s="92" customFormat="1" ht="18" hidden="1" customHeight="1">
      <c r="A128" s="292">
        <v>612</v>
      </c>
      <c r="B128" s="292" t="s">
        <v>1374</v>
      </c>
      <c r="C128" s="276">
        <f>SUM(C129:C130)</f>
        <v>0</v>
      </c>
      <c r="D128" s="276">
        <f>SUM(D129:D130)</f>
        <v>0</v>
      </c>
      <c r="E128" s="1135"/>
      <c r="F128" s="1135"/>
      <c r="G128" s="1135"/>
      <c r="H128" s="1135"/>
      <c r="I128" s="276">
        <f t="shared" ref="I128:I130" si="51">(H128/10)*12</f>
        <v>0</v>
      </c>
      <c r="J128" s="1135"/>
      <c r="K128" s="1135"/>
      <c r="L128" s="1135"/>
      <c r="M128" s="276">
        <f t="shared" ref="M128:M130" si="52">(L128/10)*12</f>
        <v>0</v>
      </c>
      <c r="N128" s="1136"/>
      <c r="O128" s="1133"/>
    </row>
    <row r="129" spans="1:15" s="92" customFormat="1" ht="18" hidden="1" customHeight="1">
      <c r="A129" s="485">
        <v>61201</v>
      </c>
      <c r="B129" s="485" t="s">
        <v>1375</v>
      </c>
      <c r="C129" s="1135"/>
      <c r="D129" s="1135"/>
      <c r="E129" s="1135"/>
      <c r="F129" s="1135"/>
      <c r="G129" s="1135"/>
      <c r="H129" s="1135"/>
      <c r="I129" s="276">
        <f t="shared" si="51"/>
        <v>0</v>
      </c>
      <c r="J129" s="1135"/>
      <c r="K129" s="1135"/>
      <c r="L129" s="1135"/>
      <c r="M129" s="276">
        <f t="shared" si="52"/>
        <v>0</v>
      </c>
      <c r="N129" s="1136"/>
      <c r="O129" s="1133"/>
    </row>
    <row r="130" spans="1:15" s="92" customFormat="1" ht="18" hidden="1" customHeight="1">
      <c r="A130" s="485">
        <v>61202</v>
      </c>
      <c r="B130" s="485" t="s">
        <v>1376</v>
      </c>
      <c r="C130" s="1135"/>
      <c r="D130" s="1135"/>
      <c r="E130" s="1135"/>
      <c r="F130" s="1135"/>
      <c r="G130" s="1135"/>
      <c r="H130" s="1135"/>
      <c r="I130" s="276">
        <f t="shared" si="51"/>
        <v>0</v>
      </c>
      <c r="J130" s="1135"/>
      <c r="K130" s="1135"/>
      <c r="L130" s="1135"/>
      <c r="M130" s="276">
        <f t="shared" si="52"/>
        <v>0</v>
      </c>
      <c r="N130" s="1136"/>
      <c r="O130" s="1133"/>
    </row>
    <row r="131" spans="1:15" s="92" customFormat="1" ht="18" hidden="1" customHeight="1">
      <c r="A131" s="485"/>
      <c r="B131" s="485"/>
      <c r="C131" s="1135"/>
      <c r="D131" s="1135"/>
      <c r="E131" s="1135"/>
      <c r="F131" s="1135"/>
      <c r="G131" s="1135"/>
      <c r="H131" s="1135"/>
      <c r="I131" s="1135"/>
      <c r="J131" s="1135"/>
      <c r="K131" s="1135"/>
      <c r="L131" s="1135"/>
      <c r="M131" s="1135"/>
      <c r="N131" s="1136"/>
      <c r="O131" s="1133"/>
    </row>
    <row r="132" spans="1:15" s="92" customFormat="1">
      <c r="A132" s="1369" t="s">
        <v>415</v>
      </c>
      <c r="B132" s="1369"/>
      <c r="C132" s="276">
        <f>C6+C31+C102+C113+C120</f>
        <v>57276.3</v>
      </c>
      <c r="D132" s="276">
        <f t="shared" ref="D132:O132" si="53">D6+D31+D102+D113+D120</f>
        <v>21880.57</v>
      </c>
      <c r="E132" s="276">
        <f t="shared" si="53"/>
        <v>23869.712727272727</v>
      </c>
      <c r="F132" s="276">
        <f t="shared" si="53"/>
        <v>19347.669999999998</v>
      </c>
      <c r="G132" s="276">
        <f t="shared" si="53"/>
        <v>19300</v>
      </c>
      <c r="H132" s="276">
        <f t="shared" si="53"/>
        <v>14252</v>
      </c>
      <c r="I132" s="276">
        <f t="shared" si="53"/>
        <v>15547.636363636364</v>
      </c>
      <c r="J132" s="276">
        <f t="shared" si="53"/>
        <v>15750</v>
      </c>
      <c r="K132" s="276">
        <f t="shared" si="53"/>
        <v>190582.85</v>
      </c>
      <c r="L132" s="276">
        <f t="shared" si="53"/>
        <v>234186.69</v>
      </c>
      <c r="M132" s="276">
        <f t="shared" si="53"/>
        <v>261235.03636363638</v>
      </c>
      <c r="N132" s="276">
        <f t="shared" si="53"/>
        <v>218800</v>
      </c>
      <c r="O132" s="276">
        <f t="shared" si="53"/>
        <v>280397.67</v>
      </c>
    </row>
    <row r="133" spans="1:15" ht="18" hidden="1" customHeight="1">
      <c r="A133" s="1148"/>
      <c r="B133" s="1148"/>
      <c r="C133" s="1149"/>
      <c r="D133" s="1149"/>
      <c r="E133" s="1149"/>
      <c r="F133" s="1149"/>
      <c r="G133" s="1149"/>
      <c r="H133" s="1149"/>
      <c r="I133" s="1149"/>
      <c r="J133" s="1149"/>
      <c r="K133" s="1149"/>
      <c r="L133" s="1149"/>
      <c r="M133" s="1149"/>
      <c r="N133" s="1149"/>
    </row>
    <row r="134" spans="1:15" ht="18" hidden="1" customHeight="1">
      <c r="A134" s="1148"/>
      <c r="B134" s="1148"/>
      <c r="C134" s="1149"/>
      <c r="D134" s="1149"/>
      <c r="E134" s="1149"/>
      <c r="F134" s="1149"/>
      <c r="G134" s="1149"/>
      <c r="H134" s="1149"/>
      <c r="I134" s="1149"/>
      <c r="J134" s="1149"/>
      <c r="K134" s="1149"/>
      <c r="L134" s="1149"/>
      <c r="M134" s="1149"/>
      <c r="N134" s="1149"/>
    </row>
    <row r="135" spans="1:15" ht="18" hidden="1" customHeight="1">
      <c r="A135" s="1148"/>
      <c r="B135" s="1148"/>
      <c r="C135" s="1149"/>
      <c r="D135" s="1149"/>
      <c r="E135" s="1149"/>
      <c r="F135" s="1149"/>
      <c r="G135" s="1149"/>
      <c r="H135" s="1149"/>
      <c r="I135" s="1149"/>
      <c r="J135" s="1149"/>
      <c r="K135" s="1149"/>
      <c r="L135" s="1149"/>
      <c r="M135" s="1149"/>
      <c r="N135" s="1149"/>
    </row>
    <row r="136" spans="1:15" ht="18" hidden="1" customHeight="1">
      <c r="A136" s="1148"/>
      <c r="B136" s="1148"/>
      <c r="C136" s="1149"/>
      <c r="D136" s="1149"/>
      <c r="E136" s="1149"/>
      <c r="F136" s="1149"/>
      <c r="G136" s="1149"/>
      <c r="H136" s="1149"/>
      <c r="I136" s="1149"/>
      <c r="J136" s="1149"/>
      <c r="K136" s="1149"/>
      <c r="L136" s="1149"/>
      <c r="M136" s="1149"/>
      <c r="N136" s="1149"/>
    </row>
    <row r="137" spans="1:15" ht="18" hidden="1" customHeight="1">
      <c r="A137" s="1723" t="s">
        <v>1377</v>
      </c>
      <c r="B137" s="1723"/>
      <c r="C137" s="1723"/>
      <c r="D137" s="1723"/>
      <c r="E137" s="1723"/>
      <c r="F137" s="1723"/>
      <c r="G137" s="1723"/>
      <c r="H137" s="1723"/>
      <c r="I137" s="1723"/>
      <c r="J137" s="1723"/>
      <c r="K137" s="1723"/>
      <c r="L137" s="1723"/>
      <c r="M137" s="1723"/>
      <c r="N137" s="1723"/>
    </row>
    <row r="138" spans="1:15" ht="15.75" hidden="1" customHeight="1">
      <c r="A138" s="1727" t="s">
        <v>1066</v>
      </c>
      <c r="B138" s="1727" t="s">
        <v>539</v>
      </c>
      <c r="C138" s="1728" t="s">
        <v>1378</v>
      </c>
      <c r="D138" s="1728"/>
      <c r="E138" s="1728"/>
      <c r="F138" s="1728"/>
      <c r="G138" s="1728" t="s">
        <v>1379</v>
      </c>
      <c r="H138" s="1728"/>
      <c r="I138" s="1728"/>
      <c r="J138" s="1728"/>
      <c r="K138" s="1728" t="s">
        <v>1380</v>
      </c>
      <c r="L138" s="1728"/>
      <c r="M138" s="1728"/>
      <c r="N138" s="1728"/>
    </row>
    <row r="139" spans="1:15" ht="6" hidden="1" customHeight="1">
      <c r="A139" s="1727"/>
      <c r="B139" s="1727"/>
      <c r="C139" s="1726" t="s">
        <v>1381</v>
      </c>
      <c r="D139" s="1726" t="s">
        <v>1382</v>
      </c>
      <c r="E139" s="1724" t="s">
        <v>1383</v>
      </c>
      <c r="F139" s="1724" t="s">
        <v>1384</v>
      </c>
      <c r="G139" s="1726" t="s">
        <v>1381</v>
      </c>
      <c r="H139" s="1726" t="s">
        <v>1382</v>
      </c>
      <c r="I139" s="1724" t="s">
        <v>1383</v>
      </c>
      <c r="J139" s="1724" t="s">
        <v>1384</v>
      </c>
      <c r="K139" s="1726" t="s">
        <v>1381</v>
      </c>
      <c r="L139" s="1726" t="s">
        <v>1382</v>
      </c>
      <c r="M139" s="1724" t="s">
        <v>1383</v>
      </c>
      <c r="N139" s="1724" t="s">
        <v>1384</v>
      </c>
    </row>
    <row r="140" spans="1:15" ht="18" hidden="1" customHeight="1">
      <c r="A140" s="1727"/>
      <c r="B140" s="1727"/>
      <c r="C140" s="1726"/>
      <c r="D140" s="1726"/>
      <c r="E140" s="1724"/>
      <c r="F140" s="1724"/>
      <c r="G140" s="1726"/>
      <c r="H140" s="1726"/>
      <c r="I140" s="1724"/>
      <c r="J140" s="1724"/>
      <c r="K140" s="1726"/>
      <c r="L140" s="1726"/>
      <c r="M140" s="1724"/>
      <c r="N140" s="1724"/>
    </row>
    <row r="141" spans="1:15" s="8" customFormat="1" ht="18" hidden="1" customHeight="1">
      <c r="A141" s="1150">
        <v>51</v>
      </c>
      <c r="B141" s="1150" t="s">
        <v>341</v>
      </c>
      <c r="C141" s="269">
        <f>C142+C147+C151+C153+C155+C159+C161</f>
        <v>93769.73</v>
      </c>
      <c r="D141" s="269">
        <f>D142+D147+D151+D153+D155+D159+D161</f>
        <v>60944.73000000001</v>
      </c>
      <c r="E141" s="269">
        <f t="shared" ref="E141:E156" si="54">(D141/9)*12</f>
        <v>81259.640000000014</v>
      </c>
      <c r="F141" s="269"/>
      <c r="G141" s="269">
        <f>G142+G147+G151+G153+G155+G159+G161</f>
        <v>69836.259999999995</v>
      </c>
      <c r="H141" s="269">
        <f>H142+H147+H151+H153+H155+H159+H161</f>
        <v>45076.469999999994</v>
      </c>
      <c r="I141" s="269">
        <f>I142+I147+I151+I153+I155+I159+I161</f>
        <v>60101.96</v>
      </c>
      <c r="J141" s="269"/>
      <c r="K141" s="269">
        <f>K142+K147+K151+K153+K155+K159+K161</f>
        <v>116006.45</v>
      </c>
      <c r="L141" s="269">
        <f>L142+L147+L151+L153+L155+L159+L161</f>
        <v>74362.11</v>
      </c>
      <c r="M141" s="269">
        <f t="shared" ref="M141:M145" si="55">(L141/9)*12</f>
        <v>99149.48000000001</v>
      </c>
      <c r="N141" s="269"/>
    </row>
    <row r="142" spans="1:15" s="8" customFormat="1" ht="18" hidden="1" customHeight="1">
      <c r="A142" s="1150">
        <v>511</v>
      </c>
      <c r="B142" s="1150" t="s">
        <v>342</v>
      </c>
      <c r="C142" s="269">
        <f>SUM(C143:C146)</f>
        <v>86367.5</v>
      </c>
      <c r="D142" s="269">
        <f>SUM(D143:D146)</f>
        <v>55741.740000000005</v>
      </c>
      <c r="E142" s="269">
        <f t="shared" si="54"/>
        <v>74322.320000000007</v>
      </c>
      <c r="F142" s="269"/>
      <c r="G142" s="269">
        <f>SUM(G143:G146)</f>
        <v>62023.6</v>
      </c>
      <c r="H142" s="269">
        <f>SUM(H143:H146)</f>
        <v>40575.1</v>
      </c>
      <c r="I142" s="269">
        <f>SUM(I143:I146)</f>
        <v>54100.133333333331</v>
      </c>
      <c r="J142" s="269"/>
      <c r="K142" s="269">
        <f>SUM(K143:K146)</f>
        <v>102613.14</v>
      </c>
      <c r="L142" s="269">
        <f>SUM(L143:L146)</f>
        <v>65494.51</v>
      </c>
      <c r="M142" s="269">
        <f t="shared" si="55"/>
        <v>87326.013333333336</v>
      </c>
      <c r="N142" s="269"/>
    </row>
    <row r="143" spans="1:15" s="1151" customFormat="1" ht="18" hidden="1" customHeight="1">
      <c r="A143" s="594">
        <v>51101</v>
      </c>
      <c r="B143" s="594" t="s">
        <v>81</v>
      </c>
      <c r="C143" s="546">
        <v>69900</v>
      </c>
      <c r="D143" s="546">
        <v>49630.58</v>
      </c>
      <c r="E143" s="546">
        <f t="shared" si="54"/>
        <v>66174.106666666674</v>
      </c>
      <c r="F143" s="546"/>
      <c r="G143" s="546">
        <v>58344</v>
      </c>
      <c r="H143" s="546">
        <v>40575.1</v>
      </c>
      <c r="I143" s="546">
        <f t="shared" ref="I143:I172" si="56">(H143/9)*12</f>
        <v>54100.133333333331</v>
      </c>
      <c r="J143" s="546"/>
      <c r="K143" s="546">
        <v>95888.1</v>
      </c>
      <c r="L143" s="546">
        <v>65494.51</v>
      </c>
      <c r="M143" s="546">
        <f t="shared" si="55"/>
        <v>87326.013333333336</v>
      </c>
      <c r="N143" s="546"/>
    </row>
    <row r="144" spans="1:15" s="1151" customFormat="1" ht="18" hidden="1" customHeight="1">
      <c r="A144" s="594">
        <v>51102</v>
      </c>
      <c r="B144" s="594" t="s">
        <v>1297</v>
      </c>
      <c r="C144" s="546"/>
      <c r="D144" s="546"/>
      <c r="E144" s="546">
        <f t="shared" si="54"/>
        <v>0</v>
      </c>
      <c r="F144" s="546"/>
      <c r="G144" s="546"/>
      <c r="H144" s="546"/>
      <c r="I144" s="546">
        <f t="shared" si="56"/>
        <v>0</v>
      </c>
      <c r="J144" s="546"/>
      <c r="K144" s="546"/>
      <c r="L144" s="546"/>
      <c r="M144" s="546">
        <f t="shared" si="55"/>
        <v>0</v>
      </c>
      <c r="N144" s="546"/>
    </row>
    <row r="145" spans="1:14" s="1151" customFormat="1" ht="18" hidden="1" customHeight="1">
      <c r="A145" s="594">
        <v>51103</v>
      </c>
      <c r="B145" s="594" t="s">
        <v>1298</v>
      </c>
      <c r="C145" s="546">
        <v>4167.5</v>
      </c>
      <c r="D145" s="546"/>
      <c r="E145" s="546">
        <f t="shared" si="54"/>
        <v>0</v>
      </c>
      <c r="F145" s="546"/>
      <c r="G145" s="546">
        <v>3679.6</v>
      </c>
      <c r="H145" s="546"/>
      <c r="I145" s="546">
        <f t="shared" si="56"/>
        <v>0</v>
      </c>
      <c r="J145" s="546"/>
      <c r="K145" s="546">
        <v>6725.04</v>
      </c>
      <c r="L145" s="546"/>
      <c r="M145" s="546">
        <f t="shared" si="55"/>
        <v>0</v>
      </c>
      <c r="N145" s="546"/>
    </row>
    <row r="146" spans="1:14" s="1151" customFormat="1" ht="18" hidden="1" customHeight="1">
      <c r="A146" s="594">
        <v>51105</v>
      </c>
      <c r="B146" s="594" t="s">
        <v>294</v>
      </c>
      <c r="C146" s="546">
        <v>12300</v>
      </c>
      <c r="D146" s="546">
        <v>6111.16</v>
      </c>
      <c r="E146" s="546">
        <f t="shared" si="54"/>
        <v>8148.2133333333331</v>
      </c>
      <c r="F146" s="546"/>
      <c r="G146" s="546"/>
      <c r="H146" s="546"/>
      <c r="I146" s="546">
        <f t="shared" si="56"/>
        <v>0</v>
      </c>
      <c r="J146" s="546"/>
      <c r="K146" s="546"/>
      <c r="L146" s="546"/>
      <c r="M146" s="546"/>
      <c r="N146" s="546"/>
    </row>
    <row r="147" spans="1:14" s="8" customFormat="1" ht="18" hidden="1" customHeight="1">
      <c r="A147" s="1150">
        <v>512</v>
      </c>
      <c r="B147" s="1150" t="s">
        <v>345</v>
      </c>
      <c r="C147" s="269">
        <f>SUM(C148:C150)</f>
        <v>0</v>
      </c>
      <c r="D147" s="269">
        <f>SUM(D148:D150)</f>
        <v>0</v>
      </c>
      <c r="E147" s="269">
        <f t="shared" si="54"/>
        <v>0</v>
      </c>
      <c r="F147" s="269"/>
      <c r="G147" s="269"/>
      <c r="H147" s="269"/>
      <c r="I147" s="269">
        <f t="shared" si="56"/>
        <v>0</v>
      </c>
      <c r="J147" s="269"/>
      <c r="K147" s="269">
        <f>SUM(K148:K150)</f>
        <v>0</v>
      </c>
      <c r="L147" s="269">
        <f>SUM(L148:L150)</f>
        <v>0</v>
      </c>
      <c r="M147" s="269">
        <f t="shared" ref="M147:M178" si="57">(L147/9)*12</f>
        <v>0</v>
      </c>
      <c r="N147" s="269"/>
    </row>
    <row r="148" spans="1:14" ht="18" hidden="1" customHeight="1">
      <c r="A148" s="594">
        <v>51201</v>
      </c>
      <c r="B148" s="594" t="s">
        <v>81</v>
      </c>
      <c r="C148" s="546"/>
      <c r="D148" s="546"/>
      <c r="E148" s="269">
        <f t="shared" si="54"/>
        <v>0</v>
      </c>
      <c r="F148" s="546"/>
      <c r="G148" s="546"/>
      <c r="H148" s="546"/>
      <c r="I148" s="269">
        <f t="shared" si="56"/>
        <v>0</v>
      </c>
      <c r="J148" s="546"/>
      <c r="K148" s="546"/>
      <c r="L148" s="546"/>
      <c r="M148" s="269">
        <f t="shared" si="57"/>
        <v>0</v>
      </c>
      <c r="N148" s="546"/>
    </row>
    <row r="149" spans="1:14" ht="18" hidden="1" customHeight="1">
      <c r="A149" s="594">
        <v>51202</v>
      </c>
      <c r="B149" s="594" t="s">
        <v>1299</v>
      </c>
      <c r="C149" s="546"/>
      <c r="D149" s="546"/>
      <c r="E149" s="269">
        <f t="shared" si="54"/>
        <v>0</v>
      </c>
      <c r="F149" s="546"/>
      <c r="G149" s="546"/>
      <c r="H149" s="546"/>
      <c r="I149" s="269">
        <f t="shared" si="56"/>
        <v>0</v>
      </c>
      <c r="J149" s="546"/>
      <c r="K149" s="546"/>
      <c r="L149" s="546"/>
      <c r="M149" s="269">
        <f t="shared" si="57"/>
        <v>0</v>
      </c>
      <c r="N149" s="546"/>
    </row>
    <row r="150" spans="1:14" ht="18" hidden="1" customHeight="1">
      <c r="A150" s="594">
        <v>51203</v>
      </c>
      <c r="B150" s="594" t="s">
        <v>1298</v>
      </c>
      <c r="C150" s="546"/>
      <c r="D150" s="546"/>
      <c r="E150" s="269">
        <f t="shared" si="54"/>
        <v>0</v>
      </c>
      <c r="F150" s="546"/>
      <c r="G150" s="546"/>
      <c r="H150" s="546"/>
      <c r="I150" s="269">
        <f t="shared" si="56"/>
        <v>0</v>
      </c>
      <c r="J150" s="546"/>
      <c r="K150" s="546"/>
      <c r="L150" s="546"/>
      <c r="M150" s="269">
        <f t="shared" si="57"/>
        <v>0</v>
      </c>
      <c r="N150" s="546"/>
    </row>
    <row r="151" spans="1:14" s="8" customFormat="1" ht="18" hidden="1" customHeight="1">
      <c r="A151" s="1150">
        <v>513</v>
      </c>
      <c r="B151" s="1150" t="s">
        <v>1300</v>
      </c>
      <c r="C151" s="269">
        <f>C152</f>
        <v>0</v>
      </c>
      <c r="D151" s="269">
        <f>D152</f>
        <v>0</v>
      </c>
      <c r="E151" s="269">
        <f t="shared" si="54"/>
        <v>0</v>
      </c>
      <c r="F151" s="269"/>
      <c r="G151" s="269"/>
      <c r="H151" s="269"/>
      <c r="I151" s="269">
        <f t="shared" si="56"/>
        <v>0</v>
      </c>
      <c r="J151" s="269"/>
      <c r="K151" s="269"/>
      <c r="L151" s="269"/>
      <c r="M151" s="269">
        <f t="shared" si="57"/>
        <v>0</v>
      </c>
      <c r="N151" s="269"/>
    </row>
    <row r="152" spans="1:14" ht="18" hidden="1" customHeight="1">
      <c r="A152" s="594">
        <v>51301</v>
      </c>
      <c r="B152" s="594" t="s">
        <v>176</v>
      </c>
      <c r="C152" s="546"/>
      <c r="D152" s="546"/>
      <c r="E152" s="269">
        <f t="shared" si="54"/>
        <v>0</v>
      </c>
      <c r="F152" s="546"/>
      <c r="G152" s="546"/>
      <c r="H152" s="546"/>
      <c r="I152" s="269">
        <f t="shared" si="56"/>
        <v>0</v>
      </c>
      <c r="J152" s="546"/>
      <c r="K152" s="546"/>
      <c r="L152" s="546"/>
      <c r="M152" s="269">
        <f t="shared" si="57"/>
        <v>0</v>
      </c>
      <c r="N152" s="546"/>
    </row>
    <row r="153" spans="1:14" s="8" customFormat="1" ht="18" hidden="1" customHeight="1">
      <c r="A153" s="1150">
        <v>514</v>
      </c>
      <c r="B153" s="1150" t="s">
        <v>1301</v>
      </c>
      <c r="C153" s="269">
        <f>C154</f>
        <v>2683.98</v>
      </c>
      <c r="D153" s="269">
        <f>D154</f>
        <v>1753.3</v>
      </c>
      <c r="E153" s="269">
        <f t="shared" si="54"/>
        <v>2337.7333333333331</v>
      </c>
      <c r="F153" s="269"/>
      <c r="G153" s="269">
        <f>G154</f>
        <v>3874.44</v>
      </c>
      <c r="H153" s="269">
        <f>H154</f>
        <v>2359.6</v>
      </c>
      <c r="I153" s="269">
        <f t="shared" si="56"/>
        <v>3146.1333333333332</v>
      </c>
      <c r="J153" s="269"/>
      <c r="K153" s="269">
        <f>K154</f>
        <v>7190.69</v>
      </c>
      <c r="L153" s="269">
        <f>L154</f>
        <v>4905.58</v>
      </c>
      <c r="M153" s="269">
        <f t="shared" si="57"/>
        <v>6540.7733333333335</v>
      </c>
      <c r="N153" s="269"/>
    </row>
    <row r="154" spans="1:14" s="1151" customFormat="1" ht="18" hidden="1" customHeight="1">
      <c r="A154" s="594">
        <v>51401</v>
      </c>
      <c r="B154" s="594" t="s">
        <v>1302</v>
      </c>
      <c r="C154" s="546">
        <v>2683.98</v>
      </c>
      <c r="D154" s="546">
        <v>1753.3</v>
      </c>
      <c r="E154" s="546">
        <f t="shared" si="54"/>
        <v>2337.7333333333331</v>
      </c>
      <c r="F154" s="546"/>
      <c r="G154" s="546">
        <v>3874.44</v>
      </c>
      <c r="H154" s="546">
        <v>2359.6</v>
      </c>
      <c r="I154" s="546">
        <f t="shared" si="56"/>
        <v>3146.1333333333332</v>
      </c>
      <c r="J154" s="546"/>
      <c r="K154" s="546">
        <v>7190.69</v>
      </c>
      <c r="L154" s="546">
        <v>4905.58</v>
      </c>
      <c r="M154" s="546">
        <f t="shared" si="57"/>
        <v>6540.7733333333335</v>
      </c>
      <c r="N154" s="546"/>
    </row>
    <row r="155" spans="1:14" s="8" customFormat="1" ht="18" hidden="1" customHeight="1">
      <c r="A155" s="1150">
        <v>515</v>
      </c>
      <c r="B155" s="1150" t="s">
        <v>1303</v>
      </c>
      <c r="C155" s="269">
        <f>C156</f>
        <v>4718.25</v>
      </c>
      <c r="D155" s="269">
        <f>D156</f>
        <v>3449.69</v>
      </c>
      <c r="E155" s="269">
        <f t="shared" si="54"/>
        <v>4599.5866666666661</v>
      </c>
      <c r="F155" s="269"/>
      <c r="G155" s="269">
        <f>G156</f>
        <v>3938.22</v>
      </c>
      <c r="H155" s="269">
        <f>H156</f>
        <v>2141.77</v>
      </c>
      <c r="I155" s="269">
        <f t="shared" si="56"/>
        <v>2855.6933333333332</v>
      </c>
      <c r="J155" s="269"/>
      <c r="K155" s="269">
        <f>K156</f>
        <v>6202.62</v>
      </c>
      <c r="L155" s="269">
        <f>L156</f>
        <v>3962.02</v>
      </c>
      <c r="M155" s="269">
        <f t="shared" si="57"/>
        <v>5282.6933333333327</v>
      </c>
      <c r="N155" s="269"/>
    </row>
    <row r="156" spans="1:14" s="1151" customFormat="1" ht="18" hidden="1" customHeight="1">
      <c r="A156" s="594">
        <v>51501</v>
      </c>
      <c r="B156" s="594" t="s">
        <v>1302</v>
      </c>
      <c r="C156" s="546">
        <v>4718.25</v>
      </c>
      <c r="D156" s="546">
        <v>3449.69</v>
      </c>
      <c r="E156" s="546">
        <f t="shared" si="54"/>
        <v>4599.5866666666661</v>
      </c>
      <c r="F156" s="546"/>
      <c r="G156" s="546">
        <v>3938.22</v>
      </c>
      <c r="H156" s="546">
        <v>2141.77</v>
      </c>
      <c r="I156" s="546">
        <f t="shared" si="56"/>
        <v>2855.6933333333332</v>
      </c>
      <c r="J156" s="546"/>
      <c r="K156" s="546">
        <v>6202.62</v>
      </c>
      <c r="L156" s="546">
        <v>3962.02</v>
      </c>
      <c r="M156" s="546">
        <f t="shared" si="57"/>
        <v>5282.6933333333327</v>
      </c>
      <c r="N156" s="546"/>
    </row>
    <row r="157" spans="1:14" ht="18" hidden="1" customHeight="1">
      <c r="A157" s="594">
        <v>516</v>
      </c>
      <c r="B157" s="594" t="s">
        <v>57</v>
      </c>
      <c r="C157" s="546"/>
      <c r="D157" s="546"/>
      <c r="E157" s="269">
        <f t="shared" ref="E157:E165" si="58">(D157/10)*12</f>
        <v>0</v>
      </c>
      <c r="F157" s="546"/>
      <c r="G157" s="546"/>
      <c r="H157" s="546"/>
      <c r="I157" s="269">
        <f t="shared" si="56"/>
        <v>0</v>
      </c>
      <c r="J157" s="546"/>
      <c r="K157" s="546"/>
      <c r="L157" s="546"/>
      <c r="M157" s="269">
        <f t="shared" si="57"/>
        <v>0</v>
      </c>
      <c r="N157" s="546"/>
    </row>
    <row r="158" spans="1:14" ht="18" hidden="1" customHeight="1">
      <c r="A158" s="594">
        <v>51602</v>
      </c>
      <c r="B158" s="594" t="s">
        <v>1304</v>
      </c>
      <c r="C158" s="546"/>
      <c r="D158" s="546"/>
      <c r="E158" s="269">
        <f t="shared" si="58"/>
        <v>0</v>
      </c>
      <c r="F158" s="546"/>
      <c r="G158" s="546"/>
      <c r="H158" s="546"/>
      <c r="I158" s="269">
        <f t="shared" si="56"/>
        <v>0</v>
      </c>
      <c r="J158" s="546"/>
      <c r="K158" s="546"/>
      <c r="L158" s="546"/>
      <c r="M158" s="269">
        <f t="shared" si="57"/>
        <v>0</v>
      </c>
      <c r="N158" s="546"/>
    </row>
    <row r="159" spans="1:14" s="8" customFormat="1" ht="18" hidden="1" customHeight="1">
      <c r="A159" s="1150">
        <v>517</v>
      </c>
      <c r="B159" s="1150" t="s">
        <v>1268</v>
      </c>
      <c r="C159" s="269">
        <f>C160</f>
        <v>0</v>
      </c>
      <c r="D159" s="269">
        <f>D160</f>
        <v>0</v>
      </c>
      <c r="E159" s="269">
        <f t="shared" si="58"/>
        <v>0</v>
      </c>
      <c r="F159" s="269"/>
      <c r="G159" s="269"/>
      <c r="H159" s="269"/>
      <c r="I159" s="269">
        <f t="shared" si="56"/>
        <v>0</v>
      </c>
      <c r="J159" s="269"/>
      <c r="K159" s="269"/>
      <c r="L159" s="269"/>
      <c r="M159" s="269">
        <f t="shared" si="57"/>
        <v>0</v>
      </c>
      <c r="N159" s="269"/>
    </row>
    <row r="160" spans="1:14" ht="18" hidden="1" customHeight="1">
      <c r="A160" s="594">
        <v>51701</v>
      </c>
      <c r="B160" s="594" t="s">
        <v>1305</v>
      </c>
      <c r="C160" s="546"/>
      <c r="D160" s="546"/>
      <c r="E160" s="269">
        <f t="shared" si="58"/>
        <v>0</v>
      </c>
      <c r="F160" s="546"/>
      <c r="G160" s="546"/>
      <c r="H160" s="546"/>
      <c r="I160" s="269">
        <f t="shared" si="56"/>
        <v>0</v>
      </c>
      <c r="J160" s="546"/>
      <c r="K160" s="546"/>
      <c r="L160" s="546"/>
      <c r="M160" s="269">
        <f t="shared" si="57"/>
        <v>0</v>
      </c>
      <c r="N160" s="546"/>
    </row>
    <row r="161" spans="1:14" s="8" customFormat="1" ht="18" hidden="1" customHeight="1">
      <c r="A161" s="1150">
        <v>519</v>
      </c>
      <c r="B161" s="1150" t="s">
        <v>347</v>
      </c>
      <c r="C161" s="269">
        <f>C163</f>
        <v>0</v>
      </c>
      <c r="D161" s="269">
        <f>D163</f>
        <v>0</v>
      </c>
      <c r="E161" s="269">
        <f t="shared" si="58"/>
        <v>0</v>
      </c>
      <c r="F161" s="269"/>
      <c r="G161" s="269"/>
      <c r="H161" s="269"/>
      <c r="I161" s="269">
        <f t="shared" si="56"/>
        <v>0</v>
      </c>
      <c r="J161" s="269"/>
      <c r="K161" s="269"/>
      <c r="L161" s="269"/>
      <c r="M161" s="269">
        <f t="shared" si="57"/>
        <v>0</v>
      </c>
      <c r="N161" s="269"/>
    </row>
    <row r="162" spans="1:14" ht="18" hidden="1" customHeight="1">
      <c r="A162" s="594">
        <v>51901</v>
      </c>
      <c r="B162" s="594" t="s">
        <v>1306</v>
      </c>
      <c r="C162" s="546"/>
      <c r="D162" s="546"/>
      <c r="E162" s="269">
        <f t="shared" si="58"/>
        <v>0</v>
      </c>
      <c r="F162" s="546"/>
      <c r="G162" s="546"/>
      <c r="H162" s="546"/>
      <c r="I162" s="269">
        <f t="shared" si="56"/>
        <v>0</v>
      </c>
      <c r="J162" s="546"/>
      <c r="K162" s="546"/>
      <c r="L162" s="546"/>
      <c r="M162" s="269">
        <f t="shared" si="57"/>
        <v>0</v>
      </c>
      <c r="N162" s="546"/>
    </row>
    <row r="163" spans="1:14" ht="18" hidden="1" customHeight="1">
      <c r="A163" s="594">
        <v>51902</v>
      </c>
      <c r="B163" s="594" t="s">
        <v>1307</v>
      </c>
      <c r="C163" s="546"/>
      <c r="D163" s="546"/>
      <c r="E163" s="269">
        <f t="shared" si="58"/>
        <v>0</v>
      </c>
      <c r="F163" s="546"/>
      <c r="G163" s="546"/>
      <c r="H163" s="546"/>
      <c r="I163" s="269">
        <f t="shared" si="56"/>
        <v>0</v>
      </c>
      <c r="J163" s="546"/>
      <c r="K163" s="546"/>
      <c r="L163" s="546"/>
      <c r="M163" s="269">
        <f t="shared" si="57"/>
        <v>0</v>
      </c>
      <c r="N163" s="546"/>
    </row>
    <row r="164" spans="1:14" ht="18" hidden="1" customHeight="1">
      <c r="A164" s="594">
        <v>51999</v>
      </c>
      <c r="B164" s="594" t="s">
        <v>347</v>
      </c>
      <c r="C164" s="546"/>
      <c r="D164" s="546"/>
      <c r="E164" s="269">
        <f t="shared" si="58"/>
        <v>0</v>
      </c>
      <c r="F164" s="546"/>
      <c r="G164" s="546"/>
      <c r="H164" s="546"/>
      <c r="I164" s="269">
        <f t="shared" si="56"/>
        <v>0</v>
      </c>
      <c r="J164" s="546"/>
      <c r="K164" s="546"/>
      <c r="L164" s="546"/>
      <c r="M164" s="269">
        <f t="shared" si="57"/>
        <v>0</v>
      </c>
      <c r="N164" s="546"/>
    </row>
    <row r="165" spans="1:14" ht="18" hidden="1" customHeight="1">
      <c r="A165" s="594"/>
      <c r="B165" s="594"/>
      <c r="C165" s="546"/>
      <c r="D165" s="546"/>
      <c r="E165" s="269">
        <f t="shared" si="58"/>
        <v>0</v>
      </c>
      <c r="F165" s="546"/>
      <c r="G165" s="546"/>
      <c r="H165" s="546"/>
      <c r="I165" s="269">
        <f t="shared" si="56"/>
        <v>0</v>
      </c>
      <c r="J165" s="546"/>
      <c r="K165" s="546"/>
      <c r="L165" s="546"/>
      <c r="M165" s="269">
        <f t="shared" si="57"/>
        <v>0</v>
      </c>
      <c r="N165" s="546"/>
    </row>
    <row r="166" spans="1:14" s="8" customFormat="1" ht="18" hidden="1" customHeight="1">
      <c r="A166" s="1150">
        <v>54</v>
      </c>
      <c r="B166" s="1150" t="s">
        <v>1308</v>
      </c>
      <c r="C166" s="269"/>
      <c r="D166" s="269"/>
      <c r="E166" s="269"/>
      <c r="F166" s="269"/>
      <c r="G166" s="269">
        <f>SUM(G167,G194,G200,G219,G224,)</f>
        <v>1500</v>
      </c>
      <c r="H166" s="269">
        <f>SUM(H167,H194,H200,H219,H224,)</f>
        <v>795.13</v>
      </c>
      <c r="I166" s="269">
        <f t="shared" si="56"/>
        <v>1060.1733333333334</v>
      </c>
      <c r="J166" s="269"/>
      <c r="K166" s="269">
        <f>SUM(K167,K194,K219,K200,K224,)</f>
        <v>125593.54999999999</v>
      </c>
      <c r="L166" s="269">
        <f>SUM(L167,L194,L219,L200,L224,)</f>
        <v>81419.48000000001</v>
      </c>
      <c r="M166" s="269">
        <f t="shared" si="57"/>
        <v>108559.30666666667</v>
      </c>
      <c r="N166" s="269"/>
    </row>
    <row r="167" spans="1:14" s="8" customFormat="1" ht="18" hidden="1" customHeight="1">
      <c r="A167" s="1150">
        <v>541</v>
      </c>
      <c r="B167" s="1150" t="s">
        <v>349</v>
      </c>
      <c r="C167" s="269"/>
      <c r="D167" s="269"/>
      <c r="E167" s="269"/>
      <c r="F167" s="269"/>
      <c r="G167" s="269"/>
      <c r="H167" s="269"/>
      <c r="I167" s="269"/>
      <c r="J167" s="269"/>
      <c r="K167" s="269">
        <f>SUM(K168:K178,K186:K193)</f>
        <v>10348.26</v>
      </c>
      <c r="L167" s="269">
        <f>SUM(L168:L178,L186:L193)</f>
        <v>5688.55</v>
      </c>
      <c r="M167" s="269">
        <f t="shared" si="57"/>
        <v>7584.7333333333336</v>
      </c>
      <c r="N167" s="269"/>
    </row>
    <row r="168" spans="1:14" ht="18" hidden="1" customHeight="1">
      <c r="A168" s="594">
        <v>54101</v>
      </c>
      <c r="B168" s="594" t="s">
        <v>1309</v>
      </c>
      <c r="C168" s="546"/>
      <c r="D168" s="546"/>
      <c r="E168" s="269"/>
      <c r="F168" s="546"/>
      <c r="G168" s="546"/>
      <c r="H168" s="546"/>
      <c r="I168" s="269">
        <f t="shared" si="56"/>
        <v>0</v>
      </c>
      <c r="J168" s="546"/>
      <c r="K168" s="546"/>
      <c r="L168" s="546"/>
      <c r="M168" s="269">
        <f t="shared" si="57"/>
        <v>0</v>
      </c>
      <c r="N168" s="546"/>
    </row>
    <row r="169" spans="1:14" ht="18" hidden="1" customHeight="1">
      <c r="A169" s="594">
        <v>54103</v>
      </c>
      <c r="B169" s="594" t="s">
        <v>1310</v>
      </c>
      <c r="C169" s="546"/>
      <c r="D169" s="546"/>
      <c r="E169" s="269"/>
      <c r="F169" s="546"/>
      <c r="G169" s="546"/>
      <c r="H169" s="546"/>
      <c r="I169" s="269">
        <f t="shared" si="56"/>
        <v>0</v>
      </c>
      <c r="J169" s="546"/>
      <c r="K169" s="546"/>
      <c r="L169" s="546"/>
      <c r="M169" s="269">
        <f t="shared" si="57"/>
        <v>0</v>
      </c>
      <c r="N169" s="546"/>
    </row>
    <row r="170" spans="1:14" ht="18" hidden="1" customHeight="1">
      <c r="A170" s="594">
        <v>54104</v>
      </c>
      <c r="B170" s="594" t="s">
        <v>1311</v>
      </c>
      <c r="C170" s="546"/>
      <c r="D170" s="546"/>
      <c r="E170" s="269"/>
      <c r="F170" s="546"/>
      <c r="G170" s="546"/>
      <c r="H170" s="546"/>
      <c r="I170" s="269">
        <f t="shared" si="56"/>
        <v>0</v>
      </c>
      <c r="J170" s="546"/>
      <c r="K170" s="546"/>
      <c r="L170" s="546"/>
      <c r="M170" s="269">
        <f t="shared" si="57"/>
        <v>0</v>
      </c>
      <c r="N170" s="546"/>
    </row>
    <row r="171" spans="1:14" ht="18" hidden="1" customHeight="1">
      <c r="A171" s="594">
        <v>54105</v>
      </c>
      <c r="B171" s="594" t="s">
        <v>1312</v>
      </c>
      <c r="C171" s="546"/>
      <c r="D171" s="546"/>
      <c r="E171" s="269"/>
      <c r="F171" s="546"/>
      <c r="G171" s="546"/>
      <c r="H171" s="546"/>
      <c r="I171" s="269">
        <f t="shared" si="56"/>
        <v>0</v>
      </c>
      <c r="J171" s="546"/>
      <c r="K171" s="546"/>
      <c r="L171" s="546"/>
      <c r="M171" s="269">
        <f t="shared" si="57"/>
        <v>0</v>
      </c>
      <c r="N171" s="546"/>
    </row>
    <row r="172" spans="1:14" ht="18" hidden="1" customHeight="1">
      <c r="A172" s="594">
        <v>54106</v>
      </c>
      <c r="B172" s="594" t="s">
        <v>1313</v>
      </c>
      <c r="C172" s="546"/>
      <c r="D172" s="546"/>
      <c r="E172" s="269"/>
      <c r="F172" s="546"/>
      <c r="G172" s="546"/>
      <c r="H172" s="546"/>
      <c r="I172" s="269">
        <f t="shared" si="56"/>
        <v>0</v>
      </c>
      <c r="J172" s="546"/>
      <c r="K172" s="546"/>
      <c r="L172" s="546"/>
      <c r="M172" s="269">
        <f t="shared" si="57"/>
        <v>0</v>
      </c>
      <c r="N172" s="546"/>
    </row>
    <row r="173" spans="1:14" ht="18" hidden="1" customHeight="1">
      <c r="A173" s="594">
        <v>54107</v>
      </c>
      <c r="B173" s="594" t="s">
        <v>1314</v>
      </c>
      <c r="C173" s="546"/>
      <c r="D173" s="546"/>
      <c r="E173" s="269"/>
      <c r="F173" s="546"/>
      <c r="G173" s="546"/>
      <c r="H173" s="546"/>
      <c r="I173" s="269"/>
      <c r="J173" s="546"/>
      <c r="K173" s="546"/>
      <c r="L173" s="546"/>
      <c r="M173" s="269">
        <f t="shared" si="57"/>
        <v>0</v>
      </c>
      <c r="N173" s="546"/>
    </row>
    <row r="174" spans="1:14" ht="18" hidden="1" customHeight="1">
      <c r="A174" s="594">
        <v>54108</v>
      </c>
      <c r="B174" s="594" t="s">
        <v>1315</v>
      </c>
      <c r="C174" s="546"/>
      <c r="D174" s="546"/>
      <c r="E174" s="269"/>
      <c r="F174" s="546"/>
      <c r="G174" s="546"/>
      <c r="H174" s="546"/>
      <c r="I174" s="269"/>
      <c r="J174" s="546"/>
      <c r="K174" s="546"/>
      <c r="L174" s="546"/>
      <c r="M174" s="269">
        <f t="shared" si="57"/>
        <v>0</v>
      </c>
      <c r="N174" s="546"/>
    </row>
    <row r="175" spans="1:14" ht="18" hidden="1" customHeight="1">
      <c r="A175" s="594">
        <v>54109</v>
      </c>
      <c r="B175" s="594" t="s">
        <v>1316</v>
      </c>
      <c r="C175" s="546"/>
      <c r="D175" s="546"/>
      <c r="E175" s="269"/>
      <c r="F175" s="546"/>
      <c r="G175" s="546"/>
      <c r="H175" s="546"/>
      <c r="I175" s="269"/>
      <c r="J175" s="546"/>
      <c r="K175" s="546"/>
      <c r="L175" s="546"/>
      <c r="M175" s="269">
        <f t="shared" si="57"/>
        <v>0</v>
      </c>
      <c r="N175" s="546"/>
    </row>
    <row r="176" spans="1:14" ht="18" hidden="1" customHeight="1">
      <c r="A176" s="594">
        <v>54110</v>
      </c>
      <c r="B176" s="594" t="s">
        <v>1317</v>
      </c>
      <c r="C176" s="546"/>
      <c r="D176" s="546"/>
      <c r="E176" s="269"/>
      <c r="F176" s="546"/>
      <c r="G176" s="546"/>
      <c r="H176" s="546"/>
      <c r="I176" s="269"/>
      <c r="J176" s="546"/>
      <c r="K176" s="546"/>
      <c r="L176" s="546"/>
      <c r="M176" s="269">
        <f t="shared" si="57"/>
        <v>0</v>
      </c>
      <c r="N176" s="546"/>
    </row>
    <row r="177" spans="1:14" ht="18" hidden="1" customHeight="1">
      <c r="A177" s="594">
        <v>54111</v>
      </c>
      <c r="B177" s="594" t="s">
        <v>1318</v>
      </c>
      <c r="C177" s="546"/>
      <c r="D177" s="546"/>
      <c r="E177" s="269"/>
      <c r="F177" s="546"/>
      <c r="G177" s="546"/>
      <c r="H177" s="546"/>
      <c r="I177" s="269"/>
      <c r="J177" s="546"/>
      <c r="K177" s="546"/>
      <c r="L177" s="546"/>
      <c r="M177" s="269">
        <f t="shared" si="57"/>
        <v>0</v>
      </c>
      <c r="N177" s="546"/>
    </row>
    <row r="178" spans="1:14" ht="18" hidden="1" customHeight="1">
      <c r="A178" s="594">
        <v>54112</v>
      </c>
      <c r="B178" s="594" t="s">
        <v>1319</v>
      </c>
      <c r="C178" s="546"/>
      <c r="D178" s="546"/>
      <c r="E178" s="269"/>
      <c r="F178" s="546"/>
      <c r="G178" s="546"/>
      <c r="H178" s="546"/>
      <c r="I178" s="269"/>
      <c r="J178" s="546"/>
      <c r="K178" s="546"/>
      <c r="L178" s="546"/>
      <c r="M178" s="269">
        <f t="shared" si="57"/>
        <v>0</v>
      </c>
      <c r="N178" s="546"/>
    </row>
    <row r="179" spans="1:14" hidden="1"/>
    <row r="180" spans="1:14" hidden="1"/>
    <row r="181" spans="1:14" hidden="1"/>
    <row r="182" spans="1:14" ht="18" hidden="1" customHeight="1">
      <c r="A182" s="1729" t="s">
        <v>1385</v>
      </c>
      <c r="B182" s="1729"/>
      <c r="C182" s="1729"/>
      <c r="D182" s="1729"/>
      <c r="E182" s="1729"/>
      <c r="F182" s="1729"/>
      <c r="G182" s="1729"/>
      <c r="H182" s="1729"/>
      <c r="I182" s="1729"/>
      <c r="J182" s="1729"/>
      <c r="K182" s="1729"/>
      <c r="L182" s="1729"/>
      <c r="M182" s="1729"/>
      <c r="N182" s="1729"/>
    </row>
    <row r="183" spans="1:14" ht="19.5" hidden="1" customHeight="1">
      <c r="A183" s="1727" t="s">
        <v>1066</v>
      </c>
      <c r="B183" s="1727" t="s">
        <v>539</v>
      </c>
      <c r="C183" s="1728" t="s">
        <v>1378</v>
      </c>
      <c r="D183" s="1728"/>
      <c r="E183" s="1728"/>
      <c r="F183" s="1728"/>
      <c r="G183" s="1728" t="s">
        <v>1379</v>
      </c>
      <c r="H183" s="1728"/>
      <c r="I183" s="1728"/>
      <c r="J183" s="1728"/>
      <c r="K183" s="1728" t="s">
        <v>1380</v>
      </c>
      <c r="L183" s="1728"/>
      <c r="M183" s="1728"/>
      <c r="N183" s="1728"/>
    </row>
    <row r="184" spans="1:14" s="8" customFormat="1" ht="19.5" hidden="1" customHeight="1">
      <c r="A184" s="1727"/>
      <c r="B184" s="1727"/>
      <c r="C184" s="1726" t="s">
        <v>1381</v>
      </c>
      <c r="D184" s="1726" t="s">
        <v>1382</v>
      </c>
      <c r="E184" s="1724" t="s">
        <v>1383</v>
      </c>
      <c r="F184" s="1724" t="s">
        <v>1384</v>
      </c>
      <c r="G184" s="1726" t="s">
        <v>1381</v>
      </c>
      <c r="H184" s="1726" t="s">
        <v>1382</v>
      </c>
      <c r="I184" s="1724" t="s">
        <v>1383</v>
      </c>
      <c r="J184" s="1724" t="s">
        <v>1384</v>
      </c>
      <c r="K184" s="1726" t="s">
        <v>1381</v>
      </c>
      <c r="L184" s="1726" t="s">
        <v>1382</v>
      </c>
      <c r="M184" s="1724" t="s">
        <v>1383</v>
      </c>
      <c r="N184" s="1724" t="s">
        <v>1384</v>
      </c>
    </row>
    <row r="185" spans="1:14" s="8" customFormat="1" ht="12.75" hidden="1" customHeight="1">
      <c r="A185" s="1727"/>
      <c r="B185" s="1727"/>
      <c r="C185" s="1726"/>
      <c r="D185" s="1726"/>
      <c r="E185" s="1724"/>
      <c r="F185" s="1724"/>
      <c r="G185" s="1726"/>
      <c r="H185" s="1726"/>
      <c r="I185" s="1724"/>
      <c r="J185" s="1724"/>
      <c r="K185" s="1726"/>
      <c r="L185" s="1726"/>
      <c r="M185" s="1724"/>
      <c r="N185" s="1724"/>
    </row>
    <row r="186" spans="1:14" ht="18" hidden="1" customHeight="1">
      <c r="A186" s="594">
        <v>54114</v>
      </c>
      <c r="B186" s="594" t="s">
        <v>1323</v>
      </c>
      <c r="C186" s="546"/>
      <c r="D186" s="546"/>
      <c r="E186" s="269"/>
      <c r="F186" s="546"/>
      <c r="G186" s="546"/>
      <c r="H186" s="546"/>
      <c r="I186" s="269"/>
      <c r="J186" s="546"/>
      <c r="K186" s="546"/>
      <c r="L186" s="546"/>
      <c r="M186" s="269">
        <f t="shared" ref="M186:M213" si="59">(L186/9)*12</f>
        <v>0</v>
      </c>
      <c r="N186" s="546"/>
    </row>
    <row r="187" spans="1:14" ht="18" hidden="1" customHeight="1">
      <c r="A187" s="594">
        <v>54115</v>
      </c>
      <c r="B187" s="594" t="s">
        <v>1324</v>
      </c>
      <c r="C187" s="546"/>
      <c r="D187" s="546"/>
      <c r="E187" s="269"/>
      <c r="F187" s="546"/>
      <c r="G187" s="546"/>
      <c r="H187" s="546"/>
      <c r="I187" s="269"/>
      <c r="J187" s="546"/>
      <c r="K187" s="546"/>
      <c r="L187" s="546"/>
      <c r="M187" s="269">
        <f t="shared" si="59"/>
        <v>0</v>
      </c>
      <c r="N187" s="546"/>
    </row>
    <row r="188" spans="1:14" ht="18" hidden="1" customHeight="1">
      <c r="A188" s="594">
        <v>54116</v>
      </c>
      <c r="B188" s="594" t="s">
        <v>1325</v>
      </c>
      <c r="C188" s="546"/>
      <c r="D188" s="546"/>
      <c r="E188" s="269"/>
      <c r="F188" s="546"/>
      <c r="G188" s="546"/>
      <c r="H188" s="546"/>
      <c r="I188" s="269"/>
      <c r="J188" s="546"/>
      <c r="K188" s="546"/>
      <c r="L188" s="546"/>
      <c r="M188" s="269">
        <f t="shared" si="59"/>
        <v>0</v>
      </c>
      <c r="N188" s="546"/>
    </row>
    <row r="189" spans="1:14" ht="18" hidden="1" customHeight="1">
      <c r="A189" s="594">
        <v>54117</v>
      </c>
      <c r="B189" s="594" t="s">
        <v>1326</v>
      </c>
      <c r="C189" s="546"/>
      <c r="D189" s="546"/>
      <c r="E189" s="269"/>
      <c r="F189" s="546"/>
      <c r="G189" s="546"/>
      <c r="H189" s="546"/>
      <c r="I189" s="269"/>
      <c r="J189" s="546"/>
      <c r="K189" s="546"/>
      <c r="L189" s="546"/>
      <c r="M189" s="269">
        <f t="shared" si="59"/>
        <v>0</v>
      </c>
      <c r="N189" s="546"/>
    </row>
    <row r="190" spans="1:14" ht="18" hidden="1" customHeight="1">
      <c r="A190" s="594">
        <v>54118</v>
      </c>
      <c r="B190" s="594" t="s">
        <v>1327</v>
      </c>
      <c r="C190" s="546"/>
      <c r="D190" s="546"/>
      <c r="E190" s="269">
        <f t="shared" ref="E190" si="60">(D190/10)*12</f>
        <v>0</v>
      </c>
      <c r="F190" s="546"/>
      <c r="G190" s="546"/>
      <c r="H190" s="546"/>
      <c r="I190" s="269"/>
      <c r="J190" s="546"/>
      <c r="K190" s="546"/>
      <c r="L190" s="546"/>
      <c r="M190" s="269">
        <f t="shared" si="59"/>
        <v>0</v>
      </c>
      <c r="N190" s="546"/>
    </row>
    <row r="191" spans="1:14" s="1151" customFormat="1" ht="18" hidden="1" customHeight="1">
      <c r="A191" s="594">
        <v>54119</v>
      </c>
      <c r="B191" s="594" t="s">
        <v>1328</v>
      </c>
      <c r="C191" s="546"/>
      <c r="D191" s="546"/>
      <c r="E191" s="546"/>
      <c r="F191" s="546"/>
      <c r="G191" s="546"/>
      <c r="H191" s="546"/>
      <c r="I191" s="546"/>
      <c r="J191" s="546"/>
      <c r="K191" s="546">
        <v>2500</v>
      </c>
      <c r="L191" s="546">
        <v>1938.55</v>
      </c>
      <c r="M191" s="546">
        <f t="shared" si="59"/>
        <v>2584.7333333333336</v>
      </c>
      <c r="N191" s="546"/>
    </row>
    <row r="192" spans="1:14" s="1154" customFormat="1" ht="18" hidden="1" customHeight="1">
      <c r="A192" s="1152">
        <v>54121</v>
      </c>
      <c r="B192" s="1152" t="s">
        <v>1329</v>
      </c>
      <c r="C192" s="1153"/>
      <c r="D192" s="1153"/>
      <c r="E192" s="1153"/>
      <c r="F192" s="1153"/>
      <c r="G192" s="1153"/>
      <c r="H192" s="1153"/>
      <c r="I192" s="1153"/>
      <c r="J192" s="1153"/>
      <c r="K192" s="1153">
        <v>7848.26</v>
      </c>
      <c r="L192" s="1153">
        <v>3750</v>
      </c>
      <c r="M192" s="1153">
        <f t="shared" si="59"/>
        <v>5000</v>
      </c>
      <c r="N192" s="1153">
        <v>6400</v>
      </c>
    </row>
    <row r="193" spans="1:14" ht="18" hidden="1" customHeight="1">
      <c r="A193" s="594">
        <v>54199</v>
      </c>
      <c r="B193" s="594" t="s">
        <v>491</v>
      </c>
      <c r="C193" s="546"/>
      <c r="D193" s="546"/>
      <c r="E193" s="269">
        <f t="shared" ref="E193:E198" si="61">(D193/9)*12</f>
        <v>0</v>
      </c>
      <c r="F193" s="546"/>
      <c r="G193" s="546"/>
      <c r="H193" s="546"/>
      <c r="I193" s="269"/>
      <c r="J193" s="546"/>
      <c r="K193" s="546"/>
      <c r="L193" s="546"/>
      <c r="M193" s="269">
        <f t="shared" si="59"/>
        <v>0</v>
      </c>
      <c r="N193" s="546"/>
    </row>
    <row r="194" spans="1:14" s="8" customFormat="1" ht="18" hidden="1" customHeight="1">
      <c r="A194" s="1150">
        <v>542</v>
      </c>
      <c r="B194" s="1150" t="s">
        <v>353</v>
      </c>
      <c r="C194" s="269">
        <f>SUM(C195:C197)</f>
        <v>1500</v>
      </c>
      <c r="D194" s="269">
        <f t="shared" ref="D194" si="62">SUM(D195:D197)</f>
        <v>795.13</v>
      </c>
      <c r="E194" s="269">
        <f t="shared" si="61"/>
        <v>1060.1733333333334</v>
      </c>
      <c r="F194" s="269"/>
      <c r="G194" s="269">
        <f>SUM(G195:G197)</f>
        <v>1500</v>
      </c>
      <c r="H194" s="269">
        <f t="shared" ref="H194:I194" si="63">SUM(H195:H197)</f>
        <v>795.13</v>
      </c>
      <c r="I194" s="269">
        <f t="shared" si="63"/>
        <v>1060.1733333333334</v>
      </c>
      <c r="J194" s="269"/>
      <c r="K194" s="269">
        <f>SUM(K195:K199)</f>
        <v>110245.29</v>
      </c>
      <c r="L194" s="269">
        <f>SUM(L195:L199)</f>
        <v>73344.73000000001</v>
      </c>
      <c r="M194" s="269">
        <f t="shared" si="59"/>
        <v>97792.973333333342</v>
      </c>
      <c r="N194" s="269"/>
    </row>
    <row r="195" spans="1:14" s="1151" customFormat="1" ht="18" hidden="1" customHeight="1">
      <c r="A195" s="594">
        <v>54201</v>
      </c>
      <c r="B195" s="594" t="s">
        <v>1330</v>
      </c>
      <c r="C195" s="546">
        <v>1500</v>
      </c>
      <c r="D195" s="546">
        <v>795.13</v>
      </c>
      <c r="E195" s="546">
        <f t="shared" si="61"/>
        <v>1060.1733333333334</v>
      </c>
      <c r="F195" s="546"/>
      <c r="G195" s="546">
        <v>1500</v>
      </c>
      <c r="H195" s="546">
        <v>795.13</v>
      </c>
      <c r="I195" s="546">
        <f t="shared" ref="I195" si="64">(H195/9)*12</f>
        <v>1060.1733333333334</v>
      </c>
      <c r="J195" s="546"/>
      <c r="K195" s="546">
        <v>2000</v>
      </c>
      <c r="L195" s="546">
        <v>1299.49</v>
      </c>
      <c r="M195" s="546">
        <f t="shared" si="59"/>
        <v>1732.6533333333334</v>
      </c>
      <c r="N195" s="546"/>
    </row>
    <row r="196" spans="1:14" s="1151" customFormat="1" ht="18" hidden="1" customHeight="1">
      <c r="A196" s="594">
        <v>54202</v>
      </c>
      <c r="B196" s="594" t="s">
        <v>1331</v>
      </c>
      <c r="C196" s="546"/>
      <c r="D196" s="546"/>
      <c r="E196" s="546">
        <f t="shared" si="61"/>
        <v>0</v>
      </c>
      <c r="F196" s="546"/>
      <c r="G196" s="546"/>
      <c r="H196" s="546"/>
      <c r="I196" s="546"/>
      <c r="J196" s="546"/>
      <c r="K196" s="546"/>
      <c r="L196" s="546"/>
      <c r="M196" s="546">
        <f t="shared" si="59"/>
        <v>0</v>
      </c>
      <c r="N196" s="546"/>
    </row>
    <row r="197" spans="1:14" s="1151" customFormat="1" ht="18" hidden="1" customHeight="1">
      <c r="A197" s="594">
        <v>54203</v>
      </c>
      <c r="B197" s="594" t="s">
        <v>1332</v>
      </c>
      <c r="C197" s="546"/>
      <c r="D197" s="546"/>
      <c r="E197" s="546">
        <f t="shared" si="61"/>
        <v>0</v>
      </c>
      <c r="F197" s="546"/>
      <c r="G197" s="546"/>
      <c r="H197" s="546"/>
      <c r="I197" s="546"/>
      <c r="J197" s="546"/>
      <c r="K197" s="546"/>
      <c r="L197" s="546"/>
      <c r="M197" s="546">
        <f t="shared" si="59"/>
        <v>0</v>
      </c>
      <c r="N197" s="546"/>
    </row>
    <row r="198" spans="1:14" s="1151" customFormat="1" ht="18" hidden="1" customHeight="1">
      <c r="A198" s="594">
        <v>54204</v>
      </c>
      <c r="B198" s="594" t="s">
        <v>1333</v>
      </c>
      <c r="C198" s="546"/>
      <c r="D198" s="546"/>
      <c r="E198" s="546">
        <f t="shared" si="61"/>
        <v>0</v>
      </c>
      <c r="F198" s="546"/>
      <c r="G198" s="546"/>
      <c r="H198" s="546"/>
      <c r="I198" s="546"/>
      <c r="J198" s="546"/>
      <c r="K198" s="546"/>
      <c r="L198" s="546"/>
      <c r="M198" s="546">
        <f t="shared" si="59"/>
        <v>0</v>
      </c>
      <c r="N198" s="546"/>
    </row>
    <row r="199" spans="1:14" s="1154" customFormat="1" ht="18" hidden="1" customHeight="1">
      <c r="A199" s="1152">
        <v>54205</v>
      </c>
      <c r="B199" s="1152" t="s">
        <v>233</v>
      </c>
      <c r="C199" s="1153"/>
      <c r="D199" s="1153"/>
      <c r="E199" s="1153"/>
      <c r="F199" s="1153"/>
      <c r="G199" s="1153"/>
      <c r="H199" s="1153"/>
      <c r="I199" s="1153"/>
      <c r="J199" s="1153"/>
      <c r="K199" s="1153">
        <v>108245.29</v>
      </c>
      <c r="L199" s="1153">
        <v>72045.240000000005</v>
      </c>
      <c r="M199" s="1153">
        <f t="shared" si="59"/>
        <v>96060.32</v>
      </c>
      <c r="N199" s="1153">
        <v>135600</v>
      </c>
    </row>
    <row r="200" spans="1:14" s="8" customFormat="1" ht="18" hidden="1" customHeight="1">
      <c r="A200" s="1150">
        <v>543</v>
      </c>
      <c r="B200" s="1150" t="s">
        <v>509</v>
      </c>
      <c r="C200" s="269"/>
      <c r="D200" s="269"/>
      <c r="E200" s="269"/>
      <c r="F200" s="269"/>
      <c r="G200" s="269"/>
      <c r="H200" s="269"/>
      <c r="I200" s="269"/>
      <c r="J200" s="269"/>
      <c r="K200" s="269">
        <f>SUM(K201:K213)</f>
        <v>5000</v>
      </c>
      <c r="L200" s="269">
        <f t="shared" ref="L200:M200" si="65">SUM(L201:L213)</f>
        <v>2386.1999999999998</v>
      </c>
      <c r="M200" s="269">
        <f t="shared" si="65"/>
        <v>3181.6</v>
      </c>
      <c r="N200" s="269"/>
    </row>
    <row r="201" spans="1:14" s="1151" customFormat="1" ht="18" hidden="1" customHeight="1">
      <c r="A201" s="594">
        <v>54301</v>
      </c>
      <c r="B201" s="594" t="s">
        <v>1334</v>
      </c>
      <c r="C201" s="546"/>
      <c r="D201" s="546"/>
      <c r="E201" s="546"/>
      <c r="F201" s="546"/>
      <c r="G201" s="546"/>
      <c r="H201" s="546"/>
      <c r="I201" s="546"/>
      <c r="J201" s="546"/>
      <c r="K201" s="546">
        <v>5000</v>
      </c>
      <c r="L201" s="546">
        <v>2386.1999999999998</v>
      </c>
      <c r="M201" s="546">
        <f t="shared" ref="M201" si="66">(L201/9)*12</f>
        <v>3181.6</v>
      </c>
      <c r="N201" s="546"/>
    </row>
    <row r="202" spans="1:14" ht="18" hidden="1" customHeight="1">
      <c r="A202" s="594">
        <v>54302</v>
      </c>
      <c r="B202" s="594" t="s">
        <v>1335</v>
      </c>
      <c r="C202" s="546"/>
      <c r="D202" s="546"/>
      <c r="E202" s="269"/>
      <c r="F202" s="546"/>
      <c r="G202" s="546"/>
      <c r="H202" s="546"/>
      <c r="I202" s="269"/>
      <c r="J202" s="546"/>
      <c r="K202" s="546"/>
      <c r="L202" s="546"/>
      <c r="M202" s="269">
        <f t="shared" si="59"/>
        <v>0</v>
      </c>
      <c r="N202" s="546"/>
    </row>
    <row r="203" spans="1:14" ht="18" hidden="1" customHeight="1">
      <c r="A203" s="594">
        <v>54303</v>
      </c>
      <c r="B203" s="594" t="s">
        <v>1336</v>
      </c>
      <c r="C203" s="546"/>
      <c r="D203" s="546"/>
      <c r="E203" s="269"/>
      <c r="F203" s="546"/>
      <c r="G203" s="546"/>
      <c r="H203" s="546"/>
      <c r="I203" s="269"/>
      <c r="J203" s="546"/>
      <c r="K203" s="546"/>
      <c r="L203" s="546"/>
      <c r="M203" s="269">
        <f t="shared" si="59"/>
        <v>0</v>
      </c>
      <c r="N203" s="546"/>
    </row>
    <row r="204" spans="1:14" ht="18" hidden="1" customHeight="1">
      <c r="A204" s="594">
        <v>54304</v>
      </c>
      <c r="B204" s="594" t="s">
        <v>1337</v>
      </c>
      <c r="C204" s="546"/>
      <c r="D204" s="546"/>
      <c r="E204" s="269"/>
      <c r="F204" s="546"/>
      <c r="G204" s="546"/>
      <c r="H204" s="546"/>
      <c r="I204" s="269"/>
      <c r="J204" s="546"/>
      <c r="K204" s="546"/>
      <c r="L204" s="546"/>
      <c r="M204" s="269">
        <f t="shared" si="59"/>
        <v>0</v>
      </c>
      <c r="N204" s="546"/>
    </row>
    <row r="205" spans="1:14" ht="18" hidden="1" customHeight="1">
      <c r="A205" s="594">
        <v>54305</v>
      </c>
      <c r="B205" s="594" t="s">
        <v>1338</v>
      </c>
      <c r="C205" s="546"/>
      <c r="D205" s="546"/>
      <c r="E205" s="269"/>
      <c r="F205" s="546"/>
      <c r="G205" s="546"/>
      <c r="H205" s="546"/>
      <c r="I205" s="269"/>
      <c r="J205" s="546"/>
      <c r="K205" s="546"/>
      <c r="L205" s="546"/>
      <c r="M205" s="269">
        <f t="shared" si="59"/>
        <v>0</v>
      </c>
      <c r="N205" s="546"/>
    </row>
    <row r="206" spans="1:14" ht="18" hidden="1" customHeight="1">
      <c r="A206" s="594">
        <v>54308</v>
      </c>
      <c r="B206" s="594" t="s">
        <v>1339</v>
      </c>
      <c r="C206" s="546"/>
      <c r="D206" s="546"/>
      <c r="E206" s="269"/>
      <c r="F206" s="546"/>
      <c r="G206" s="546"/>
      <c r="H206" s="546"/>
      <c r="I206" s="269"/>
      <c r="J206" s="546"/>
      <c r="K206" s="546"/>
      <c r="L206" s="546"/>
      <c r="M206" s="269">
        <f t="shared" si="59"/>
        <v>0</v>
      </c>
      <c r="N206" s="546"/>
    </row>
    <row r="207" spans="1:14" ht="18" hidden="1" customHeight="1">
      <c r="A207" s="594">
        <v>54310</v>
      </c>
      <c r="B207" s="594" t="s">
        <v>1340</v>
      </c>
      <c r="C207" s="546"/>
      <c r="D207" s="546"/>
      <c r="E207" s="269"/>
      <c r="F207" s="546"/>
      <c r="G207" s="546"/>
      <c r="H207" s="546"/>
      <c r="I207" s="269"/>
      <c r="J207" s="546"/>
      <c r="K207" s="546"/>
      <c r="L207" s="546"/>
      <c r="M207" s="269">
        <f t="shared" si="59"/>
        <v>0</v>
      </c>
      <c r="N207" s="546"/>
    </row>
    <row r="208" spans="1:14" ht="18" hidden="1" customHeight="1">
      <c r="A208" s="594">
        <v>54311</v>
      </c>
      <c r="B208" s="594" t="s">
        <v>1341</v>
      </c>
      <c r="C208" s="546"/>
      <c r="D208" s="546"/>
      <c r="E208" s="269"/>
      <c r="F208" s="546"/>
      <c r="G208" s="546"/>
      <c r="H208" s="546"/>
      <c r="I208" s="269"/>
      <c r="J208" s="546"/>
      <c r="K208" s="546"/>
      <c r="L208" s="546"/>
      <c r="M208" s="269">
        <f t="shared" si="59"/>
        <v>0</v>
      </c>
      <c r="N208" s="546"/>
    </row>
    <row r="209" spans="1:14" ht="18" hidden="1" customHeight="1">
      <c r="A209" s="594">
        <v>54313</v>
      </c>
      <c r="B209" s="594" t="s">
        <v>1342</v>
      </c>
      <c r="C209" s="546"/>
      <c r="D209" s="546"/>
      <c r="E209" s="269"/>
      <c r="F209" s="546"/>
      <c r="G209" s="546"/>
      <c r="H209" s="546"/>
      <c r="I209" s="269"/>
      <c r="J209" s="546"/>
      <c r="K209" s="546"/>
      <c r="L209" s="546"/>
      <c r="M209" s="269">
        <f t="shared" si="59"/>
        <v>0</v>
      </c>
      <c r="N209" s="546"/>
    </row>
    <row r="210" spans="1:14" ht="18" hidden="1" customHeight="1">
      <c r="A210" s="594">
        <v>54314</v>
      </c>
      <c r="B210" s="594" t="s">
        <v>1343</v>
      </c>
      <c r="C210" s="546"/>
      <c r="D210" s="546"/>
      <c r="E210" s="269"/>
      <c r="F210" s="546"/>
      <c r="G210" s="546"/>
      <c r="H210" s="546"/>
      <c r="I210" s="269"/>
      <c r="J210" s="546"/>
      <c r="K210" s="546"/>
      <c r="L210" s="546"/>
      <c r="M210" s="269">
        <f t="shared" si="59"/>
        <v>0</v>
      </c>
      <c r="N210" s="546"/>
    </row>
    <row r="211" spans="1:14" ht="18" hidden="1" customHeight="1">
      <c r="A211" s="594">
        <v>54316</v>
      </c>
      <c r="B211" s="594" t="s">
        <v>1344</v>
      </c>
      <c r="C211" s="546"/>
      <c r="D211" s="546"/>
      <c r="E211" s="269"/>
      <c r="F211" s="546"/>
      <c r="G211" s="546"/>
      <c r="H211" s="546"/>
      <c r="I211" s="269"/>
      <c r="J211" s="546"/>
      <c r="K211" s="546"/>
      <c r="L211" s="546"/>
      <c r="M211" s="269">
        <f t="shared" si="59"/>
        <v>0</v>
      </c>
      <c r="N211" s="546"/>
    </row>
    <row r="212" spans="1:14" ht="18" hidden="1" customHeight="1">
      <c r="A212" s="594">
        <v>54317</v>
      </c>
      <c r="B212" s="594" t="s">
        <v>1345</v>
      </c>
      <c r="C212" s="546"/>
      <c r="D212" s="546"/>
      <c r="E212" s="269"/>
      <c r="F212" s="546"/>
      <c r="G212" s="546"/>
      <c r="H212" s="546"/>
      <c r="I212" s="269"/>
      <c r="J212" s="546"/>
      <c r="K212" s="546"/>
      <c r="L212" s="546"/>
      <c r="M212" s="269">
        <f t="shared" si="59"/>
        <v>0</v>
      </c>
      <c r="N212" s="546"/>
    </row>
    <row r="213" spans="1:14" ht="18" hidden="1" customHeight="1">
      <c r="A213" s="594">
        <v>54399</v>
      </c>
      <c r="B213" s="594" t="s">
        <v>509</v>
      </c>
      <c r="C213" s="546"/>
      <c r="D213" s="546"/>
      <c r="E213" s="269"/>
      <c r="F213" s="546"/>
      <c r="G213" s="546"/>
      <c r="H213" s="546"/>
      <c r="I213" s="269"/>
      <c r="J213" s="546"/>
      <c r="K213" s="546"/>
      <c r="L213" s="546"/>
      <c r="M213" s="269">
        <f t="shared" si="59"/>
        <v>0</v>
      </c>
      <c r="N213" s="546"/>
    </row>
    <row r="214" spans="1:14" ht="18" hidden="1" customHeight="1">
      <c r="A214" s="1155"/>
      <c r="B214" s="1155"/>
      <c r="C214" s="1156"/>
      <c r="D214" s="1156"/>
      <c r="E214" s="1149"/>
      <c r="F214" s="1156"/>
      <c r="G214" s="1156"/>
      <c r="H214" s="1156"/>
      <c r="I214" s="1149"/>
      <c r="J214" s="1156"/>
      <c r="K214" s="1156"/>
      <c r="L214" s="1156"/>
      <c r="M214" s="1149"/>
      <c r="N214" s="1156"/>
    </row>
    <row r="215" spans="1:14" ht="16.5" hidden="1" customHeight="1">
      <c r="A215" s="1723" t="s">
        <v>1385</v>
      </c>
      <c r="B215" s="1723"/>
      <c r="C215" s="1723"/>
      <c r="D215" s="1723"/>
      <c r="E215" s="1723"/>
      <c r="F215" s="1723"/>
      <c r="G215" s="1723"/>
      <c r="H215" s="1723"/>
      <c r="I215" s="1723"/>
      <c r="J215" s="1723"/>
      <c r="K215" s="1723"/>
      <c r="L215" s="1723"/>
      <c r="M215" s="1723"/>
      <c r="N215" s="1723"/>
    </row>
    <row r="216" spans="1:14" ht="16.5" hidden="1" customHeight="1">
      <c r="A216" s="1727" t="s">
        <v>1066</v>
      </c>
      <c r="B216" s="1727" t="s">
        <v>539</v>
      </c>
      <c r="C216" s="1728" t="s">
        <v>1378</v>
      </c>
      <c r="D216" s="1728"/>
      <c r="E216" s="1728"/>
      <c r="F216" s="1728"/>
      <c r="G216" s="1728" t="s">
        <v>1379</v>
      </c>
      <c r="H216" s="1728"/>
      <c r="I216" s="1728"/>
      <c r="J216" s="1728"/>
      <c r="K216" s="1728" t="s">
        <v>1380</v>
      </c>
      <c r="L216" s="1728"/>
      <c r="M216" s="1728"/>
      <c r="N216" s="1728"/>
    </row>
    <row r="217" spans="1:14" ht="16.5" hidden="1" customHeight="1">
      <c r="A217" s="1727"/>
      <c r="B217" s="1727"/>
      <c r="C217" s="1726" t="s">
        <v>1381</v>
      </c>
      <c r="D217" s="1726" t="s">
        <v>1382</v>
      </c>
      <c r="E217" s="1724" t="s">
        <v>1383</v>
      </c>
      <c r="F217" s="1724" t="s">
        <v>1384</v>
      </c>
      <c r="G217" s="1726" t="s">
        <v>1381</v>
      </c>
      <c r="H217" s="1726" t="s">
        <v>1382</v>
      </c>
      <c r="I217" s="1724" t="s">
        <v>1383</v>
      </c>
      <c r="J217" s="1724" t="s">
        <v>1384</v>
      </c>
      <c r="K217" s="1726" t="s">
        <v>1381</v>
      </c>
      <c r="L217" s="1726" t="s">
        <v>1382</v>
      </c>
      <c r="M217" s="1724" t="s">
        <v>1383</v>
      </c>
      <c r="N217" s="1724" t="s">
        <v>1384</v>
      </c>
    </row>
    <row r="218" spans="1:14" ht="16.5" hidden="1" customHeight="1">
      <c r="A218" s="1727"/>
      <c r="B218" s="1727"/>
      <c r="C218" s="1726"/>
      <c r="D218" s="1726"/>
      <c r="E218" s="1724"/>
      <c r="F218" s="1724"/>
      <c r="G218" s="1726"/>
      <c r="H218" s="1726"/>
      <c r="I218" s="1724"/>
      <c r="J218" s="1724"/>
      <c r="K218" s="1726"/>
      <c r="L218" s="1726"/>
      <c r="M218" s="1724"/>
      <c r="N218" s="1724"/>
    </row>
    <row r="219" spans="1:14" s="8" customFormat="1" ht="18" hidden="1" customHeight="1">
      <c r="A219" s="1150">
        <v>544</v>
      </c>
      <c r="B219" s="1150" t="s">
        <v>1346</v>
      </c>
      <c r="C219" s="269"/>
      <c r="D219" s="269"/>
      <c r="E219" s="269"/>
      <c r="F219" s="269"/>
      <c r="G219" s="269"/>
      <c r="H219" s="269"/>
      <c r="I219" s="269"/>
      <c r="J219" s="269"/>
      <c r="K219" s="269"/>
      <c r="L219" s="269"/>
      <c r="M219" s="269"/>
      <c r="N219" s="269"/>
    </row>
    <row r="220" spans="1:14" ht="18" hidden="1" customHeight="1">
      <c r="A220" s="594">
        <v>54401</v>
      </c>
      <c r="B220" s="594" t="s">
        <v>1347</v>
      </c>
      <c r="C220" s="546"/>
      <c r="D220" s="546"/>
      <c r="E220" s="269"/>
      <c r="F220" s="546"/>
      <c r="G220" s="546"/>
      <c r="H220" s="546"/>
      <c r="I220" s="269"/>
      <c r="J220" s="546"/>
      <c r="K220" s="546"/>
      <c r="L220" s="546"/>
      <c r="M220" s="269"/>
      <c r="N220" s="546"/>
    </row>
    <row r="221" spans="1:14" ht="18" hidden="1" customHeight="1">
      <c r="A221" s="594">
        <v>54402</v>
      </c>
      <c r="B221" s="594" t="s">
        <v>1348</v>
      </c>
      <c r="C221" s="546"/>
      <c r="D221" s="546"/>
      <c r="E221" s="269"/>
      <c r="F221" s="546"/>
      <c r="G221" s="546"/>
      <c r="H221" s="546"/>
      <c r="I221" s="269"/>
      <c r="J221" s="546"/>
      <c r="K221" s="546"/>
      <c r="L221" s="546"/>
      <c r="M221" s="269"/>
      <c r="N221" s="546"/>
    </row>
    <row r="222" spans="1:14" ht="18" hidden="1" customHeight="1">
      <c r="A222" s="594">
        <v>54403</v>
      </c>
      <c r="B222" s="594" t="s">
        <v>1349</v>
      </c>
      <c r="C222" s="546"/>
      <c r="D222" s="546"/>
      <c r="E222" s="269"/>
      <c r="F222" s="546"/>
      <c r="G222" s="546"/>
      <c r="H222" s="546"/>
      <c r="I222" s="269"/>
      <c r="J222" s="546"/>
      <c r="K222" s="546"/>
      <c r="L222" s="546"/>
      <c r="M222" s="269"/>
      <c r="N222" s="546"/>
    </row>
    <row r="223" spans="1:14" ht="18" hidden="1" customHeight="1">
      <c r="A223" s="594">
        <v>54404</v>
      </c>
      <c r="B223" s="594" t="s">
        <v>1350</v>
      </c>
      <c r="C223" s="546"/>
      <c r="D223" s="546"/>
      <c r="E223" s="269"/>
      <c r="F223" s="546"/>
      <c r="G223" s="546"/>
      <c r="H223" s="546"/>
      <c r="I223" s="269"/>
      <c r="J223" s="546"/>
      <c r="K223" s="546"/>
      <c r="L223" s="546"/>
      <c r="M223" s="269"/>
      <c r="N223" s="546"/>
    </row>
    <row r="224" spans="1:14" s="8" customFormat="1" ht="18" hidden="1" customHeight="1">
      <c r="A224" s="1150">
        <v>545</v>
      </c>
      <c r="B224" s="1150" t="s">
        <v>514</v>
      </c>
      <c r="C224" s="269"/>
      <c r="D224" s="269"/>
      <c r="E224" s="269"/>
      <c r="F224" s="269"/>
      <c r="G224" s="269"/>
      <c r="H224" s="269"/>
      <c r="I224" s="269"/>
      <c r="J224" s="269"/>
      <c r="K224" s="269"/>
      <c r="L224" s="269"/>
      <c r="M224" s="269"/>
      <c r="N224" s="269"/>
    </row>
    <row r="225" spans="1:14" ht="18" hidden="1" customHeight="1">
      <c r="A225" s="594">
        <v>54503</v>
      </c>
      <c r="B225" s="594" t="s">
        <v>1351</v>
      </c>
      <c r="C225" s="546"/>
      <c r="D225" s="546"/>
      <c r="E225" s="269"/>
      <c r="F225" s="546"/>
      <c r="G225" s="546"/>
      <c r="H225" s="546"/>
      <c r="I225" s="269"/>
      <c r="J225" s="546"/>
      <c r="K225" s="546"/>
      <c r="L225" s="546"/>
      <c r="M225" s="269"/>
      <c r="N225" s="546"/>
    </row>
    <row r="226" spans="1:14" ht="18" hidden="1" customHeight="1">
      <c r="A226" s="594">
        <v>54505</v>
      </c>
      <c r="B226" s="594" t="s">
        <v>1352</v>
      </c>
      <c r="C226" s="546"/>
      <c r="D226" s="546"/>
      <c r="E226" s="269"/>
      <c r="F226" s="546"/>
      <c r="G226" s="546"/>
      <c r="H226" s="546"/>
      <c r="I226" s="269"/>
      <c r="J226" s="546"/>
      <c r="K226" s="546"/>
      <c r="L226" s="546"/>
      <c r="M226" s="269"/>
      <c r="N226" s="546"/>
    </row>
    <row r="227" spans="1:14" ht="18" hidden="1" customHeight="1">
      <c r="A227" s="594">
        <v>54508</v>
      </c>
      <c r="B227" s="594" t="s">
        <v>1353</v>
      </c>
      <c r="C227" s="546"/>
      <c r="D227" s="546"/>
      <c r="E227" s="546"/>
      <c r="F227" s="546"/>
      <c r="G227" s="546"/>
      <c r="H227" s="546"/>
      <c r="I227" s="269"/>
      <c r="J227" s="546"/>
      <c r="K227" s="546"/>
      <c r="L227" s="546"/>
      <c r="M227" s="269"/>
      <c r="N227" s="546"/>
    </row>
    <row r="228" spans="1:14" ht="18" hidden="1" customHeight="1">
      <c r="A228" s="594">
        <v>54599</v>
      </c>
      <c r="B228" s="594" t="s">
        <v>514</v>
      </c>
      <c r="C228" s="546"/>
      <c r="D228" s="546"/>
      <c r="E228" s="546"/>
      <c r="F228" s="546"/>
      <c r="G228" s="546"/>
      <c r="H228" s="546"/>
      <c r="I228" s="269"/>
      <c r="J228" s="546"/>
      <c r="K228" s="546"/>
      <c r="L228" s="546"/>
      <c r="M228" s="269"/>
      <c r="N228" s="546"/>
    </row>
    <row r="229" spans="1:14" s="8" customFormat="1" ht="18" hidden="1" customHeight="1">
      <c r="A229" s="1150">
        <v>55</v>
      </c>
      <c r="B229" s="1150" t="s">
        <v>355</v>
      </c>
      <c r="C229" s="269"/>
      <c r="D229" s="269"/>
      <c r="E229" s="269"/>
      <c r="F229" s="269"/>
      <c r="G229" s="269"/>
      <c r="H229" s="269"/>
      <c r="I229" s="269"/>
      <c r="J229" s="269"/>
      <c r="K229" s="269"/>
      <c r="L229" s="269"/>
      <c r="M229" s="269"/>
      <c r="N229" s="269"/>
    </row>
    <row r="230" spans="1:14" s="8" customFormat="1" ht="18" hidden="1" customHeight="1">
      <c r="A230" s="1150">
        <v>553</v>
      </c>
      <c r="B230" s="1150" t="s">
        <v>1354</v>
      </c>
      <c r="C230" s="269"/>
      <c r="D230" s="269"/>
      <c r="E230" s="269"/>
      <c r="F230" s="269"/>
      <c r="G230" s="269"/>
      <c r="H230" s="269"/>
      <c r="I230" s="269"/>
      <c r="J230" s="269"/>
      <c r="K230" s="269"/>
      <c r="L230" s="269"/>
      <c r="M230" s="269"/>
      <c r="N230" s="269"/>
    </row>
    <row r="231" spans="1:14" s="1151" customFormat="1" ht="18" hidden="1" customHeight="1">
      <c r="A231" s="594">
        <v>55308</v>
      </c>
      <c r="B231" s="594" t="s">
        <v>1088</v>
      </c>
      <c r="C231" s="546"/>
      <c r="D231" s="546"/>
      <c r="E231" s="546"/>
      <c r="F231" s="546"/>
      <c r="G231" s="546"/>
      <c r="H231" s="546"/>
      <c r="I231" s="546"/>
      <c r="J231" s="546"/>
      <c r="K231" s="546"/>
      <c r="L231" s="546"/>
      <c r="M231" s="546"/>
      <c r="N231" s="546"/>
    </row>
    <row r="232" spans="1:14" s="8" customFormat="1" ht="18" hidden="1" customHeight="1">
      <c r="A232" s="1150">
        <v>556</v>
      </c>
      <c r="B232" s="1150" t="s">
        <v>1355</v>
      </c>
      <c r="C232" s="269"/>
      <c r="D232" s="269"/>
      <c r="E232" s="269"/>
      <c r="F232" s="269"/>
      <c r="G232" s="269"/>
      <c r="H232" s="269"/>
      <c r="I232" s="269"/>
      <c r="J232" s="269"/>
      <c r="K232" s="269"/>
      <c r="L232" s="269"/>
      <c r="M232" s="269"/>
      <c r="N232" s="269"/>
    </row>
    <row r="233" spans="1:14" ht="18" hidden="1" customHeight="1">
      <c r="A233" s="594">
        <v>55602</v>
      </c>
      <c r="B233" s="594" t="s">
        <v>1356</v>
      </c>
      <c r="C233" s="546"/>
      <c r="D233" s="546"/>
      <c r="E233" s="269"/>
      <c r="F233" s="546"/>
      <c r="G233" s="546"/>
      <c r="H233" s="546"/>
      <c r="I233" s="269"/>
      <c r="J233" s="546"/>
      <c r="K233" s="546"/>
      <c r="L233" s="546"/>
      <c r="M233" s="269"/>
      <c r="N233" s="546"/>
    </row>
    <row r="234" spans="1:14" ht="18" hidden="1" customHeight="1">
      <c r="A234" s="594">
        <v>55603</v>
      </c>
      <c r="B234" s="594" t="s">
        <v>1357</v>
      </c>
      <c r="C234" s="546"/>
      <c r="D234" s="546"/>
      <c r="E234" s="269"/>
      <c r="F234" s="546"/>
      <c r="G234" s="546"/>
      <c r="H234" s="546"/>
      <c r="I234" s="269"/>
      <c r="J234" s="546"/>
      <c r="K234" s="546"/>
      <c r="L234" s="546"/>
      <c r="M234" s="269"/>
      <c r="N234" s="546"/>
    </row>
    <row r="235" spans="1:14" ht="16.5" hidden="1" customHeight="1">
      <c r="A235" s="594"/>
      <c r="B235" s="594"/>
      <c r="C235" s="546"/>
      <c r="D235" s="546"/>
      <c r="E235" s="269"/>
      <c r="F235" s="546"/>
      <c r="G235" s="546"/>
      <c r="H235" s="546"/>
      <c r="I235" s="269"/>
      <c r="J235" s="546"/>
      <c r="K235" s="546"/>
      <c r="L235" s="546"/>
      <c r="M235" s="269"/>
      <c r="N235" s="546"/>
    </row>
    <row r="236" spans="1:14" s="8" customFormat="1" ht="18" hidden="1" customHeight="1">
      <c r="A236" s="1150">
        <v>557</v>
      </c>
      <c r="B236" s="1150" t="s">
        <v>1358</v>
      </c>
      <c r="C236" s="269"/>
      <c r="D236" s="269"/>
      <c r="E236" s="269"/>
      <c r="F236" s="269"/>
      <c r="G236" s="269"/>
      <c r="H236" s="269"/>
      <c r="I236" s="269"/>
      <c r="J236" s="269"/>
      <c r="K236" s="269"/>
      <c r="L236" s="269"/>
      <c r="M236" s="269"/>
      <c r="N236" s="269"/>
    </row>
    <row r="237" spans="1:14" s="8" customFormat="1" ht="18" hidden="1" customHeight="1">
      <c r="A237" s="594">
        <v>55702</v>
      </c>
      <c r="B237" s="594" t="s">
        <v>1359</v>
      </c>
      <c r="C237" s="546"/>
      <c r="D237" s="546"/>
      <c r="E237" s="269"/>
      <c r="F237" s="546"/>
      <c r="G237" s="546"/>
      <c r="H237" s="546"/>
      <c r="I237" s="269"/>
      <c r="J237" s="546"/>
      <c r="K237" s="546"/>
      <c r="L237" s="546"/>
      <c r="M237" s="269"/>
      <c r="N237" s="546"/>
    </row>
    <row r="238" spans="1:14" s="8" customFormat="1" ht="18" hidden="1" customHeight="1">
      <c r="A238" s="594">
        <v>55703</v>
      </c>
      <c r="B238" s="594" t="s">
        <v>1360</v>
      </c>
      <c r="C238" s="546"/>
      <c r="D238" s="546"/>
      <c r="E238" s="269"/>
      <c r="F238" s="546"/>
      <c r="G238" s="546"/>
      <c r="H238" s="546"/>
      <c r="I238" s="269"/>
      <c r="J238" s="546"/>
      <c r="K238" s="546"/>
      <c r="L238" s="546"/>
      <c r="M238" s="269"/>
      <c r="N238" s="546"/>
    </row>
    <row r="239" spans="1:14" ht="18" hidden="1" customHeight="1">
      <c r="A239" s="594">
        <v>55799</v>
      </c>
      <c r="B239" s="594" t="s">
        <v>1361</v>
      </c>
      <c r="C239" s="546"/>
      <c r="D239" s="546"/>
      <c r="E239" s="269"/>
      <c r="F239" s="546"/>
      <c r="G239" s="546"/>
      <c r="H239" s="546"/>
      <c r="I239" s="269"/>
      <c r="J239" s="546"/>
      <c r="K239" s="546"/>
      <c r="L239" s="546"/>
      <c r="M239" s="269"/>
      <c r="N239" s="546"/>
    </row>
    <row r="240" spans="1:14" ht="18" hidden="1" customHeight="1">
      <c r="A240" s="1150">
        <v>56</v>
      </c>
      <c r="B240" s="1150" t="s">
        <v>307</v>
      </c>
      <c r="C240" s="269">
        <f>C241</f>
        <v>13658.04</v>
      </c>
      <c r="D240" s="269">
        <f t="shared" ref="D240:D241" si="67">D241</f>
        <v>6314.93</v>
      </c>
      <c r="E240" s="269">
        <f t="shared" ref="E240:E242" si="68">(D240/9)*12</f>
        <v>8419.9066666666658</v>
      </c>
      <c r="F240" s="269"/>
      <c r="G240" s="269"/>
      <c r="H240" s="269"/>
      <c r="I240" s="269"/>
      <c r="J240" s="269"/>
      <c r="K240" s="269"/>
      <c r="L240" s="269"/>
      <c r="M240" s="269"/>
      <c r="N240" s="269"/>
    </row>
    <row r="241" spans="1:14" ht="18" hidden="1" customHeight="1">
      <c r="A241" s="1150">
        <v>562</v>
      </c>
      <c r="B241" s="1150" t="s">
        <v>1362</v>
      </c>
      <c r="C241" s="269">
        <f>C242</f>
        <v>13658.04</v>
      </c>
      <c r="D241" s="269">
        <f t="shared" si="67"/>
        <v>6314.93</v>
      </c>
      <c r="E241" s="269">
        <f t="shared" si="68"/>
        <v>8419.9066666666658</v>
      </c>
      <c r="F241" s="269"/>
      <c r="G241" s="269"/>
      <c r="H241" s="269"/>
      <c r="I241" s="269"/>
      <c r="J241" s="269"/>
      <c r="K241" s="269"/>
      <c r="L241" s="269"/>
      <c r="M241" s="269"/>
      <c r="N241" s="269"/>
    </row>
    <row r="242" spans="1:14" s="1151" customFormat="1" ht="18" hidden="1" customHeight="1">
      <c r="A242" s="594">
        <v>56201</v>
      </c>
      <c r="B242" s="594" t="s">
        <v>1362</v>
      </c>
      <c r="C242" s="546">
        <v>13658.04</v>
      </c>
      <c r="D242" s="546">
        <v>6314.93</v>
      </c>
      <c r="E242" s="546">
        <f t="shared" si="68"/>
        <v>8419.9066666666658</v>
      </c>
      <c r="F242" s="546"/>
      <c r="G242" s="546"/>
      <c r="H242" s="546"/>
      <c r="I242" s="546"/>
      <c r="J242" s="546"/>
      <c r="K242" s="546"/>
      <c r="L242" s="546"/>
      <c r="M242" s="546"/>
      <c r="N242" s="546"/>
    </row>
    <row r="243" spans="1:14" ht="18" hidden="1" customHeight="1">
      <c r="A243" s="1150">
        <v>563</v>
      </c>
      <c r="B243" s="1150" t="s">
        <v>1363</v>
      </c>
      <c r="C243" s="269"/>
      <c r="D243" s="269"/>
      <c r="E243" s="269"/>
      <c r="F243" s="269"/>
      <c r="G243" s="269"/>
      <c r="H243" s="269"/>
      <c r="I243" s="269"/>
      <c r="J243" s="269"/>
      <c r="K243" s="269"/>
      <c r="L243" s="269"/>
      <c r="M243" s="269"/>
      <c r="N243" s="269"/>
    </row>
    <row r="244" spans="1:14" ht="18" hidden="1" customHeight="1">
      <c r="A244" s="594">
        <v>56303</v>
      </c>
      <c r="B244" s="594" t="s">
        <v>1364</v>
      </c>
      <c r="C244" s="546"/>
      <c r="D244" s="546"/>
      <c r="E244" s="269"/>
      <c r="F244" s="546"/>
      <c r="G244" s="546"/>
      <c r="H244" s="546"/>
      <c r="I244" s="269"/>
      <c r="J244" s="546"/>
      <c r="K244" s="546"/>
      <c r="L244" s="546"/>
      <c r="M244" s="269"/>
      <c r="N244" s="546"/>
    </row>
    <row r="245" spans="1:14" ht="18" hidden="1" customHeight="1">
      <c r="A245" s="594">
        <v>56304</v>
      </c>
      <c r="B245" s="594" t="s">
        <v>1365</v>
      </c>
      <c r="C245" s="546"/>
      <c r="D245" s="546"/>
      <c r="E245" s="269"/>
      <c r="F245" s="546"/>
      <c r="G245" s="546"/>
      <c r="H245" s="546"/>
      <c r="I245" s="269"/>
      <c r="J245" s="546"/>
      <c r="K245" s="546"/>
      <c r="L245" s="546"/>
      <c r="M245" s="269"/>
      <c r="N245" s="546"/>
    </row>
    <row r="246" spans="1:14" ht="18" hidden="1" customHeight="1">
      <c r="A246" s="594">
        <v>56305</v>
      </c>
      <c r="B246" s="594" t="s">
        <v>1366</v>
      </c>
      <c r="C246" s="546"/>
      <c r="D246" s="546"/>
      <c r="E246" s="546"/>
      <c r="F246" s="546"/>
      <c r="G246" s="546"/>
      <c r="H246" s="546"/>
      <c r="I246" s="269"/>
      <c r="J246" s="546"/>
      <c r="K246" s="546"/>
      <c r="L246" s="546"/>
      <c r="M246" s="269"/>
      <c r="N246" s="546"/>
    </row>
    <row r="247" spans="1:14" ht="18" hidden="1" customHeight="1">
      <c r="A247" s="1150">
        <v>61</v>
      </c>
      <c r="B247" s="1150" t="s">
        <v>361</v>
      </c>
      <c r="C247" s="269"/>
      <c r="D247" s="269"/>
      <c r="E247" s="269"/>
      <c r="F247" s="546"/>
      <c r="G247" s="546"/>
      <c r="H247" s="546"/>
      <c r="I247" s="269"/>
      <c r="J247" s="546"/>
      <c r="K247" s="546"/>
      <c r="L247" s="546"/>
      <c r="M247" s="269"/>
      <c r="N247" s="546"/>
    </row>
    <row r="248" spans="1:14" ht="18" hidden="1" customHeight="1">
      <c r="A248" s="1150">
        <v>611</v>
      </c>
      <c r="B248" s="1150" t="s">
        <v>1367</v>
      </c>
      <c r="C248" s="269"/>
      <c r="D248" s="269"/>
      <c r="E248" s="269"/>
      <c r="F248" s="546"/>
      <c r="G248" s="546"/>
      <c r="H248" s="546"/>
      <c r="I248" s="269"/>
      <c r="J248" s="546"/>
      <c r="K248" s="546"/>
      <c r="L248" s="546"/>
      <c r="M248" s="269"/>
      <c r="N248" s="546"/>
    </row>
    <row r="249" spans="1:14" s="8" customFormat="1" ht="18" hidden="1" customHeight="1">
      <c r="A249" s="594">
        <v>61101</v>
      </c>
      <c r="B249" s="594" t="s">
        <v>1368</v>
      </c>
      <c r="C249" s="546"/>
      <c r="D249" s="546"/>
      <c r="E249" s="269"/>
      <c r="F249" s="546"/>
      <c r="G249" s="546"/>
      <c r="H249" s="546"/>
      <c r="I249" s="269"/>
      <c r="J249" s="546"/>
      <c r="K249" s="546"/>
      <c r="L249" s="546"/>
      <c r="M249" s="269"/>
      <c r="N249" s="546"/>
    </row>
    <row r="250" spans="1:14" ht="18" hidden="1" customHeight="1">
      <c r="A250" s="594">
        <v>61102</v>
      </c>
      <c r="B250" s="594" t="s">
        <v>1369</v>
      </c>
      <c r="C250" s="546"/>
      <c r="D250" s="546"/>
      <c r="E250" s="269"/>
      <c r="F250" s="546"/>
      <c r="G250" s="546"/>
      <c r="H250" s="546"/>
      <c r="I250" s="269"/>
      <c r="J250" s="546"/>
      <c r="K250" s="546"/>
      <c r="L250" s="546"/>
      <c r="M250" s="269"/>
      <c r="N250" s="546"/>
    </row>
    <row r="251" spans="1:14" ht="18" hidden="1" customHeight="1">
      <c r="A251" s="594">
        <v>61104</v>
      </c>
      <c r="B251" s="594" t="s">
        <v>1370</v>
      </c>
      <c r="C251" s="546"/>
      <c r="D251" s="546"/>
      <c r="E251" s="269"/>
      <c r="F251" s="269"/>
      <c r="G251" s="269"/>
      <c r="H251" s="269"/>
      <c r="I251" s="269"/>
      <c r="J251" s="269"/>
      <c r="K251" s="269"/>
      <c r="L251" s="269"/>
      <c r="M251" s="269"/>
      <c r="N251" s="269"/>
    </row>
    <row r="252" spans="1:14" ht="18" hidden="1" customHeight="1">
      <c r="A252" s="594">
        <v>61108</v>
      </c>
      <c r="B252" s="594" t="s">
        <v>1372</v>
      </c>
      <c r="C252" s="546"/>
      <c r="D252" s="546"/>
      <c r="E252" s="269"/>
      <c r="F252" s="546"/>
      <c r="G252" s="546"/>
      <c r="H252" s="546"/>
      <c r="I252" s="269"/>
      <c r="J252" s="546"/>
      <c r="K252" s="546"/>
      <c r="L252" s="546"/>
      <c r="M252" s="269"/>
      <c r="N252" s="546"/>
    </row>
    <row r="253" spans="1:14" ht="18" hidden="1" customHeight="1">
      <c r="A253" s="594">
        <v>61199</v>
      </c>
      <c r="B253" s="594" t="s">
        <v>1373</v>
      </c>
      <c r="C253" s="546"/>
      <c r="D253" s="546"/>
      <c r="E253" s="269"/>
      <c r="F253" s="546"/>
      <c r="G253" s="546"/>
      <c r="H253" s="546"/>
      <c r="I253" s="269"/>
      <c r="J253" s="546"/>
      <c r="K253" s="546"/>
      <c r="L253" s="546"/>
      <c r="M253" s="269"/>
      <c r="N253" s="546"/>
    </row>
    <row r="254" spans="1:14" ht="18" hidden="1" customHeight="1">
      <c r="A254" s="1150">
        <v>72</v>
      </c>
      <c r="B254" s="1150" t="s">
        <v>310</v>
      </c>
      <c r="C254" s="269">
        <f>C255</f>
        <v>13302.8</v>
      </c>
      <c r="D254" s="269"/>
      <c r="E254" s="546"/>
      <c r="F254" s="546"/>
      <c r="G254" s="546"/>
      <c r="H254" s="546"/>
      <c r="I254" s="269"/>
      <c r="J254" s="546"/>
      <c r="K254" s="546"/>
      <c r="L254" s="546"/>
      <c r="M254" s="269"/>
      <c r="N254" s="546"/>
    </row>
    <row r="255" spans="1:14" s="1151" customFormat="1" ht="18" hidden="1" customHeight="1">
      <c r="A255" s="594">
        <v>721</v>
      </c>
      <c r="B255" s="594" t="s">
        <v>1386</v>
      </c>
      <c r="C255" s="546">
        <f>C256</f>
        <v>13302.8</v>
      </c>
      <c r="D255" s="546"/>
      <c r="E255" s="546"/>
      <c r="F255" s="546"/>
      <c r="G255" s="546"/>
      <c r="H255" s="546"/>
      <c r="I255" s="546"/>
      <c r="J255" s="546"/>
      <c r="K255" s="546"/>
      <c r="L255" s="546"/>
      <c r="M255" s="546"/>
      <c r="N255" s="546"/>
    </row>
    <row r="256" spans="1:14" s="1151" customFormat="1" ht="18" hidden="1" customHeight="1">
      <c r="A256" s="594">
        <v>72101</v>
      </c>
      <c r="B256" s="594" t="s">
        <v>1386</v>
      </c>
      <c r="C256" s="546">
        <v>13302.8</v>
      </c>
      <c r="D256" s="546"/>
      <c r="E256" s="546"/>
      <c r="F256" s="546"/>
      <c r="G256" s="546"/>
      <c r="H256" s="546"/>
      <c r="I256" s="546"/>
      <c r="J256" s="546"/>
      <c r="K256" s="546"/>
      <c r="L256" s="546"/>
      <c r="M256" s="546"/>
      <c r="N256" s="546"/>
    </row>
    <row r="257" spans="1:14" ht="18" hidden="1" customHeight="1">
      <c r="A257" s="594"/>
      <c r="B257" s="594"/>
      <c r="C257" s="546"/>
      <c r="D257" s="546"/>
      <c r="E257" s="546"/>
      <c r="F257" s="546"/>
      <c r="G257" s="546"/>
      <c r="H257" s="546"/>
      <c r="I257" s="546"/>
      <c r="J257" s="546"/>
      <c r="K257" s="546"/>
      <c r="L257" s="546"/>
      <c r="M257" s="546"/>
      <c r="N257" s="546"/>
    </row>
    <row r="258" spans="1:14" ht="18" hidden="1" customHeight="1">
      <c r="A258" s="1725" t="s">
        <v>415</v>
      </c>
      <c r="B258" s="1725"/>
      <c r="C258" s="269">
        <f>C141+C166+C229+C240+C247+C254+C194</f>
        <v>122230.56999999999</v>
      </c>
      <c r="D258" s="269">
        <f>D141+D166+D229+D240+D247+D254+D194</f>
        <v>68054.790000000008</v>
      </c>
      <c r="E258" s="269">
        <f>E141+E166+E229+E240+E247+E254+E194</f>
        <v>90739.720000000016</v>
      </c>
      <c r="F258" s="269"/>
      <c r="G258" s="269">
        <f>G141+G166+G229+G240+G247</f>
        <v>71336.259999999995</v>
      </c>
      <c r="H258" s="269">
        <f>H141+H166+H229+H240+H247</f>
        <v>45871.599999999991</v>
      </c>
      <c r="I258" s="269">
        <f>I141+I166+I229+I240+I247</f>
        <v>61162.133333333331</v>
      </c>
      <c r="J258" s="269"/>
      <c r="K258" s="269">
        <f>K141+K166+K229+K240+K247</f>
        <v>241600</v>
      </c>
      <c r="L258" s="269">
        <f>L141+L166+L229+L240+L247</f>
        <v>155781.59000000003</v>
      </c>
      <c r="M258" s="269">
        <f>M141+M166+M229+M240+M247</f>
        <v>207708.78666666668</v>
      </c>
      <c r="N258" s="269"/>
    </row>
    <row r="282" ht="12.75" customHeight="1"/>
    <row r="283" ht="21" customHeight="1"/>
    <row r="284" ht="18" customHeight="1"/>
    <row r="285" ht="18" customHeight="1"/>
    <row r="286" ht="18" customHeight="1"/>
    <row r="287" ht="18" customHeight="1"/>
  </sheetData>
  <mergeCells count="113">
    <mergeCell ref="A2:N2"/>
    <mergeCell ref="A3:A5"/>
    <mergeCell ref="B3:B5"/>
    <mergeCell ref="C3:F3"/>
    <mergeCell ref="G3:J3"/>
    <mergeCell ref="K3:N3"/>
    <mergeCell ref="L4:L5"/>
    <mergeCell ref="M4:M5"/>
    <mergeCell ref="N4:N5"/>
    <mergeCell ref="O3:O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47:N47"/>
    <mergeCell ref="A48:A50"/>
    <mergeCell ref="B48:B50"/>
    <mergeCell ref="C48:F48"/>
    <mergeCell ref="G48:J48"/>
    <mergeCell ref="K48:N48"/>
    <mergeCell ref="L49:L50"/>
    <mergeCell ref="M49:M50"/>
    <mergeCell ref="N49:N50"/>
    <mergeCell ref="O48:O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A88:N88"/>
    <mergeCell ref="A89:A91"/>
    <mergeCell ref="B89:B91"/>
    <mergeCell ref="C89:F89"/>
    <mergeCell ref="G89:J89"/>
    <mergeCell ref="K89:N89"/>
    <mergeCell ref="L90:L91"/>
    <mergeCell ref="M90:M91"/>
    <mergeCell ref="N90:N91"/>
    <mergeCell ref="O89:O91"/>
    <mergeCell ref="C90:C91"/>
    <mergeCell ref="D90:D91"/>
    <mergeCell ref="E90:E91"/>
    <mergeCell ref="F90:F91"/>
    <mergeCell ref="G90:G91"/>
    <mergeCell ref="H90:H91"/>
    <mergeCell ref="I90:I91"/>
    <mergeCell ref="J90:J91"/>
    <mergeCell ref="K90:K91"/>
    <mergeCell ref="A132:B132"/>
    <mergeCell ref="A137:N137"/>
    <mergeCell ref="A138:A140"/>
    <mergeCell ref="B138:B140"/>
    <mergeCell ref="C138:F138"/>
    <mergeCell ref="G138:J138"/>
    <mergeCell ref="K138:N138"/>
    <mergeCell ref="C139:C140"/>
    <mergeCell ref="D139:D140"/>
    <mergeCell ref="E139:E140"/>
    <mergeCell ref="L139:L140"/>
    <mergeCell ref="M139:M140"/>
    <mergeCell ref="N139:N140"/>
    <mergeCell ref="A182:N182"/>
    <mergeCell ref="A183:A185"/>
    <mergeCell ref="B183:B185"/>
    <mergeCell ref="C183:F183"/>
    <mergeCell ref="G183:J183"/>
    <mergeCell ref="K183:N183"/>
    <mergeCell ref="C184:C185"/>
    <mergeCell ref="F139:F140"/>
    <mergeCell ref="G139:G140"/>
    <mergeCell ref="H139:H140"/>
    <mergeCell ref="I139:I140"/>
    <mergeCell ref="J139:J140"/>
    <mergeCell ref="K139:K140"/>
    <mergeCell ref="J184:J185"/>
    <mergeCell ref="K184:K185"/>
    <mergeCell ref="L184:L185"/>
    <mergeCell ref="M184:M185"/>
    <mergeCell ref="N184:N185"/>
    <mergeCell ref="D184:D185"/>
    <mergeCell ref="E184:E185"/>
    <mergeCell ref="F184:F185"/>
    <mergeCell ref="G184:G185"/>
    <mergeCell ref="H184:H185"/>
    <mergeCell ref="I184:I185"/>
    <mergeCell ref="A215:N215"/>
    <mergeCell ref="N217:N218"/>
    <mergeCell ref="A258:B258"/>
    <mergeCell ref="H217:H218"/>
    <mergeCell ref="I217:I218"/>
    <mergeCell ref="J217:J218"/>
    <mergeCell ref="K217:K218"/>
    <mergeCell ref="L217:L218"/>
    <mergeCell ref="M217:M218"/>
    <mergeCell ref="A216:A218"/>
    <mergeCell ref="B216:B218"/>
    <mergeCell ref="C216:F216"/>
    <mergeCell ref="G216:J216"/>
    <mergeCell ref="K216:N216"/>
    <mergeCell ref="C217:C218"/>
    <mergeCell ref="D217:D218"/>
    <mergeCell ref="E217:E218"/>
    <mergeCell ref="F217:F218"/>
    <mergeCell ref="G217:G218"/>
  </mergeCells>
  <pageMargins left="1" right="1" top="1" bottom="1" header="0.5" footer="0.5"/>
  <pageSetup scale="95" fitToWidth="0" orientation="portrait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2:AB157"/>
  <sheetViews>
    <sheetView workbookViewId="0">
      <pane xSplit="15" ySplit="14" topLeftCell="P15" activePane="bottomRight" state="frozen"/>
      <selection activeCell="G115" sqref="G115"/>
      <selection pane="topRight" activeCell="G115" sqref="G115"/>
      <selection pane="bottomLeft" activeCell="G115" sqref="G115"/>
      <selection pane="bottomRight" activeCell="G115" sqref="G115"/>
    </sheetView>
  </sheetViews>
  <sheetFormatPr baseColWidth="10" defaultColWidth="11.42578125" defaultRowHeight="12.75"/>
  <cols>
    <col min="1" max="1" width="6.5703125" customWidth="1"/>
    <col min="2" max="2" width="29.42578125" customWidth="1"/>
    <col min="3" max="8" width="11.42578125" hidden="1" customWidth="1"/>
    <col min="9" max="9" width="11.140625" customWidth="1"/>
    <col min="10" max="15" width="0" hidden="1" customWidth="1"/>
    <col min="16" max="16" width="9.5703125" style="39" customWidth="1"/>
    <col min="17" max="27" width="8.5703125" style="39" customWidth="1"/>
    <col min="28" max="28" width="0" hidden="1" customWidth="1"/>
  </cols>
  <sheetData>
    <row r="2" spans="1:28" s="277" customFormat="1" ht="23.25">
      <c r="A2" s="1748" t="s">
        <v>765</v>
      </c>
      <c r="B2" s="1748"/>
      <c r="C2" s="1748"/>
      <c r="D2" s="1748"/>
      <c r="E2" s="1748"/>
      <c r="F2" s="1748"/>
      <c r="G2" s="1748"/>
      <c r="H2" s="1748"/>
      <c r="I2" s="1748"/>
      <c r="J2" s="1748"/>
      <c r="K2" s="1748"/>
      <c r="L2" s="1748"/>
      <c r="M2" s="1748"/>
      <c r="N2" s="1748"/>
      <c r="O2" s="1748"/>
      <c r="P2" s="1748"/>
      <c r="Q2" s="1748"/>
      <c r="R2" s="1748"/>
      <c r="S2" s="1748"/>
      <c r="T2" s="1748"/>
      <c r="U2" s="1748"/>
      <c r="V2" s="1748"/>
      <c r="W2" s="1748"/>
      <c r="X2" s="1748"/>
      <c r="Y2" s="1748"/>
      <c r="Z2" s="1748"/>
      <c r="AA2" s="1748"/>
    </row>
    <row r="3" spans="1:28" ht="13.5" thickBot="1"/>
    <row r="4" spans="1:28" s="426" customFormat="1" ht="15.75">
      <c r="A4" s="423"/>
      <c r="B4" s="424"/>
      <c r="C4" s="425"/>
      <c r="I4" s="1745" t="s">
        <v>460</v>
      </c>
      <c r="P4" s="1744" t="s">
        <v>461</v>
      </c>
      <c r="Q4" s="1744" t="s">
        <v>462</v>
      </c>
      <c r="R4" s="1744" t="s">
        <v>463</v>
      </c>
      <c r="S4" s="1744" t="s">
        <v>464</v>
      </c>
      <c r="T4" s="1744" t="s">
        <v>465</v>
      </c>
      <c r="U4" s="1744" t="s">
        <v>466</v>
      </c>
      <c r="V4" s="1744" t="s">
        <v>467</v>
      </c>
      <c r="W4" s="1744" t="s">
        <v>468</v>
      </c>
      <c r="X4" s="1744" t="s">
        <v>479</v>
      </c>
      <c r="Y4" s="1744" t="s">
        <v>470</v>
      </c>
      <c r="Z4" s="1744" t="s">
        <v>480</v>
      </c>
      <c r="AA4" s="1744" t="s">
        <v>481</v>
      </c>
      <c r="AB4" s="1747" t="s">
        <v>415</v>
      </c>
    </row>
    <row r="5" spans="1:28" s="426" customFormat="1" ht="31.5" customHeight="1">
      <c r="A5" s="427" t="s">
        <v>455</v>
      </c>
      <c r="B5" s="428"/>
      <c r="C5" s="429" t="s">
        <v>541</v>
      </c>
      <c r="D5" s="430"/>
      <c r="E5" s="431" t="s">
        <v>552</v>
      </c>
      <c r="F5" s="431"/>
      <c r="G5" s="431" t="s">
        <v>558</v>
      </c>
      <c r="H5" s="432"/>
      <c r="I5" s="1746"/>
      <c r="J5" s="1749" t="s">
        <v>260</v>
      </c>
      <c r="L5" s="431" t="s">
        <v>17</v>
      </c>
      <c r="M5" s="1750">
        <v>302</v>
      </c>
      <c r="N5" s="1750"/>
      <c r="O5" s="433" t="s">
        <v>582</v>
      </c>
      <c r="P5" s="1744"/>
      <c r="Q5" s="1744"/>
      <c r="R5" s="1744"/>
      <c r="S5" s="1744"/>
      <c r="T5" s="1744"/>
      <c r="U5" s="1744"/>
      <c r="V5" s="1744"/>
      <c r="W5" s="1744"/>
      <c r="X5" s="1744"/>
      <c r="Y5" s="1744"/>
      <c r="Z5" s="1744"/>
      <c r="AA5" s="1744"/>
      <c r="AB5" s="1747"/>
    </row>
    <row r="6" spans="1:28" s="8" customFormat="1" ht="3.75" customHeight="1">
      <c r="A6" s="434"/>
      <c r="B6" s="435"/>
      <c r="C6" s="436" t="s">
        <v>73</v>
      </c>
      <c r="D6" s="437">
        <v>0.25</v>
      </c>
      <c r="E6" s="400" t="s">
        <v>73</v>
      </c>
      <c r="F6" s="438">
        <v>0.25</v>
      </c>
      <c r="G6" s="400" t="s">
        <v>73</v>
      </c>
      <c r="H6" s="439">
        <v>0.25</v>
      </c>
      <c r="I6" s="1741" t="s">
        <v>459</v>
      </c>
      <c r="J6" s="1749"/>
      <c r="L6" s="440" t="s">
        <v>211</v>
      </c>
      <c r="M6" s="440" t="s">
        <v>211</v>
      </c>
      <c r="N6" s="440" t="s">
        <v>218</v>
      </c>
      <c r="O6" s="441" t="s">
        <v>211</v>
      </c>
      <c r="P6" s="1744"/>
      <c r="Q6" s="1744"/>
      <c r="R6" s="1744"/>
      <c r="S6" s="1744"/>
      <c r="T6" s="1744"/>
      <c r="U6" s="1744"/>
      <c r="V6" s="1744"/>
      <c r="W6" s="1744"/>
      <c r="X6" s="1744"/>
      <c r="Y6" s="1744"/>
      <c r="Z6" s="1744"/>
      <c r="AA6" s="1744"/>
      <c r="AB6" s="1747"/>
    </row>
    <row r="7" spans="1:28" s="8" customFormat="1" ht="11.25" customHeight="1" thickBot="1">
      <c r="A7" s="1751" t="s">
        <v>19</v>
      </c>
      <c r="B7" s="1752"/>
      <c r="C7" s="1753"/>
      <c r="D7" s="405"/>
      <c r="E7" s="255"/>
      <c r="F7" s="255"/>
      <c r="G7" s="255"/>
      <c r="H7" s="442"/>
      <c r="I7" s="1742"/>
      <c r="J7" s="405"/>
      <c r="K7" s="255"/>
      <c r="L7" s="255"/>
      <c r="M7" s="292"/>
      <c r="N7" s="292"/>
      <c r="O7" s="443"/>
      <c r="P7" s="1744"/>
      <c r="Q7" s="1744"/>
      <c r="R7" s="1744"/>
      <c r="S7" s="1744"/>
      <c r="T7" s="1744"/>
      <c r="U7" s="1744"/>
      <c r="V7" s="1744"/>
      <c r="W7" s="1744"/>
      <c r="X7" s="1744"/>
      <c r="Y7" s="1744"/>
      <c r="Z7" s="1744"/>
      <c r="AA7" s="1744"/>
      <c r="AB7" s="1747"/>
    </row>
    <row r="8" spans="1:28" s="92" customFormat="1">
      <c r="A8" s="88">
        <v>51101</v>
      </c>
      <c r="B8" s="88" t="s">
        <v>74</v>
      </c>
      <c r="C8" s="254"/>
      <c r="D8" s="257">
        <v>78780</v>
      </c>
      <c r="E8" s="254"/>
      <c r="F8" s="254">
        <v>28020</v>
      </c>
      <c r="G8" s="254">
        <v>77694.84</v>
      </c>
      <c r="H8" s="254">
        <v>105034.8</v>
      </c>
      <c r="I8" s="255">
        <f t="shared" ref="I8:I42" si="0">G8+E8+C8</f>
        <v>77694.84</v>
      </c>
      <c r="J8" s="255">
        <f t="shared" ref="J8:J42" si="1">H8+F8+D8</f>
        <v>211834.8</v>
      </c>
      <c r="K8" s="254"/>
      <c r="L8" s="399" t="e">
        <f>SUM('Remurac. X Lt'!#REF!)</f>
        <v>#REF!</v>
      </c>
      <c r="M8" s="88"/>
      <c r="N8" s="256"/>
      <c r="O8" s="90"/>
      <c r="P8" s="399">
        <f>$I$8/12</f>
        <v>6474.57</v>
      </c>
      <c r="Q8" s="399">
        <f t="shared" ref="Q8:AA8" si="2">$I$8/12</f>
        <v>6474.57</v>
      </c>
      <c r="R8" s="399">
        <f t="shared" si="2"/>
        <v>6474.57</v>
      </c>
      <c r="S8" s="399">
        <f t="shared" si="2"/>
        <v>6474.57</v>
      </c>
      <c r="T8" s="399">
        <f t="shared" si="2"/>
        <v>6474.57</v>
      </c>
      <c r="U8" s="399">
        <f t="shared" si="2"/>
        <v>6474.57</v>
      </c>
      <c r="V8" s="399">
        <f t="shared" si="2"/>
        <v>6474.57</v>
      </c>
      <c r="W8" s="399">
        <f t="shared" si="2"/>
        <v>6474.57</v>
      </c>
      <c r="X8" s="399">
        <f t="shared" si="2"/>
        <v>6474.57</v>
      </c>
      <c r="Y8" s="399">
        <f t="shared" si="2"/>
        <v>6474.57</v>
      </c>
      <c r="Z8" s="399">
        <f t="shared" si="2"/>
        <v>6474.57</v>
      </c>
      <c r="AA8" s="399">
        <f t="shared" si="2"/>
        <v>6474.57</v>
      </c>
      <c r="AB8" s="417">
        <f>SUM(P8:AA8)</f>
        <v>77694.84</v>
      </c>
    </row>
    <row r="9" spans="1:28" s="92" customFormat="1" hidden="1">
      <c r="A9" s="88">
        <v>51102</v>
      </c>
      <c r="B9" s="88" t="s">
        <v>69</v>
      </c>
      <c r="C9" s="254"/>
      <c r="D9" s="254"/>
      <c r="E9" s="254"/>
      <c r="F9" s="254"/>
      <c r="G9" s="254"/>
      <c r="H9" s="254"/>
      <c r="I9" s="255">
        <f t="shared" si="0"/>
        <v>0</v>
      </c>
      <c r="J9" s="255">
        <f t="shared" si="1"/>
        <v>0</v>
      </c>
      <c r="K9" s="254"/>
      <c r="L9" s="399"/>
      <c r="M9" s="88"/>
      <c r="N9" s="256"/>
      <c r="O9" s="90"/>
      <c r="P9" s="399"/>
      <c r="Q9" s="399"/>
      <c r="R9" s="399"/>
      <c r="S9" s="399"/>
      <c r="T9" s="399"/>
      <c r="U9" s="399"/>
      <c r="V9" s="399"/>
      <c r="W9" s="399"/>
      <c r="X9" s="399"/>
      <c r="Y9" s="399"/>
      <c r="Z9" s="399"/>
      <c r="AA9" s="399"/>
      <c r="AB9" s="417">
        <f t="shared" ref="AB9:AB72" si="3">SUM(P9:AA9)</f>
        <v>0</v>
      </c>
    </row>
    <row r="10" spans="1:28" s="92" customFormat="1">
      <c r="A10" s="88">
        <v>51103</v>
      </c>
      <c r="B10" s="88" t="s">
        <v>15</v>
      </c>
      <c r="C10" s="91"/>
      <c r="D10" s="254">
        <v>4802.5</v>
      </c>
      <c r="E10" s="91"/>
      <c r="F10" s="254">
        <v>2702</v>
      </c>
      <c r="G10" s="91">
        <v>6716.4</v>
      </c>
      <c r="H10" s="254">
        <v>8098</v>
      </c>
      <c r="I10" s="255">
        <f t="shared" si="0"/>
        <v>6716.4</v>
      </c>
      <c r="J10" s="255">
        <f t="shared" si="1"/>
        <v>15602.5</v>
      </c>
      <c r="K10" s="254"/>
      <c r="L10" s="399" t="e">
        <f>'Remurac. X Lt'!#REF!</f>
        <v>#REF!</v>
      </c>
      <c r="M10" s="88"/>
      <c r="N10" s="256"/>
      <c r="O10" s="90"/>
      <c r="P10" s="399">
        <v>0</v>
      </c>
      <c r="Q10" s="399">
        <v>0</v>
      </c>
      <c r="R10" s="399">
        <v>0</v>
      </c>
      <c r="S10" s="399">
        <v>0</v>
      </c>
      <c r="T10" s="399">
        <v>0</v>
      </c>
      <c r="U10" s="399">
        <v>0</v>
      </c>
      <c r="V10" s="399">
        <v>0</v>
      </c>
      <c r="W10" s="399">
        <v>0</v>
      </c>
      <c r="X10" s="399">
        <v>0</v>
      </c>
      <c r="Y10" s="399">
        <v>0</v>
      </c>
      <c r="Z10" s="399">
        <v>0</v>
      </c>
      <c r="AA10" s="399">
        <f>I10</f>
        <v>6716.4</v>
      </c>
      <c r="AB10" s="417">
        <f t="shared" si="3"/>
        <v>6716.4</v>
      </c>
    </row>
    <row r="11" spans="1:28" s="92" customFormat="1" hidden="1">
      <c r="A11" s="88">
        <v>51104</v>
      </c>
      <c r="B11" s="88" t="s">
        <v>75</v>
      </c>
      <c r="C11" s="254"/>
      <c r="D11" s="254"/>
      <c r="E11" s="254"/>
      <c r="F11" s="254"/>
      <c r="G11" s="254"/>
      <c r="H11" s="254"/>
      <c r="I11" s="255">
        <f t="shared" si="0"/>
        <v>0</v>
      </c>
      <c r="J11" s="255">
        <f t="shared" si="1"/>
        <v>0</v>
      </c>
      <c r="K11" s="254"/>
      <c r="L11" s="399"/>
      <c r="M11" s="88"/>
      <c r="N11" s="256"/>
      <c r="O11" s="90"/>
      <c r="P11" s="399"/>
      <c r="Q11" s="399"/>
      <c r="R11" s="399"/>
      <c r="S11" s="399"/>
      <c r="T11" s="399"/>
      <c r="U11" s="399"/>
      <c r="V11" s="399"/>
      <c r="W11" s="399"/>
      <c r="X11" s="399"/>
      <c r="Y11" s="399"/>
      <c r="Z11" s="399"/>
      <c r="AA11" s="399"/>
      <c r="AB11" s="417">
        <f t="shared" si="3"/>
        <v>0</v>
      </c>
    </row>
    <row r="12" spans="1:28" s="92" customFormat="1">
      <c r="A12" s="88">
        <v>51105</v>
      </c>
      <c r="B12" s="88" t="s">
        <v>11</v>
      </c>
      <c r="C12" s="254">
        <v>80000</v>
      </c>
      <c r="D12" s="254"/>
      <c r="E12" s="254"/>
      <c r="F12" s="254"/>
      <c r="G12" s="254"/>
      <c r="H12" s="254"/>
      <c r="I12" s="255">
        <f t="shared" si="0"/>
        <v>80000</v>
      </c>
      <c r="J12" s="255">
        <f t="shared" si="1"/>
        <v>0</v>
      </c>
      <c r="K12" s="254"/>
      <c r="L12" s="399"/>
      <c r="M12" s="88"/>
      <c r="N12" s="256"/>
      <c r="O12" s="90"/>
      <c r="P12" s="399">
        <f>$I$12/12</f>
        <v>6666.666666666667</v>
      </c>
      <c r="Q12" s="399">
        <f t="shared" ref="Q12:AA12" si="4">$I$12/12</f>
        <v>6666.666666666667</v>
      </c>
      <c r="R12" s="399">
        <f t="shared" si="4"/>
        <v>6666.666666666667</v>
      </c>
      <c r="S12" s="399">
        <f t="shared" si="4"/>
        <v>6666.666666666667</v>
      </c>
      <c r="T12" s="399">
        <f t="shared" si="4"/>
        <v>6666.666666666667</v>
      </c>
      <c r="U12" s="399">
        <f t="shared" si="4"/>
        <v>6666.666666666667</v>
      </c>
      <c r="V12" s="399">
        <f t="shared" si="4"/>
        <v>6666.666666666667</v>
      </c>
      <c r="W12" s="399">
        <f t="shared" si="4"/>
        <v>6666.666666666667</v>
      </c>
      <c r="X12" s="399">
        <f t="shared" si="4"/>
        <v>6666.666666666667</v>
      </c>
      <c r="Y12" s="399">
        <f t="shared" si="4"/>
        <v>6666.666666666667</v>
      </c>
      <c r="Z12" s="399">
        <f t="shared" si="4"/>
        <v>6666.666666666667</v>
      </c>
      <c r="AA12" s="399">
        <f t="shared" si="4"/>
        <v>6666.666666666667</v>
      </c>
      <c r="AB12" s="417">
        <f t="shared" si="3"/>
        <v>80000</v>
      </c>
    </row>
    <row r="13" spans="1:28" s="92" customFormat="1" hidden="1">
      <c r="A13" s="88">
        <v>51107</v>
      </c>
      <c r="B13" s="88" t="s">
        <v>76</v>
      </c>
      <c r="C13" s="254"/>
      <c r="D13" s="254"/>
      <c r="E13" s="254"/>
      <c r="F13" s="254"/>
      <c r="G13" s="254"/>
      <c r="H13" s="254"/>
      <c r="I13" s="255">
        <f t="shared" si="0"/>
        <v>0</v>
      </c>
      <c r="J13" s="255">
        <f t="shared" si="1"/>
        <v>0</v>
      </c>
      <c r="K13" s="254"/>
      <c r="L13" s="399"/>
      <c r="M13" s="88"/>
      <c r="N13" s="256"/>
      <c r="O13" s="90"/>
      <c r="P13" s="399"/>
      <c r="Q13" s="399"/>
      <c r="R13" s="399"/>
      <c r="S13" s="399"/>
      <c r="T13" s="399"/>
      <c r="U13" s="399"/>
      <c r="V13" s="399"/>
      <c r="W13" s="399"/>
      <c r="X13" s="399"/>
      <c r="Y13" s="399"/>
      <c r="Z13" s="399"/>
      <c r="AA13" s="399"/>
      <c r="AB13" s="417">
        <f t="shared" si="3"/>
        <v>0</v>
      </c>
    </row>
    <row r="14" spans="1:28" s="92" customFormat="1" hidden="1">
      <c r="A14" s="88">
        <v>51201</v>
      </c>
      <c r="B14" s="88" t="s">
        <v>77</v>
      </c>
      <c r="C14" s="254"/>
      <c r="D14" s="254"/>
      <c r="E14" s="254"/>
      <c r="F14" s="254"/>
      <c r="G14" s="254"/>
      <c r="H14" s="254"/>
      <c r="I14" s="255">
        <f t="shared" si="0"/>
        <v>0</v>
      </c>
      <c r="J14" s="255">
        <f t="shared" si="1"/>
        <v>0</v>
      </c>
      <c r="K14" s="254"/>
      <c r="L14" s="399"/>
      <c r="M14" s="88"/>
      <c r="N14" s="256"/>
      <c r="O14" s="90"/>
      <c r="P14" s="399"/>
      <c r="Q14" s="399"/>
      <c r="R14" s="399"/>
      <c r="S14" s="399"/>
      <c r="T14" s="399"/>
      <c r="U14" s="399"/>
      <c r="V14" s="399"/>
      <c r="W14" s="399"/>
      <c r="X14" s="399"/>
      <c r="Y14" s="399"/>
      <c r="Z14" s="399"/>
      <c r="AA14" s="399"/>
      <c r="AB14" s="417">
        <f t="shared" si="3"/>
        <v>0</v>
      </c>
    </row>
    <row r="15" spans="1:28" s="92" customFormat="1">
      <c r="A15" s="88">
        <v>51202</v>
      </c>
      <c r="B15" s="88" t="s">
        <v>69</v>
      </c>
      <c r="C15" s="254"/>
      <c r="D15" s="254"/>
      <c r="E15" s="254"/>
      <c r="F15" s="254"/>
      <c r="G15" s="254">
        <v>2500</v>
      </c>
      <c r="H15" s="254"/>
      <c r="I15" s="255">
        <f t="shared" si="0"/>
        <v>2500</v>
      </c>
      <c r="J15" s="255">
        <f t="shared" si="1"/>
        <v>0</v>
      </c>
      <c r="K15" s="254"/>
      <c r="L15" s="399"/>
      <c r="M15" s="88"/>
      <c r="N15" s="256"/>
      <c r="O15" s="90"/>
      <c r="P15" s="399">
        <f>$I$15/12</f>
        <v>208.33333333333334</v>
      </c>
      <c r="Q15" s="399">
        <f t="shared" ref="Q15:AA15" si="5">$I$15/12</f>
        <v>208.33333333333334</v>
      </c>
      <c r="R15" s="399">
        <f t="shared" si="5"/>
        <v>208.33333333333334</v>
      </c>
      <c r="S15" s="399">
        <f t="shared" si="5"/>
        <v>208.33333333333334</v>
      </c>
      <c r="T15" s="399">
        <f t="shared" si="5"/>
        <v>208.33333333333334</v>
      </c>
      <c r="U15" s="399">
        <f t="shared" si="5"/>
        <v>208.33333333333334</v>
      </c>
      <c r="V15" s="399">
        <f t="shared" si="5"/>
        <v>208.33333333333334</v>
      </c>
      <c r="W15" s="399">
        <f t="shared" si="5"/>
        <v>208.33333333333334</v>
      </c>
      <c r="X15" s="399">
        <f t="shared" si="5"/>
        <v>208.33333333333334</v>
      </c>
      <c r="Y15" s="399">
        <f t="shared" si="5"/>
        <v>208.33333333333334</v>
      </c>
      <c r="Z15" s="399">
        <f t="shared" si="5"/>
        <v>208.33333333333334</v>
      </c>
      <c r="AA15" s="399">
        <f t="shared" si="5"/>
        <v>208.33333333333334</v>
      </c>
      <c r="AB15" s="417">
        <f t="shared" si="3"/>
        <v>2500</v>
      </c>
    </row>
    <row r="16" spans="1:28" s="92" customFormat="1" hidden="1">
      <c r="A16" s="88">
        <v>51203</v>
      </c>
      <c r="B16" s="88" t="s">
        <v>15</v>
      </c>
      <c r="C16" s="254"/>
      <c r="D16" s="254"/>
      <c r="E16" s="254"/>
      <c r="F16" s="254"/>
      <c r="G16" s="254"/>
      <c r="H16" s="254"/>
      <c r="I16" s="255">
        <f t="shared" si="0"/>
        <v>0</v>
      </c>
      <c r="J16" s="255">
        <f t="shared" si="1"/>
        <v>0</v>
      </c>
      <c r="K16" s="254"/>
      <c r="L16" s="399"/>
      <c r="M16" s="88"/>
      <c r="N16" s="256"/>
      <c r="O16" s="90"/>
      <c r="P16" s="399"/>
      <c r="Q16" s="399"/>
      <c r="R16" s="399"/>
      <c r="S16" s="399"/>
      <c r="T16" s="399"/>
      <c r="U16" s="399"/>
      <c r="V16" s="399"/>
      <c r="W16" s="399"/>
      <c r="X16" s="399"/>
      <c r="Y16" s="399"/>
      <c r="Z16" s="399"/>
      <c r="AA16" s="399"/>
      <c r="AB16" s="417">
        <f t="shared" si="3"/>
        <v>0</v>
      </c>
    </row>
    <row r="17" spans="1:28" s="92" customFormat="1">
      <c r="A17" s="88">
        <v>51301</v>
      </c>
      <c r="B17" s="88" t="s">
        <v>70</v>
      </c>
      <c r="C17" s="254"/>
      <c r="D17" s="254"/>
      <c r="E17" s="254"/>
      <c r="F17" s="254"/>
      <c r="G17" s="254">
        <v>500</v>
      </c>
      <c r="H17" s="254"/>
      <c r="I17" s="255">
        <f t="shared" si="0"/>
        <v>500</v>
      </c>
      <c r="J17" s="255">
        <f t="shared" si="1"/>
        <v>0</v>
      </c>
      <c r="K17" s="254"/>
      <c r="L17" s="399"/>
      <c r="M17" s="88"/>
      <c r="N17" s="256"/>
      <c r="O17" s="90"/>
      <c r="P17" s="399"/>
      <c r="Q17" s="399"/>
      <c r="R17" s="399">
        <v>100</v>
      </c>
      <c r="S17" s="399"/>
      <c r="T17" s="399"/>
      <c r="U17" s="399">
        <v>100</v>
      </c>
      <c r="V17" s="399"/>
      <c r="W17" s="399">
        <v>100</v>
      </c>
      <c r="X17" s="399"/>
      <c r="Y17" s="399">
        <v>100</v>
      </c>
      <c r="Z17" s="399"/>
      <c r="AA17" s="399">
        <v>100</v>
      </c>
      <c r="AB17" s="417">
        <f t="shared" si="3"/>
        <v>500</v>
      </c>
    </row>
    <row r="18" spans="1:28" s="92" customFormat="1">
      <c r="A18" s="88">
        <v>51401</v>
      </c>
      <c r="B18" s="88" t="s">
        <v>37</v>
      </c>
      <c r="C18" s="254"/>
      <c r="D18" s="254">
        <v>2571.48</v>
      </c>
      <c r="E18" s="254"/>
      <c r="F18" s="254">
        <v>2818.98</v>
      </c>
      <c r="G18" s="254">
        <v>5286.21</v>
      </c>
      <c r="H18" s="254">
        <v>7675.77</v>
      </c>
      <c r="I18" s="255">
        <f t="shared" si="0"/>
        <v>5286.21</v>
      </c>
      <c r="J18" s="255">
        <f t="shared" si="1"/>
        <v>13066.23</v>
      </c>
      <c r="K18" s="254"/>
      <c r="L18" s="399" t="e">
        <f>'Remurac. X Lt'!#REF!</f>
        <v>#REF!</v>
      </c>
      <c r="M18" s="88"/>
      <c r="N18" s="256"/>
      <c r="O18" s="90"/>
      <c r="P18" s="399">
        <f>$I$18/12</f>
        <v>440.51749999999998</v>
      </c>
      <c r="Q18" s="399">
        <f t="shared" ref="Q18:AA18" si="6">$I$18/12</f>
        <v>440.51749999999998</v>
      </c>
      <c r="R18" s="399">
        <f t="shared" si="6"/>
        <v>440.51749999999998</v>
      </c>
      <c r="S18" s="399">
        <f t="shared" si="6"/>
        <v>440.51749999999998</v>
      </c>
      <c r="T18" s="399">
        <f t="shared" si="6"/>
        <v>440.51749999999998</v>
      </c>
      <c r="U18" s="399">
        <f t="shared" si="6"/>
        <v>440.51749999999998</v>
      </c>
      <c r="V18" s="399">
        <f t="shared" si="6"/>
        <v>440.51749999999998</v>
      </c>
      <c r="W18" s="399">
        <f t="shared" si="6"/>
        <v>440.51749999999998</v>
      </c>
      <c r="X18" s="399">
        <f t="shared" si="6"/>
        <v>440.51749999999998</v>
      </c>
      <c r="Y18" s="399">
        <f t="shared" si="6"/>
        <v>440.51749999999998</v>
      </c>
      <c r="Z18" s="399">
        <f t="shared" si="6"/>
        <v>440.51749999999998</v>
      </c>
      <c r="AA18" s="399">
        <f t="shared" si="6"/>
        <v>440.51749999999998</v>
      </c>
      <c r="AB18" s="417">
        <f t="shared" si="3"/>
        <v>5286.21</v>
      </c>
    </row>
    <row r="19" spans="1:28" s="92" customFormat="1">
      <c r="A19" s="88">
        <v>51501</v>
      </c>
      <c r="B19" s="88" t="s">
        <v>38</v>
      </c>
      <c r="C19" s="254"/>
      <c r="D19" s="254">
        <v>4515.75</v>
      </c>
      <c r="E19" s="254"/>
      <c r="F19" s="254">
        <v>2895.75</v>
      </c>
      <c r="G19" s="254">
        <v>4393.09</v>
      </c>
      <c r="H19" s="254">
        <v>6644.35</v>
      </c>
      <c r="I19" s="255">
        <f t="shared" si="0"/>
        <v>4393.09</v>
      </c>
      <c r="J19" s="255">
        <f t="shared" si="1"/>
        <v>14055.85</v>
      </c>
      <c r="K19" s="254"/>
      <c r="L19" s="399" t="e">
        <f>'Remurac. X Lt'!#REF!</f>
        <v>#REF!</v>
      </c>
      <c r="M19" s="88"/>
      <c r="N19" s="256"/>
      <c r="O19" s="90"/>
      <c r="P19" s="399">
        <f>$I$19/12</f>
        <v>366.09083333333336</v>
      </c>
      <c r="Q19" s="399">
        <f t="shared" ref="Q19:AA19" si="7">$I$19/12</f>
        <v>366.09083333333336</v>
      </c>
      <c r="R19" s="399">
        <f t="shared" si="7"/>
        <v>366.09083333333336</v>
      </c>
      <c r="S19" s="399">
        <f t="shared" si="7"/>
        <v>366.09083333333336</v>
      </c>
      <c r="T19" s="399">
        <f t="shared" si="7"/>
        <v>366.09083333333336</v>
      </c>
      <c r="U19" s="399">
        <f t="shared" si="7"/>
        <v>366.09083333333336</v>
      </c>
      <c r="V19" s="399">
        <f t="shared" si="7"/>
        <v>366.09083333333336</v>
      </c>
      <c r="W19" s="399">
        <f t="shared" si="7"/>
        <v>366.09083333333336</v>
      </c>
      <c r="X19" s="399">
        <f t="shared" si="7"/>
        <v>366.09083333333336</v>
      </c>
      <c r="Y19" s="399">
        <f t="shared" si="7"/>
        <v>366.09083333333336</v>
      </c>
      <c r="Z19" s="399">
        <f t="shared" si="7"/>
        <v>366.09083333333336</v>
      </c>
      <c r="AA19" s="399">
        <f t="shared" si="7"/>
        <v>366.09083333333336</v>
      </c>
      <c r="AB19" s="417">
        <f t="shared" si="3"/>
        <v>4393.0899999999992</v>
      </c>
    </row>
    <row r="20" spans="1:28" s="92" customFormat="1" hidden="1">
      <c r="A20" s="88">
        <v>51602</v>
      </c>
      <c r="B20" s="88" t="s">
        <v>490</v>
      </c>
      <c r="C20" s="254"/>
      <c r="D20" s="254"/>
      <c r="E20" s="254"/>
      <c r="F20" s="254"/>
      <c r="G20" s="254"/>
      <c r="H20" s="254"/>
      <c r="I20" s="255">
        <f t="shared" si="0"/>
        <v>0</v>
      </c>
      <c r="J20" s="255">
        <f t="shared" si="1"/>
        <v>0</v>
      </c>
      <c r="K20" s="254"/>
      <c r="L20" s="88"/>
      <c r="M20" s="88"/>
      <c r="N20" s="256"/>
      <c r="O20" s="90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417">
        <f t="shared" si="3"/>
        <v>0</v>
      </c>
    </row>
    <row r="21" spans="1:28" s="92" customFormat="1" hidden="1">
      <c r="A21" s="88">
        <v>51701</v>
      </c>
      <c r="B21" s="88" t="s">
        <v>39</v>
      </c>
      <c r="C21" s="254"/>
      <c r="D21" s="254"/>
      <c r="E21" s="254"/>
      <c r="F21" s="254"/>
      <c r="G21" s="254"/>
      <c r="H21" s="254"/>
      <c r="I21" s="255">
        <f t="shared" si="0"/>
        <v>0</v>
      </c>
      <c r="J21" s="255">
        <f t="shared" si="1"/>
        <v>0</v>
      </c>
      <c r="K21" s="254"/>
      <c r="L21" s="88"/>
      <c r="M21" s="88"/>
      <c r="N21" s="256"/>
      <c r="O21" s="90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417">
        <f t="shared" si="3"/>
        <v>0</v>
      </c>
    </row>
    <row r="22" spans="1:28" s="92" customFormat="1" hidden="1">
      <c r="A22" s="88">
        <v>51901</v>
      </c>
      <c r="B22" s="88" t="s">
        <v>12</v>
      </c>
      <c r="C22" s="254"/>
      <c r="D22" s="254"/>
      <c r="E22" s="254"/>
      <c r="F22" s="254"/>
      <c r="G22" s="254"/>
      <c r="H22" s="254"/>
      <c r="I22" s="255">
        <f t="shared" si="0"/>
        <v>0</v>
      </c>
      <c r="J22" s="255">
        <f t="shared" si="1"/>
        <v>0</v>
      </c>
      <c r="K22" s="254"/>
      <c r="L22" s="88"/>
      <c r="M22" s="88"/>
      <c r="N22" s="256"/>
      <c r="O22" s="90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417">
        <f t="shared" si="3"/>
        <v>0</v>
      </c>
    </row>
    <row r="23" spans="1:28" s="92" customFormat="1" hidden="1">
      <c r="A23" s="88">
        <v>51902</v>
      </c>
      <c r="B23" s="88" t="s">
        <v>78</v>
      </c>
      <c r="C23" s="254"/>
      <c r="D23" s="254"/>
      <c r="E23" s="254"/>
      <c r="F23" s="254"/>
      <c r="G23" s="254"/>
      <c r="H23" s="254"/>
      <c r="I23" s="255">
        <f t="shared" si="0"/>
        <v>0</v>
      </c>
      <c r="J23" s="255">
        <f t="shared" si="1"/>
        <v>0</v>
      </c>
      <c r="K23" s="254"/>
      <c r="L23" s="88"/>
      <c r="M23" s="88"/>
      <c r="N23" s="256"/>
      <c r="O23" s="90"/>
      <c r="P23" s="399"/>
      <c r="Q23" s="399"/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417">
        <f t="shared" si="3"/>
        <v>0</v>
      </c>
    </row>
    <row r="24" spans="1:28" s="92" customFormat="1" hidden="1">
      <c r="A24" s="88">
        <v>51999</v>
      </c>
      <c r="B24" s="88" t="s">
        <v>120</v>
      </c>
      <c r="C24" s="254"/>
      <c r="D24" s="254"/>
      <c r="E24" s="254"/>
      <c r="F24" s="254"/>
      <c r="G24" s="254"/>
      <c r="H24" s="254"/>
      <c r="I24" s="255">
        <f t="shared" si="0"/>
        <v>0</v>
      </c>
      <c r="J24" s="255">
        <f t="shared" si="1"/>
        <v>0</v>
      </c>
      <c r="K24" s="254"/>
      <c r="L24" s="88"/>
      <c r="M24" s="88"/>
      <c r="N24" s="256"/>
      <c r="O24" s="90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417">
        <f t="shared" si="3"/>
        <v>0</v>
      </c>
    </row>
    <row r="25" spans="1:28" s="92" customFormat="1" hidden="1">
      <c r="A25" s="88"/>
      <c r="B25" s="88" t="s">
        <v>491</v>
      </c>
      <c r="C25" s="254"/>
      <c r="D25" s="254"/>
      <c r="E25" s="254"/>
      <c r="F25" s="254"/>
      <c r="G25" s="254"/>
      <c r="H25" s="254"/>
      <c r="I25" s="255">
        <f t="shared" si="0"/>
        <v>0</v>
      </c>
      <c r="J25" s="255">
        <f t="shared" si="1"/>
        <v>0</v>
      </c>
      <c r="K25" s="254"/>
      <c r="L25" s="88"/>
      <c r="M25" s="88"/>
      <c r="N25" s="256"/>
      <c r="O25" s="90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417">
        <f t="shared" si="3"/>
        <v>0</v>
      </c>
    </row>
    <row r="26" spans="1:28" s="92" customFormat="1">
      <c r="A26" s="88">
        <v>54101</v>
      </c>
      <c r="B26" s="88" t="s">
        <v>121</v>
      </c>
      <c r="C26" s="254">
        <v>10000</v>
      </c>
      <c r="D26" s="254"/>
      <c r="E26" s="254"/>
      <c r="F26" s="254"/>
      <c r="G26" s="254"/>
      <c r="H26" s="254"/>
      <c r="I26" s="255">
        <v>8000</v>
      </c>
      <c r="J26" s="255">
        <f t="shared" si="1"/>
        <v>0</v>
      </c>
      <c r="K26" s="254"/>
      <c r="L26" s="88"/>
      <c r="M26" s="88"/>
      <c r="N26" s="256"/>
      <c r="O26" s="90"/>
      <c r="P26" s="399">
        <f>5000/12</f>
        <v>416.66666666666669</v>
      </c>
      <c r="Q26" s="399">
        <f t="shared" ref="Q26:AA26" si="8">5000/12</f>
        <v>416.66666666666669</v>
      </c>
      <c r="R26" s="399">
        <f t="shared" si="8"/>
        <v>416.66666666666669</v>
      </c>
      <c r="S26" s="399">
        <f t="shared" si="8"/>
        <v>416.66666666666669</v>
      </c>
      <c r="T26" s="399">
        <f t="shared" si="8"/>
        <v>416.66666666666669</v>
      </c>
      <c r="U26" s="399">
        <f t="shared" si="8"/>
        <v>416.66666666666669</v>
      </c>
      <c r="V26" s="399">
        <f t="shared" si="8"/>
        <v>416.66666666666669</v>
      </c>
      <c r="W26" s="399">
        <f t="shared" si="8"/>
        <v>416.66666666666669</v>
      </c>
      <c r="X26" s="399">
        <f>5000/12+5000</f>
        <v>5416.666666666667</v>
      </c>
      <c r="Y26" s="399">
        <f t="shared" si="8"/>
        <v>416.66666666666669</v>
      </c>
      <c r="Z26" s="399">
        <f t="shared" si="8"/>
        <v>416.66666666666669</v>
      </c>
      <c r="AA26" s="399">
        <f t="shared" si="8"/>
        <v>416.66666666666669</v>
      </c>
      <c r="AB26" s="417">
        <f t="shared" si="3"/>
        <v>9999.9999999999982</v>
      </c>
    </row>
    <row r="27" spans="1:28" s="92" customFormat="1">
      <c r="A27" s="88">
        <v>54103</v>
      </c>
      <c r="B27" s="88" t="s">
        <v>122</v>
      </c>
      <c r="C27" s="254">
        <v>1000</v>
      </c>
      <c r="D27" s="254"/>
      <c r="E27" s="254"/>
      <c r="F27" s="254"/>
      <c r="G27" s="254"/>
      <c r="H27" s="254"/>
      <c r="I27" s="255">
        <f t="shared" si="0"/>
        <v>1000</v>
      </c>
      <c r="J27" s="255">
        <f t="shared" si="1"/>
        <v>0</v>
      </c>
      <c r="K27" s="254"/>
      <c r="L27" s="88"/>
      <c r="M27" s="88"/>
      <c r="N27" s="256"/>
      <c r="O27" s="90"/>
      <c r="P27" s="399">
        <f>$I$27/12</f>
        <v>83.333333333333329</v>
      </c>
      <c r="Q27" s="399">
        <f t="shared" ref="Q27:AA27" si="9">$I$27/12</f>
        <v>83.333333333333329</v>
      </c>
      <c r="R27" s="399">
        <f t="shared" si="9"/>
        <v>83.333333333333329</v>
      </c>
      <c r="S27" s="399">
        <f t="shared" si="9"/>
        <v>83.333333333333329</v>
      </c>
      <c r="T27" s="399">
        <f t="shared" si="9"/>
        <v>83.333333333333329</v>
      </c>
      <c r="U27" s="399">
        <f t="shared" si="9"/>
        <v>83.333333333333329</v>
      </c>
      <c r="V27" s="399">
        <f t="shared" si="9"/>
        <v>83.333333333333329</v>
      </c>
      <c r="W27" s="399">
        <f t="shared" si="9"/>
        <v>83.333333333333329</v>
      </c>
      <c r="X27" s="399">
        <f t="shared" si="9"/>
        <v>83.333333333333329</v>
      </c>
      <c r="Y27" s="399">
        <f t="shared" si="9"/>
        <v>83.333333333333329</v>
      </c>
      <c r="Z27" s="399">
        <f t="shared" si="9"/>
        <v>83.333333333333329</v>
      </c>
      <c r="AA27" s="399">
        <f t="shared" si="9"/>
        <v>83.333333333333329</v>
      </c>
      <c r="AB27" s="417">
        <f t="shared" si="3"/>
        <v>1000.0000000000001</v>
      </c>
    </row>
    <row r="28" spans="1:28" s="92" customFormat="1">
      <c r="A28" s="88">
        <v>54104</v>
      </c>
      <c r="B28" s="88" t="s">
        <v>123</v>
      </c>
      <c r="C28" s="254">
        <v>600</v>
      </c>
      <c r="D28" s="254"/>
      <c r="E28" s="254">
        <v>900</v>
      </c>
      <c r="F28" s="254"/>
      <c r="G28" s="254">
        <v>5500</v>
      </c>
      <c r="H28" s="254"/>
      <c r="I28" s="255">
        <f t="shared" si="0"/>
        <v>7000</v>
      </c>
      <c r="J28" s="255">
        <f t="shared" si="1"/>
        <v>0</v>
      </c>
      <c r="K28" s="254"/>
      <c r="L28" s="88">
        <v>1000</v>
      </c>
      <c r="M28" s="88"/>
      <c r="N28" s="256"/>
      <c r="O28" s="90"/>
      <c r="P28" s="399"/>
      <c r="Q28" s="399"/>
      <c r="R28" s="399"/>
      <c r="S28" s="399">
        <v>7000</v>
      </c>
      <c r="T28" s="399"/>
      <c r="U28" s="399"/>
      <c r="V28" s="399"/>
      <c r="W28" s="399"/>
      <c r="X28" s="399"/>
      <c r="Y28" s="399"/>
      <c r="Z28" s="399"/>
      <c r="AA28" s="399"/>
      <c r="AB28" s="417">
        <f t="shared" si="3"/>
        <v>7000</v>
      </c>
    </row>
    <row r="29" spans="1:28" s="92" customFormat="1" ht="14.25" hidden="1" customHeight="1">
      <c r="A29" s="88">
        <v>54106</v>
      </c>
      <c r="B29" s="88" t="s">
        <v>125</v>
      </c>
      <c r="C29" s="254"/>
      <c r="D29" s="254"/>
      <c r="E29" s="254"/>
      <c r="F29" s="254"/>
      <c r="G29" s="254"/>
      <c r="H29" s="254"/>
      <c r="I29" s="255">
        <f t="shared" si="0"/>
        <v>0</v>
      </c>
      <c r="J29" s="255">
        <f t="shared" si="1"/>
        <v>0</v>
      </c>
      <c r="K29" s="254"/>
      <c r="L29" s="88"/>
      <c r="M29" s="88"/>
      <c r="N29" s="256"/>
      <c r="O29" s="90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417">
        <f t="shared" si="3"/>
        <v>0</v>
      </c>
    </row>
    <row r="30" spans="1:28" s="92" customFormat="1" ht="14.25" customHeight="1">
      <c r="A30" s="88">
        <v>54107</v>
      </c>
      <c r="B30" s="88" t="s">
        <v>126</v>
      </c>
      <c r="C30" s="254">
        <v>2500</v>
      </c>
      <c r="D30" s="254"/>
      <c r="E30" s="254"/>
      <c r="F30" s="254"/>
      <c r="G30" s="254">
        <v>13000</v>
      </c>
      <c r="H30" s="254"/>
      <c r="I30" s="255">
        <f t="shared" si="0"/>
        <v>15500</v>
      </c>
      <c r="J30" s="255">
        <f t="shared" si="1"/>
        <v>0</v>
      </c>
      <c r="K30" s="254"/>
      <c r="L30" s="88"/>
      <c r="M30" s="88"/>
      <c r="N30" s="256"/>
      <c r="O30" s="90"/>
      <c r="P30" s="399">
        <f>$I$30/12</f>
        <v>1291.6666666666667</v>
      </c>
      <c r="Q30" s="399">
        <f t="shared" ref="Q30:AA30" si="10">$I$30/12</f>
        <v>1291.6666666666667</v>
      </c>
      <c r="R30" s="399">
        <f t="shared" si="10"/>
        <v>1291.6666666666667</v>
      </c>
      <c r="S30" s="399">
        <f t="shared" si="10"/>
        <v>1291.6666666666667</v>
      </c>
      <c r="T30" s="399">
        <f t="shared" si="10"/>
        <v>1291.6666666666667</v>
      </c>
      <c r="U30" s="399">
        <f t="shared" si="10"/>
        <v>1291.6666666666667</v>
      </c>
      <c r="V30" s="399">
        <f t="shared" si="10"/>
        <v>1291.6666666666667</v>
      </c>
      <c r="W30" s="399">
        <f t="shared" si="10"/>
        <v>1291.6666666666667</v>
      </c>
      <c r="X30" s="399">
        <f t="shared" si="10"/>
        <v>1291.6666666666667</v>
      </c>
      <c r="Y30" s="399">
        <f t="shared" si="10"/>
        <v>1291.6666666666667</v>
      </c>
      <c r="Z30" s="399">
        <f t="shared" si="10"/>
        <v>1291.6666666666667</v>
      </c>
      <c r="AA30" s="399">
        <f t="shared" si="10"/>
        <v>1291.6666666666667</v>
      </c>
      <c r="AB30" s="417">
        <f t="shared" si="3"/>
        <v>15499.999999999998</v>
      </c>
    </row>
    <row r="31" spans="1:28" s="92" customFormat="1" ht="14.25" customHeight="1">
      <c r="A31" s="88">
        <v>54108</v>
      </c>
      <c r="B31" s="88" t="s">
        <v>127</v>
      </c>
      <c r="C31" s="254">
        <v>200</v>
      </c>
      <c r="D31" s="254"/>
      <c r="E31" s="254"/>
      <c r="F31" s="254"/>
      <c r="G31" s="254"/>
      <c r="H31" s="254"/>
      <c r="I31" s="255">
        <f t="shared" si="0"/>
        <v>200</v>
      </c>
      <c r="J31" s="255">
        <f t="shared" si="1"/>
        <v>0</v>
      </c>
      <c r="K31" s="254"/>
      <c r="L31" s="88">
        <v>10000</v>
      </c>
      <c r="M31" s="88"/>
      <c r="N31" s="256"/>
      <c r="O31" s="90"/>
      <c r="P31" s="399"/>
      <c r="Q31" s="399"/>
      <c r="R31" s="399">
        <v>100</v>
      </c>
      <c r="S31" s="399"/>
      <c r="T31" s="399"/>
      <c r="U31" s="399"/>
      <c r="V31" s="399"/>
      <c r="W31" s="399"/>
      <c r="X31" s="399"/>
      <c r="Y31" s="399"/>
      <c r="Z31" s="399">
        <v>100</v>
      </c>
      <c r="AA31" s="399"/>
      <c r="AB31" s="417">
        <f t="shared" si="3"/>
        <v>200</v>
      </c>
    </row>
    <row r="32" spans="1:28" s="92" customFormat="1" ht="14.25" customHeight="1">
      <c r="A32" s="88">
        <v>54109</v>
      </c>
      <c r="B32" s="88" t="s">
        <v>54</v>
      </c>
      <c r="C32" s="254"/>
      <c r="D32" s="254"/>
      <c r="E32" s="254"/>
      <c r="F32" s="254"/>
      <c r="G32" s="254">
        <v>2100</v>
      </c>
      <c r="H32" s="254"/>
      <c r="I32" s="255">
        <f t="shared" si="0"/>
        <v>2100</v>
      </c>
      <c r="J32" s="255">
        <f t="shared" si="1"/>
        <v>0</v>
      </c>
      <c r="K32" s="254"/>
      <c r="L32" s="88">
        <v>4500</v>
      </c>
      <c r="M32" s="88"/>
      <c r="N32" s="256"/>
      <c r="O32" s="90"/>
      <c r="P32" s="399"/>
      <c r="Q32" s="399"/>
      <c r="R32" s="399"/>
      <c r="S32" s="399"/>
      <c r="T32" s="399"/>
      <c r="U32" s="399">
        <f>I32</f>
        <v>2100</v>
      </c>
      <c r="V32" s="399"/>
      <c r="W32" s="399"/>
      <c r="X32" s="399"/>
      <c r="Y32" s="399"/>
      <c r="Z32" s="399"/>
      <c r="AA32" s="399"/>
      <c r="AB32" s="417">
        <f t="shared" si="3"/>
        <v>2100</v>
      </c>
    </row>
    <row r="33" spans="1:28" s="92" customFormat="1" ht="14.25" customHeight="1">
      <c r="A33" s="88">
        <v>54110</v>
      </c>
      <c r="B33" s="88" t="s">
        <v>128</v>
      </c>
      <c r="C33" s="254"/>
      <c r="D33" s="254"/>
      <c r="E33" s="254"/>
      <c r="F33" s="254"/>
      <c r="G33" s="254">
        <v>7000</v>
      </c>
      <c r="H33" s="254"/>
      <c r="I33" s="255">
        <f t="shared" si="0"/>
        <v>7000</v>
      </c>
      <c r="J33" s="255">
        <f t="shared" si="1"/>
        <v>0</v>
      </c>
      <c r="K33" s="254"/>
      <c r="L33" s="88"/>
      <c r="M33" s="88"/>
      <c r="N33" s="256"/>
      <c r="O33" s="90"/>
      <c r="P33" s="399">
        <f>$I$33/12</f>
        <v>583.33333333333337</v>
      </c>
      <c r="Q33" s="399">
        <f t="shared" ref="Q33:AA33" si="11">$I$33/12</f>
        <v>583.33333333333337</v>
      </c>
      <c r="R33" s="399">
        <f t="shared" si="11"/>
        <v>583.33333333333337</v>
      </c>
      <c r="S33" s="399">
        <f t="shared" si="11"/>
        <v>583.33333333333337</v>
      </c>
      <c r="T33" s="399">
        <f t="shared" si="11"/>
        <v>583.33333333333337</v>
      </c>
      <c r="U33" s="399">
        <f t="shared" si="11"/>
        <v>583.33333333333337</v>
      </c>
      <c r="V33" s="399">
        <f t="shared" si="11"/>
        <v>583.33333333333337</v>
      </c>
      <c r="W33" s="399">
        <f t="shared" si="11"/>
        <v>583.33333333333337</v>
      </c>
      <c r="X33" s="399">
        <f t="shared" si="11"/>
        <v>583.33333333333337</v>
      </c>
      <c r="Y33" s="399">
        <f t="shared" si="11"/>
        <v>583.33333333333337</v>
      </c>
      <c r="Z33" s="399">
        <f t="shared" si="11"/>
        <v>583.33333333333337</v>
      </c>
      <c r="AA33" s="399">
        <f t="shared" si="11"/>
        <v>583.33333333333337</v>
      </c>
      <c r="AB33" s="417">
        <f t="shared" si="3"/>
        <v>6999.9999999999991</v>
      </c>
    </row>
    <row r="34" spans="1:28" s="92" customFormat="1" ht="14.25" customHeight="1">
      <c r="A34" s="88">
        <v>54111</v>
      </c>
      <c r="B34" s="88" t="s">
        <v>129</v>
      </c>
      <c r="C34" s="254"/>
      <c r="D34" s="254"/>
      <c r="E34" s="254"/>
      <c r="F34" s="254"/>
      <c r="G34" s="254">
        <v>7000</v>
      </c>
      <c r="H34" s="254"/>
      <c r="I34" s="255">
        <f t="shared" si="0"/>
        <v>7000</v>
      </c>
      <c r="J34" s="255">
        <f t="shared" si="1"/>
        <v>0</v>
      </c>
      <c r="K34" s="254"/>
      <c r="L34" s="88"/>
      <c r="M34" s="88"/>
      <c r="N34" s="256"/>
      <c r="O34" s="90"/>
      <c r="P34" s="399">
        <f>$I$34/12</f>
        <v>583.33333333333337</v>
      </c>
      <c r="Q34" s="399">
        <f t="shared" ref="Q34:AA34" si="12">$I$34/12</f>
        <v>583.33333333333337</v>
      </c>
      <c r="R34" s="399">
        <f t="shared" si="12"/>
        <v>583.33333333333337</v>
      </c>
      <c r="S34" s="399">
        <f t="shared" si="12"/>
        <v>583.33333333333337</v>
      </c>
      <c r="T34" s="399">
        <f t="shared" si="12"/>
        <v>583.33333333333337</v>
      </c>
      <c r="U34" s="399">
        <f t="shared" si="12"/>
        <v>583.33333333333337</v>
      </c>
      <c r="V34" s="399">
        <f t="shared" si="12"/>
        <v>583.33333333333337</v>
      </c>
      <c r="W34" s="399">
        <f t="shared" si="12"/>
        <v>583.33333333333337</v>
      </c>
      <c r="X34" s="399">
        <f t="shared" si="12"/>
        <v>583.33333333333337</v>
      </c>
      <c r="Y34" s="399">
        <f t="shared" si="12"/>
        <v>583.33333333333337</v>
      </c>
      <c r="Z34" s="399">
        <f t="shared" si="12"/>
        <v>583.33333333333337</v>
      </c>
      <c r="AA34" s="399">
        <f t="shared" si="12"/>
        <v>583.33333333333337</v>
      </c>
      <c r="AB34" s="417">
        <f t="shared" si="3"/>
        <v>6999.9999999999991</v>
      </c>
    </row>
    <row r="35" spans="1:28" s="92" customFormat="1">
      <c r="A35" s="88">
        <v>54112</v>
      </c>
      <c r="B35" s="88" t="s">
        <v>130</v>
      </c>
      <c r="C35" s="254">
        <v>10000</v>
      </c>
      <c r="D35" s="254"/>
      <c r="E35" s="254"/>
      <c r="F35" s="254"/>
      <c r="G35" s="254"/>
      <c r="H35" s="254"/>
      <c r="I35" s="255">
        <f t="shared" si="0"/>
        <v>10000</v>
      </c>
      <c r="J35" s="255">
        <f t="shared" si="1"/>
        <v>0</v>
      </c>
      <c r="K35" s="254"/>
      <c r="L35" s="88"/>
      <c r="M35" s="88"/>
      <c r="N35" s="256"/>
      <c r="O35" s="90"/>
      <c r="P35" s="399">
        <f>$I$35/12</f>
        <v>833.33333333333337</v>
      </c>
      <c r="Q35" s="399">
        <f t="shared" ref="Q35:AA35" si="13">$I$35/12</f>
        <v>833.33333333333337</v>
      </c>
      <c r="R35" s="399">
        <f t="shared" si="13"/>
        <v>833.33333333333337</v>
      </c>
      <c r="S35" s="399">
        <f t="shared" si="13"/>
        <v>833.33333333333337</v>
      </c>
      <c r="T35" s="399">
        <f t="shared" si="13"/>
        <v>833.33333333333337</v>
      </c>
      <c r="U35" s="399">
        <f t="shared" si="13"/>
        <v>833.33333333333337</v>
      </c>
      <c r="V35" s="399">
        <f t="shared" si="13"/>
        <v>833.33333333333337</v>
      </c>
      <c r="W35" s="399">
        <f t="shared" si="13"/>
        <v>833.33333333333337</v>
      </c>
      <c r="X35" s="399">
        <f t="shared" si="13"/>
        <v>833.33333333333337</v>
      </c>
      <c r="Y35" s="399">
        <f t="shared" si="13"/>
        <v>833.33333333333337</v>
      </c>
      <c r="Z35" s="399">
        <f t="shared" si="13"/>
        <v>833.33333333333337</v>
      </c>
      <c r="AA35" s="399">
        <f t="shared" si="13"/>
        <v>833.33333333333337</v>
      </c>
      <c r="AB35" s="417">
        <f t="shared" si="3"/>
        <v>10000</v>
      </c>
    </row>
    <row r="36" spans="1:28" s="92" customFormat="1">
      <c r="A36" s="88">
        <v>54114</v>
      </c>
      <c r="B36" s="88" t="s">
        <v>52</v>
      </c>
      <c r="C36" s="254"/>
      <c r="D36" s="254"/>
      <c r="E36" s="254">
        <v>12000</v>
      </c>
      <c r="F36" s="254"/>
      <c r="G36" s="254"/>
      <c r="H36" s="254"/>
      <c r="I36" s="255">
        <f t="shared" si="0"/>
        <v>12000</v>
      </c>
      <c r="J36" s="255">
        <f t="shared" si="1"/>
        <v>0</v>
      </c>
      <c r="K36" s="254"/>
      <c r="L36" s="88"/>
      <c r="M36" s="88"/>
      <c r="N36" s="256"/>
      <c r="O36" s="90"/>
      <c r="P36" s="399"/>
      <c r="Q36" s="399">
        <v>4000</v>
      </c>
      <c r="R36" s="399"/>
      <c r="S36" s="399"/>
      <c r="T36" s="399"/>
      <c r="U36" s="399"/>
      <c r="V36" s="399">
        <v>4000</v>
      </c>
      <c r="W36" s="399"/>
      <c r="X36" s="399"/>
      <c r="Y36" s="399"/>
      <c r="Z36" s="399">
        <v>4000</v>
      </c>
      <c r="AA36" s="399"/>
      <c r="AB36" s="417">
        <f t="shared" si="3"/>
        <v>12000</v>
      </c>
    </row>
    <row r="37" spans="1:28" s="92" customFormat="1">
      <c r="A37" s="88">
        <v>54115</v>
      </c>
      <c r="B37" s="88" t="s">
        <v>131</v>
      </c>
      <c r="C37" s="254">
        <v>200</v>
      </c>
      <c r="D37" s="254"/>
      <c r="E37" s="254">
        <v>200</v>
      </c>
      <c r="F37" s="254"/>
      <c r="G37" s="254">
        <v>600</v>
      </c>
      <c r="H37" s="254"/>
      <c r="I37" s="255">
        <f t="shared" si="0"/>
        <v>1000</v>
      </c>
      <c r="J37" s="255">
        <f t="shared" si="1"/>
        <v>0</v>
      </c>
      <c r="K37" s="254"/>
      <c r="L37" s="88"/>
      <c r="M37" s="88"/>
      <c r="N37" s="256"/>
      <c r="O37" s="90"/>
      <c r="P37" s="399">
        <v>100</v>
      </c>
      <c r="Q37" s="399"/>
      <c r="R37" s="399">
        <v>100</v>
      </c>
      <c r="S37" s="399">
        <v>100</v>
      </c>
      <c r="T37" s="399">
        <v>100</v>
      </c>
      <c r="U37" s="399">
        <v>100</v>
      </c>
      <c r="V37" s="399"/>
      <c r="W37" s="399">
        <v>100</v>
      </c>
      <c r="X37" s="399">
        <v>100</v>
      </c>
      <c r="Y37" s="399">
        <v>100</v>
      </c>
      <c r="Z37" s="399">
        <v>100</v>
      </c>
      <c r="AA37" s="399">
        <v>100</v>
      </c>
      <c r="AB37" s="417">
        <f t="shared" si="3"/>
        <v>1000</v>
      </c>
    </row>
    <row r="38" spans="1:28" s="92" customFormat="1">
      <c r="A38" s="88">
        <v>54116</v>
      </c>
      <c r="B38" s="88" t="s">
        <v>132</v>
      </c>
      <c r="C38" s="254"/>
      <c r="D38" s="254"/>
      <c r="E38" s="254"/>
      <c r="F38" s="254"/>
      <c r="G38" s="254">
        <v>300</v>
      </c>
      <c r="H38" s="254"/>
      <c r="I38" s="255">
        <f t="shared" si="0"/>
        <v>300</v>
      </c>
      <c r="J38" s="255">
        <f t="shared" si="1"/>
        <v>0</v>
      </c>
      <c r="K38" s="254"/>
      <c r="L38" s="88"/>
      <c r="M38" s="88"/>
      <c r="N38" s="256"/>
      <c r="O38" s="90"/>
      <c r="P38" s="399"/>
      <c r="Q38" s="399"/>
      <c r="R38" s="399"/>
      <c r="S38" s="399"/>
      <c r="T38" s="399"/>
      <c r="U38" s="399"/>
      <c r="V38" s="399"/>
      <c r="W38" s="399"/>
      <c r="X38" s="399"/>
      <c r="Y38" s="399"/>
      <c r="Z38" s="399"/>
      <c r="AA38" s="399">
        <v>300</v>
      </c>
      <c r="AB38" s="417">
        <f t="shared" si="3"/>
        <v>300</v>
      </c>
    </row>
    <row r="39" spans="1:28" s="92" customFormat="1">
      <c r="A39" s="88">
        <v>54117</v>
      </c>
      <c r="B39" s="88" t="s">
        <v>133</v>
      </c>
      <c r="C39" s="254"/>
      <c r="D39" s="254"/>
      <c r="E39" s="254"/>
      <c r="F39" s="254"/>
      <c r="G39" s="254">
        <v>200</v>
      </c>
      <c r="H39" s="254"/>
      <c r="I39" s="255">
        <f t="shared" si="0"/>
        <v>200</v>
      </c>
      <c r="J39" s="255">
        <f t="shared" si="1"/>
        <v>0</v>
      </c>
      <c r="K39" s="254"/>
      <c r="L39" s="88"/>
      <c r="M39" s="88"/>
      <c r="N39" s="256"/>
      <c r="O39" s="90"/>
      <c r="P39" s="399"/>
      <c r="Q39" s="399"/>
      <c r="R39" s="399">
        <v>200</v>
      </c>
      <c r="S39" s="399"/>
      <c r="T39" s="399"/>
      <c r="U39" s="399"/>
      <c r="V39" s="399"/>
      <c r="W39" s="399"/>
      <c r="X39" s="399"/>
      <c r="Y39" s="399"/>
      <c r="Z39" s="399"/>
      <c r="AA39" s="399"/>
      <c r="AB39" s="417">
        <f t="shared" si="3"/>
        <v>200</v>
      </c>
    </row>
    <row r="40" spans="1:28" s="92" customFormat="1">
      <c r="A40" s="88">
        <v>54118</v>
      </c>
      <c r="B40" s="88" t="s">
        <v>134</v>
      </c>
      <c r="C40" s="254"/>
      <c r="D40" s="254"/>
      <c r="E40" s="254"/>
      <c r="F40" s="254"/>
      <c r="G40" s="254">
        <v>2000</v>
      </c>
      <c r="H40" s="254"/>
      <c r="I40" s="255">
        <f t="shared" si="0"/>
        <v>2000</v>
      </c>
      <c r="J40" s="255">
        <f t="shared" si="1"/>
        <v>0</v>
      </c>
      <c r="K40" s="254"/>
      <c r="L40" s="88">
        <v>6000</v>
      </c>
      <c r="M40" s="88"/>
      <c r="N40" s="256"/>
      <c r="O40" s="90"/>
      <c r="P40" s="399">
        <f>$I$40/12</f>
        <v>166.66666666666666</v>
      </c>
      <c r="Q40" s="399">
        <f t="shared" ref="Q40:AA40" si="14">$I$40/12</f>
        <v>166.66666666666666</v>
      </c>
      <c r="R40" s="399">
        <f t="shared" si="14"/>
        <v>166.66666666666666</v>
      </c>
      <c r="S40" s="399">
        <f t="shared" si="14"/>
        <v>166.66666666666666</v>
      </c>
      <c r="T40" s="399">
        <f t="shared" si="14"/>
        <v>166.66666666666666</v>
      </c>
      <c r="U40" s="399">
        <f t="shared" si="14"/>
        <v>166.66666666666666</v>
      </c>
      <c r="V40" s="399">
        <f t="shared" si="14"/>
        <v>166.66666666666666</v>
      </c>
      <c r="W40" s="399">
        <f t="shared" si="14"/>
        <v>166.66666666666666</v>
      </c>
      <c r="X40" s="399">
        <f t="shared" si="14"/>
        <v>166.66666666666666</v>
      </c>
      <c r="Y40" s="399">
        <f t="shared" si="14"/>
        <v>166.66666666666666</v>
      </c>
      <c r="Z40" s="399">
        <f t="shared" si="14"/>
        <v>166.66666666666666</v>
      </c>
      <c r="AA40" s="399">
        <f t="shared" si="14"/>
        <v>166.66666666666666</v>
      </c>
      <c r="AB40" s="417">
        <f t="shared" si="3"/>
        <v>2000.0000000000002</v>
      </c>
    </row>
    <row r="41" spans="1:28" s="92" customFormat="1">
      <c r="A41" s="88">
        <v>54119</v>
      </c>
      <c r="B41" s="88" t="s">
        <v>135</v>
      </c>
      <c r="C41" s="254"/>
      <c r="D41" s="254"/>
      <c r="E41" s="254"/>
      <c r="F41" s="254"/>
      <c r="G41" s="254">
        <v>6000</v>
      </c>
      <c r="H41" s="254"/>
      <c r="I41" s="255">
        <f t="shared" si="0"/>
        <v>6000</v>
      </c>
      <c r="J41" s="255">
        <f t="shared" si="1"/>
        <v>0</v>
      </c>
      <c r="K41" s="254"/>
      <c r="L41" s="88"/>
      <c r="M41" s="88"/>
      <c r="N41" s="256"/>
      <c r="O41" s="90"/>
      <c r="P41" s="399"/>
      <c r="Q41" s="399">
        <v>2000</v>
      </c>
      <c r="R41" s="399"/>
      <c r="S41" s="399"/>
      <c r="T41" s="399">
        <v>2000</v>
      </c>
      <c r="U41" s="399"/>
      <c r="V41" s="399"/>
      <c r="W41" s="399"/>
      <c r="X41" s="399"/>
      <c r="Y41" s="399">
        <v>2000</v>
      </c>
      <c r="Z41" s="399"/>
      <c r="AA41" s="399"/>
      <c r="AB41" s="417">
        <f t="shared" si="3"/>
        <v>6000</v>
      </c>
    </row>
    <row r="42" spans="1:28" s="92" customFormat="1" hidden="1">
      <c r="A42" s="88">
        <v>54121</v>
      </c>
      <c r="B42" s="88" t="s">
        <v>136</v>
      </c>
      <c r="C42" s="254"/>
      <c r="D42" s="254"/>
      <c r="E42" s="254"/>
      <c r="F42" s="254"/>
      <c r="G42" s="254"/>
      <c r="H42" s="254">
        <v>5000</v>
      </c>
      <c r="I42" s="255">
        <f t="shared" si="0"/>
        <v>0</v>
      </c>
      <c r="J42" s="255">
        <f t="shared" si="1"/>
        <v>5000</v>
      </c>
      <c r="K42" s="254"/>
      <c r="L42" s="88"/>
      <c r="M42" s="88"/>
      <c r="N42" s="256"/>
      <c r="O42" s="90"/>
      <c r="P42" s="399"/>
      <c r="Q42" s="399"/>
      <c r="R42" s="399"/>
      <c r="S42" s="399"/>
      <c r="T42" s="399"/>
      <c r="U42" s="399"/>
      <c r="V42" s="399"/>
      <c r="W42" s="399"/>
      <c r="X42" s="399"/>
      <c r="Y42" s="399"/>
      <c r="Z42" s="399"/>
      <c r="AA42" s="399"/>
      <c r="AB42" s="417">
        <f t="shared" si="3"/>
        <v>0</v>
      </c>
    </row>
    <row r="43" spans="1:28" s="92" customFormat="1" hidden="1">
      <c r="A43" s="88"/>
      <c r="B43" s="88"/>
      <c r="C43" s="254"/>
      <c r="D43" s="254"/>
      <c r="E43" s="254"/>
      <c r="F43" s="254"/>
      <c r="G43" s="254"/>
      <c r="H43" s="254"/>
      <c r="I43" s="255"/>
      <c r="J43" s="255"/>
      <c r="K43" s="254"/>
      <c r="L43" s="88"/>
      <c r="M43" s="88"/>
      <c r="N43" s="256"/>
      <c r="O43" s="90"/>
      <c r="P43" s="399"/>
      <c r="Q43" s="399"/>
      <c r="R43" s="399"/>
      <c r="S43" s="399"/>
      <c r="T43" s="399"/>
      <c r="U43" s="399"/>
      <c r="V43" s="399"/>
      <c r="W43" s="399"/>
      <c r="X43" s="399"/>
      <c r="Y43" s="399"/>
      <c r="Z43" s="399"/>
      <c r="AA43" s="399"/>
      <c r="AB43" s="417">
        <f t="shared" si="3"/>
        <v>0</v>
      </c>
    </row>
    <row r="44" spans="1:28" s="92" customFormat="1" hidden="1">
      <c r="A44" s="88"/>
      <c r="B44" s="88"/>
      <c r="C44" s="254"/>
      <c r="D44" s="254"/>
      <c r="E44" s="254"/>
      <c r="F44" s="254"/>
      <c r="G44" s="254"/>
      <c r="H44" s="254"/>
      <c r="I44" s="255"/>
      <c r="J44" s="255"/>
      <c r="K44" s="254"/>
      <c r="L44" s="88"/>
      <c r="M44" s="88"/>
      <c r="N44" s="256"/>
      <c r="O44" s="90"/>
      <c r="P44" s="399"/>
      <c r="Q44" s="399"/>
      <c r="R44" s="399"/>
      <c r="S44" s="399"/>
      <c r="T44" s="399"/>
      <c r="U44" s="399"/>
      <c r="V44" s="399"/>
      <c r="W44" s="399"/>
      <c r="X44" s="399"/>
      <c r="Y44" s="399"/>
      <c r="Z44" s="399"/>
      <c r="AA44" s="399"/>
      <c r="AB44" s="417">
        <f t="shared" si="3"/>
        <v>0</v>
      </c>
    </row>
    <row r="45" spans="1:28" s="92" customFormat="1" hidden="1">
      <c r="A45" s="88"/>
      <c r="B45" s="88"/>
      <c r="C45" s="254"/>
      <c r="D45" s="254"/>
      <c r="E45" s="254"/>
      <c r="F45" s="254"/>
      <c r="G45" s="254"/>
      <c r="H45" s="254"/>
      <c r="I45" s="255"/>
      <c r="J45" s="255"/>
      <c r="K45" s="254"/>
      <c r="L45" s="88"/>
      <c r="M45" s="88"/>
      <c r="N45" s="256"/>
      <c r="O45" s="90"/>
      <c r="P45" s="399"/>
      <c r="Q45" s="399"/>
      <c r="R45" s="399"/>
      <c r="S45" s="399"/>
      <c r="T45" s="399"/>
      <c r="U45" s="399"/>
      <c r="V45" s="399"/>
      <c r="W45" s="399"/>
      <c r="X45" s="399"/>
      <c r="Y45" s="399"/>
      <c r="Z45" s="399"/>
      <c r="AA45" s="399"/>
      <c r="AB45" s="417">
        <f t="shared" si="3"/>
        <v>0</v>
      </c>
    </row>
    <row r="46" spans="1:28" s="92" customFormat="1">
      <c r="A46" s="88">
        <v>54199</v>
      </c>
      <c r="B46" s="88" t="s">
        <v>137</v>
      </c>
      <c r="C46" s="254"/>
      <c r="D46" s="254"/>
      <c r="E46" s="254"/>
      <c r="F46" s="254"/>
      <c r="G46" s="254">
        <v>6000</v>
      </c>
      <c r="H46" s="254"/>
      <c r="I46" s="255">
        <f t="shared" ref="I46:I60" si="15">G46+E46+C46</f>
        <v>6000</v>
      </c>
      <c r="J46" s="255">
        <f t="shared" ref="J46:J60" si="16">H46+F46+D46</f>
        <v>0</v>
      </c>
      <c r="K46" s="254"/>
      <c r="L46" s="88"/>
      <c r="M46" s="88"/>
      <c r="N46" s="256"/>
      <c r="O46" s="90"/>
      <c r="P46" s="399">
        <f>$I$46/12</f>
        <v>500</v>
      </c>
      <c r="Q46" s="399">
        <f t="shared" ref="Q46:AA46" si="17">$I$46/12</f>
        <v>500</v>
      </c>
      <c r="R46" s="399">
        <f t="shared" si="17"/>
        <v>500</v>
      </c>
      <c r="S46" s="399">
        <f t="shared" si="17"/>
        <v>500</v>
      </c>
      <c r="T46" s="399">
        <f t="shared" si="17"/>
        <v>500</v>
      </c>
      <c r="U46" s="399">
        <f t="shared" si="17"/>
        <v>500</v>
      </c>
      <c r="V46" s="399">
        <f t="shared" si="17"/>
        <v>500</v>
      </c>
      <c r="W46" s="399">
        <f t="shared" si="17"/>
        <v>500</v>
      </c>
      <c r="X46" s="399">
        <f t="shared" si="17"/>
        <v>500</v>
      </c>
      <c r="Y46" s="399">
        <f t="shared" si="17"/>
        <v>500</v>
      </c>
      <c r="Z46" s="399">
        <f t="shared" si="17"/>
        <v>500</v>
      </c>
      <c r="AA46" s="399">
        <f t="shared" si="17"/>
        <v>500</v>
      </c>
      <c r="AB46" s="417">
        <f t="shared" si="3"/>
        <v>6000</v>
      </c>
    </row>
    <row r="47" spans="1:28" s="92" customFormat="1">
      <c r="A47" s="88">
        <v>54201</v>
      </c>
      <c r="B47" s="88" t="s">
        <v>138</v>
      </c>
      <c r="C47" s="254">
        <v>1260</v>
      </c>
      <c r="D47" s="254"/>
      <c r="E47" s="254">
        <v>1260</v>
      </c>
      <c r="F47" s="254"/>
      <c r="G47" s="254">
        <v>1680</v>
      </c>
      <c r="H47" s="254"/>
      <c r="I47" s="255">
        <f t="shared" si="15"/>
        <v>4200</v>
      </c>
      <c r="J47" s="255">
        <f t="shared" si="16"/>
        <v>0</v>
      </c>
      <c r="K47" s="254"/>
      <c r="L47" s="88"/>
      <c r="M47" s="88"/>
      <c r="N47" s="256"/>
      <c r="O47" s="90"/>
      <c r="P47" s="399">
        <f>$I$47/12</f>
        <v>350</v>
      </c>
      <c r="Q47" s="399">
        <f t="shared" ref="Q47:AA47" si="18">$I$47/12</f>
        <v>350</v>
      </c>
      <c r="R47" s="399">
        <f t="shared" si="18"/>
        <v>350</v>
      </c>
      <c r="S47" s="399">
        <f t="shared" si="18"/>
        <v>350</v>
      </c>
      <c r="T47" s="399">
        <f t="shared" si="18"/>
        <v>350</v>
      </c>
      <c r="U47" s="399">
        <f t="shared" si="18"/>
        <v>350</v>
      </c>
      <c r="V47" s="399">
        <f t="shared" si="18"/>
        <v>350</v>
      </c>
      <c r="W47" s="399">
        <f t="shared" si="18"/>
        <v>350</v>
      </c>
      <c r="X47" s="399">
        <f t="shared" si="18"/>
        <v>350</v>
      </c>
      <c r="Y47" s="399">
        <f t="shared" si="18"/>
        <v>350</v>
      </c>
      <c r="Z47" s="399">
        <f t="shared" si="18"/>
        <v>350</v>
      </c>
      <c r="AA47" s="399">
        <f t="shared" si="18"/>
        <v>350</v>
      </c>
      <c r="AB47" s="417">
        <f t="shared" si="3"/>
        <v>4200</v>
      </c>
    </row>
    <row r="48" spans="1:28" s="92" customFormat="1" hidden="1">
      <c r="A48" s="88">
        <v>54202</v>
      </c>
      <c r="B48" s="88" t="s">
        <v>139</v>
      </c>
      <c r="C48" s="254"/>
      <c r="D48" s="254"/>
      <c r="E48" s="254"/>
      <c r="F48" s="254"/>
      <c r="G48" s="254"/>
      <c r="H48" s="254"/>
      <c r="I48" s="255">
        <f t="shared" si="15"/>
        <v>0</v>
      </c>
      <c r="J48" s="255">
        <f t="shared" si="16"/>
        <v>0</v>
      </c>
      <c r="K48" s="254"/>
      <c r="L48" s="88"/>
      <c r="M48" s="88"/>
      <c r="N48" s="256"/>
      <c r="O48" s="90"/>
      <c r="P48" s="399"/>
      <c r="Q48" s="399"/>
      <c r="R48" s="399"/>
      <c r="S48" s="399"/>
      <c r="T48" s="399"/>
      <c r="U48" s="399"/>
      <c r="V48" s="399"/>
      <c r="W48" s="399"/>
      <c r="X48" s="399"/>
      <c r="Y48" s="399"/>
      <c r="Z48" s="399"/>
      <c r="AA48" s="399"/>
      <c r="AB48" s="417">
        <f t="shared" si="3"/>
        <v>0</v>
      </c>
    </row>
    <row r="49" spans="1:28" s="92" customFormat="1">
      <c r="A49" s="88">
        <v>54203</v>
      </c>
      <c r="B49" s="88" t="s">
        <v>140</v>
      </c>
      <c r="C49" s="254">
        <v>2500</v>
      </c>
      <c r="D49" s="254"/>
      <c r="E49" s="254"/>
      <c r="F49" s="254"/>
      <c r="G49" s="254">
        <v>4800</v>
      </c>
      <c r="H49" s="254"/>
      <c r="I49" s="255">
        <f t="shared" si="15"/>
        <v>7300</v>
      </c>
      <c r="J49" s="255">
        <f t="shared" si="16"/>
        <v>0</v>
      </c>
      <c r="K49" s="254"/>
      <c r="L49" s="88"/>
      <c r="M49" s="88"/>
      <c r="N49" s="256"/>
      <c r="O49" s="90"/>
      <c r="P49" s="399">
        <f>$I$49/12</f>
        <v>608.33333333333337</v>
      </c>
      <c r="Q49" s="399">
        <f t="shared" ref="Q49:AA49" si="19">$I$49/12</f>
        <v>608.33333333333337</v>
      </c>
      <c r="R49" s="399">
        <f t="shared" si="19"/>
        <v>608.33333333333337</v>
      </c>
      <c r="S49" s="399">
        <f t="shared" si="19"/>
        <v>608.33333333333337</v>
      </c>
      <c r="T49" s="399">
        <f t="shared" si="19"/>
        <v>608.33333333333337</v>
      </c>
      <c r="U49" s="399">
        <f t="shared" si="19"/>
        <v>608.33333333333337</v>
      </c>
      <c r="V49" s="399">
        <f t="shared" si="19"/>
        <v>608.33333333333337</v>
      </c>
      <c r="W49" s="399">
        <f t="shared" si="19"/>
        <v>608.33333333333337</v>
      </c>
      <c r="X49" s="399">
        <f t="shared" si="19"/>
        <v>608.33333333333337</v>
      </c>
      <c r="Y49" s="399">
        <f t="shared" si="19"/>
        <v>608.33333333333337</v>
      </c>
      <c r="Z49" s="399">
        <f t="shared" si="19"/>
        <v>608.33333333333337</v>
      </c>
      <c r="AA49" s="399">
        <f t="shared" si="19"/>
        <v>608.33333333333337</v>
      </c>
      <c r="AB49" s="417">
        <f t="shared" si="3"/>
        <v>7299.9999999999991</v>
      </c>
    </row>
    <row r="50" spans="1:28" s="92" customFormat="1" hidden="1">
      <c r="A50" s="88">
        <v>54204</v>
      </c>
      <c r="B50" s="88" t="s">
        <v>141</v>
      </c>
      <c r="C50" s="254"/>
      <c r="D50" s="254"/>
      <c r="E50" s="254"/>
      <c r="F50" s="254"/>
      <c r="G50" s="254"/>
      <c r="H50" s="254"/>
      <c r="I50" s="255">
        <f t="shared" si="15"/>
        <v>0</v>
      </c>
      <c r="J50" s="255">
        <f t="shared" si="16"/>
        <v>0</v>
      </c>
      <c r="K50" s="254"/>
      <c r="L50" s="88"/>
      <c r="M50" s="88"/>
      <c r="N50" s="256"/>
      <c r="O50" s="90"/>
      <c r="P50" s="399"/>
      <c r="Q50" s="399"/>
      <c r="R50" s="399"/>
      <c r="S50" s="399"/>
      <c r="T50" s="399"/>
      <c r="U50" s="399"/>
      <c r="V50" s="399"/>
      <c r="W50" s="399"/>
      <c r="X50" s="399"/>
      <c r="Y50" s="399"/>
      <c r="Z50" s="399"/>
      <c r="AA50" s="399"/>
      <c r="AB50" s="417">
        <f t="shared" si="3"/>
        <v>0</v>
      </c>
    </row>
    <row r="51" spans="1:28" s="92" customFormat="1" hidden="1">
      <c r="A51" s="88">
        <v>54205</v>
      </c>
      <c r="B51" s="88" t="s">
        <v>142</v>
      </c>
      <c r="C51" s="254"/>
      <c r="D51" s="254"/>
      <c r="E51" s="254"/>
      <c r="F51" s="254"/>
      <c r="G51" s="254"/>
      <c r="H51" s="254">
        <v>76115</v>
      </c>
      <c r="I51" s="255">
        <f t="shared" si="15"/>
        <v>0</v>
      </c>
      <c r="J51" s="255">
        <f t="shared" si="16"/>
        <v>76115</v>
      </c>
      <c r="K51" s="254"/>
      <c r="L51" s="88"/>
      <c r="M51" s="88"/>
      <c r="N51" s="256"/>
      <c r="O51" s="90"/>
      <c r="P51" s="399"/>
      <c r="Q51" s="399"/>
      <c r="R51" s="399"/>
      <c r="S51" s="399"/>
      <c r="T51" s="399"/>
      <c r="U51" s="399"/>
      <c r="V51" s="399"/>
      <c r="W51" s="399"/>
      <c r="X51" s="399"/>
      <c r="Y51" s="399"/>
      <c r="Z51" s="399"/>
      <c r="AA51" s="399"/>
      <c r="AB51" s="417">
        <f t="shared" si="3"/>
        <v>0</v>
      </c>
    </row>
    <row r="52" spans="1:28" s="92" customFormat="1">
      <c r="A52" s="88">
        <v>54301</v>
      </c>
      <c r="B52" s="88" t="s">
        <v>143</v>
      </c>
      <c r="C52" s="254"/>
      <c r="D52" s="254"/>
      <c r="E52" s="254"/>
      <c r="F52" s="254"/>
      <c r="G52" s="254">
        <v>3000</v>
      </c>
      <c r="H52" s="254"/>
      <c r="I52" s="255">
        <f t="shared" si="15"/>
        <v>3000</v>
      </c>
      <c r="J52" s="255">
        <f t="shared" si="16"/>
        <v>0</v>
      </c>
      <c r="K52" s="254"/>
      <c r="L52" s="88"/>
      <c r="M52" s="88"/>
      <c r="N52" s="256"/>
      <c r="O52" s="90"/>
      <c r="P52" s="399">
        <f>$I$52/12</f>
        <v>250</v>
      </c>
      <c r="Q52" s="399">
        <f t="shared" ref="Q52:AA52" si="20">$I$52/12</f>
        <v>250</v>
      </c>
      <c r="R52" s="399">
        <f t="shared" si="20"/>
        <v>250</v>
      </c>
      <c r="S52" s="399">
        <f t="shared" si="20"/>
        <v>250</v>
      </c>
      <c r="T52" s="399">
        <f t="shared" si="20"/>
        <v>250</v>
      </c>
      <c r="U52" s="399">
        <f t="shared" si="20"/>
        <v>250</v>
      </c>
      <c r="V52" s="399">
        <f t="shared" si="20"/>
        <v>250</v>
      </c>
      <c r="W52" s="399">
        <f t="shared" si="20"/>
        <v>250</v>
      </c>
      <c r="X52" s="399">
        <f t="shared" si="20"/>
        <v>250</v>
      </c>
      <c r="Y52" s="399">
        <f t="shared" si="20"/>
        <v>250</v>
      </c>
      <c r="Z52" s="399">
        <f t="shared" si="20"/>
        <v>250</v>
      </c>
      <c r="AA52" s="399">
        <f t="shared" si="20"/>
        <v>250</v>
      </c>
      <c r="AB52" s="417">
        <f t="shared" si="3"/>
        <v>3000</v>
      </c>
    </row>
    <row r="53" spans="1:28" s="92" customFormat="1">
      <c r="A53" s="88">
        <v>54302</v>
      </c>
      <c r="B53" s="88" t="s">
        <v>144</v>
      </c>
      <c r="C53" s="254">
        <v>2000</v>
      </c>
      <c r="D53" s="254"/>
      <c r="E53" s="254"/>
      <c r="F53" s="254"/>
      <c r="G53" s="254"/>
      <c r="H53" s="254"/>
      <c r="I53" s="255">
        <f t="shared" si="15"/>
        <v>2000</v>
      </c>
      <c r="J53" s="255">
        <f t="shared" si="16"/>
        <v>0</v>
      </c>
      <c r="K53" s="254"/>
      <c r="L53" s="88"/>
      <c r="M53" s="88"/>
      <c r="N53" s="256"/>
      <c r="O53" s="90"/>
      <c r="P53" s="399"/>
      <c r="Q53" s="399"/>
      <c r="R53" s="399"/>
      <c r="S53" s="399"/>
      <c r="T53" s="399">
        <v>1500</v>
      </c>
      <c r="U53" s="399"/>
      <c r="V53" s="399"/>
      <c r="W53" s="399"/>
      <c r="X53" s="399">
        <v>500</v>
      </c>
      <c r="Y53" s="399"/>
      <c r="Z53" s="399"/>
      <c r="AA53" s="399"/>
      <c r="AB53" s="417">
        <f t="shared" si="3"/>
        <v>2000</v>
      </c>
    </row>
    <row r="54" spans="1:28" s="92" customFormat="1" hidden="1">
      <c r="A54" s="88">
        <v>54303</v>
      </c>
      <c r="B54" s="88" t="s">
        <v>145</v>
      </c>
      <c r="C54" s="254"/>
      <c r="D54" s="254"/>
      <c r="E54" s="254"/>
      <c r="F54" s="254"/>
      <c r="G54" s="254"/>
      <c r="H54" s="254"/>
      <c r="I54" s="255">
        <f t="shared" si="15"/>
        <v>0</v>
      </c>
      <c r="J54" s="255">
        <f t="shared" si="16"/>
        <v>0</v>
      </c>
      <c r="K54" s="254"/>
      <c r="L54" s="88"/>
      <c r="M54" s="88"/>
      <c r="N54" s="256"/>
      <c r="O54" s="90"/>
      <c r="P54" s="399"/>
      <c r="Q54" s="399"/>
      <c r="R54" s="399"/>
      <c r="S54" s="399"/>
      <c r="T54" s="399"/>
      <c r="U54" s="399"/>
      <c r="V54" s="399"/>
      <c r="W54" s="399"/>
      <c r="X54" s="399"/>
      <c r="Y54" s="399"/>
      <c r="Z54" s="399"/>
      <c r="AA54" s="399"/>
      <c r="AB54" s="417">
        <f t="shared" si="3"/>
        <v>0</v>
      </c>
    </row>
    <row r="55" spans="1:28" s="92" customFormat="1">
      <c r="A55" s="88">
        <v>54304</v>
      </c>
      <c r="B55" s="88" t="s">
        <v>146</v>
      </c>
      <c r="C55" s="254"/>
      <c r="D55" s="254"/>
      <c r="E55" s="254"/>
      <c r="F55" s="254"/>
      <c r="G55" s="254">
        <v>2400</v>
      </c>
      <c r="H55" s="254"/>
      <c r="I55" s="255">
        <f t="shared" si="15"/>
        <v>2400</v>
      </c>
      <c r="J55" s="255">
        <f t="shared" si="16"/>
        <v>0</v>
      </c>
      <c r="K55" s="254"/>
      <c r="L55" s="88"/>
      <c r="M55" s="88"/>
      <c r="N55" s="256"/>
      <c r="O55" s="90"/>
      <c r="P55" s="399">
        <f>$I$55/12</f>
        <v>200</v>
      </c>
      <c r="Q55" s="399">
        <f t="shared" ref="Q55:AA55" si="21">$I$55/12</f>
        <v>200</v>
      </c>
      <c r="R55" s="399">
        <f t="shared" si="21"/>
        <v>200</v>
      </c>
      <c r="S55" s="399">
        <f t="shared" si="21"/>
        <v>200</v>
      </c>
      <c r="T55" s="399">
        <f t="shared" si="21"/>
        <v>200</v>
      </c>
      <c r="U55" s="399">
        <f t="shared" si="21"/>
        <v>200</v>
      </c>
      <c r="V55" s="399">
        <f t="shared" si="21"/>
        <v>200</v>
      </c>
      <c r="W55" s="399">
        <f t="shared" si="21"/>
        <v>200</v>
      </c>
      <c r="X55" s="399">
        <f t="shared" si="21"/>
        <v>200</v>
      </c>
      <c r="Y55" s="399">
        <f t="shared" si="21"/>
        <v>200</v>
      </c>
      <c r="Z55" s="399">
        <f t="shared" si="21"/>
        <v>200</v>
      </c>
      <c r="AA55" s="399">
        <f t="shared" si="21"/>
        <v>200</v>
      </c>
      <c r="AB55" s="417">
        <f t="shared" si="3"/>
        <v>2400</v>
      </c>
    </row>
    <row r="56" spans="1:28" s="92" customFormat="1">
      <c r="A56" s="88">
        <v>54305</v>
      </c>
      <c r="B56" s="88" t="s">
        <v>71</v>
      </c>
      <c r="C56" s="254">
        <v>3000</v>
      </c>
      <c r="D56" s="254"/>
      <c r="E56" s="254"/>
      <c r="F56" s="254"/>
      <c r="G56" s="254"/>
      <c r="H56" s="254"/>
      <c r="I56" s="255">
        <f t="shared" si="15"/>
        <v>3000</v>
      </c>
      <c r="J56" s="255">
        <f t="shared" si="16"/>
        <v>0</v>
      </c>
      <c r="K56" s="254"/>
      <c r="L56" s="88"/>
      <c r="M56" s="88"/>
      <c r="N56" s="256"/>
      <c r="O56" s="90"/>
      <c r="P56" s="399">
        <f>$I$56/12</f>
        <v>250</v>
      </c>
      <c r="Q56" s="399">
        <f t="shared" ref="Q56:AA56" si="22">$I$56/12</f>
        <v>250</v>
      </c>
      <c r="R56" s="399">
        <f t="shared" si="22"/>
        <v>250</v>
      </c>
      <c r="S56" s="399">
        <f t="shared" si="22"/>
        <v>250</v>
      </c>
      <c r="T56" s="399">
        <f t="shared" si="22"/>
        <v>250</v>
      </c>
      <c r="U56" s="399">
        <f t="shared" si="22"/>
        <v>250</v>
      </c>
      <c r="V56" s="399">
        <f t="shared" si="22"/>
        <v>250</v>
      </c>
      <c r="W56" s="399">
        <f t="shared" si="22"/>
        <v>250</v>
      </c>
      <c r="X56" s="399">
        <f t="shared" si="22"/>
        <v>250</v>
      </c>
      <c r="Y56" s="399">
        <f t="shared" si="22"/>
        <v>250</v>
      </c>
      <c r="Z56" s="399">
        <f t="shared" si="22"/>
        <v>250</v>
      </c>
      <c r="AA56" s="399">
        <f t="shared" si="22"/>
        <v>250</v>
      </c>
      <c r="AB56" s="417">
        <f t="shared" si="3"/>
        <v>3000</v>
      </c>
    </row>
    <row r="57" spans="1:28" s="92" customFormat="1" hidden="1">
      <c r="A57" s="88">
        <v>54306</v>
      </c>
      <c r="B57" s="88" t="s">
        <v>150</v>
      </c>
      <c r="C57" s="254"/>
      <c r="D57" s="254"/>
      <c r="E57" s="254"/>
      <c r="F57" s="254"/>
      <c r="G57" s="254"/>
      <c r="H57" s="254"/>
      <c r="I57" s="255">
        <f t="shared" si="15"/>
        <v>0</v>
      </c>
      <c r="J57" s="255">
        <f t="shared" si="16"/>
        <v>0</v>
      </c>
      <c r="K57" s="254"/>
      <c r="L57" s="88"/>
      <c r="M57" s="88"/>
      <c r="N57" s="256"/>
      <c r="O57" s="90"/>
      <c r="P57" s="399"/>
      <c r="Q57" s="399"/>
      <c r="R57" s="399"/>
      <c r="S57" s="399"/>
      <c r="T57" s="399"/>
      <c r="U57" s="399"/>
      <c r="V57" s="399"/>
      <c r="W57" s="399"/>
      <c r="X57" s="399"/>
      <c r="Y57" s="399"/>
      <c r="Z57" s="399"/>
      <c r="AA57" s="399"/>
      <c r="AB57" s="417">
        <f t="shared" si="3"/>
        <v>0</v>
      </c>
    </row>
    <row r="58" spans="1:28" s="92" customFormat="1" hidden="1">
      <c r="A58" s="88">
        <v>54307</v>
      </c>
      <c r="B58" s="88" t="s">
        <v>151</v>
      </c>
      <c r="C58" s="254"/>
      <c r="D58" s="254"/>
      <c r="E58" s="254"/>
      <c r="F58" s="254"/>
      <c r="G58" s="254"/>
      <c r="H58" s="254"/>
      <c r="I58" s="255">
        <f t="shared" si="15"/>
        <v>0</v>
      </c>
      <c r="J58" s="255">
        <f t="shared" si="16"/>
        <v>0</v>
      </c>
      <c r="K58" s="254"/>
      <c r="L58" s="88"/>
      <c r="M58" s="88"/>
      <c r="N58" s="256"/>
      <c r="O58" s="90"/>
      <c r="P58" s="399"/>
      <c r="Q58" s="399"/>
      <c r="R58" s="399"/>
      <c r="S58" s="399"/>
      <c r="T58" s="399"/>
      <c r="U58" s="399"/>
      <c r="V58" s="399"/>
      <c r="W58" s="399"/>
      <c r="X58" s="399"/>
      <c r="Y58" s="399"/>
      <c r="Z58" s="399"/>
      <c r="AA58" s="399"/>
      <c r="AB58" s="417">
        <f t="shared" si="3"/>
        <v>0</v>
      </c>
    </row>
    <row r="59" spans="1:28" s="92" customFormat="1" hidden="1">
      <c r="A59" s="88">
        <v>54308</v>
      </c>
      <c r="B59" s="88" t="s">
        <v>152</v>
      </c>
      <c r="C59" s="254"/>
      <c r="D59" s="254"/>
      <c r="E59" s="254"/>
      <c r="F59" s="254"/>
      <c r="G59" s="254"/>
      <c r="H59" s="254"/>
      <c r="I59" s="255">
        <f t="shared" si="15"/>
        <v>0</v>
      </c>
      <c r="J59" s="255">
        <f t="shared" si="16"/>
        <v>0</v>
      </c>
      <c r="K59" s="254"/>
      <c r="L59" s="88"/>
      <c r="M59" s="88"/>
      <c r="N59" s="256"/>
      <c r="O59" s="90"/>
      <c r="P59" s="399"/>
      <c r="Q59" s="399"/>
      <c r="R59" s="399"/>
      <c r="S59" s="399"/>
      <c r="T59" s="399"/>
      <c r="U59" s="399"/>
      <c r="V59" s="399"/>
      <c r="W59" s="399"/>
      <c r="X59" s="399"/>
      <c r="Y59" s="399"/>
      <c r="Z59" s="399"/>
      <c r="AA59" s="399"/>
      <c r="AB59" s="417">
        <f t="shared" si="3"/>
        <v>0</v>
      </c>
    </row>
    <row r="60" spans="1:28" s="92" customFormat="1" hidden="1">
      <c r="A60" s="88">
        <v>54309</v>
      </c>
      <c r="B60" s="88" t="s">
        <v>153</v>
      </c>
      <c r="C60" s="254"/>
      <c r="D60" s="254"/>
      <c r="E60" s="254"/>
      <c r="F60" s="254"/>
      <c r="G60" s="254"/>
      <c r="H60" s="254"/>
      <c r="I60" s="255">
        <f t="shared" si="15"/>
        <v>0</v>
      </c>
      <c r="J60" s="255">
        <f t="shared" si="16"/>
        <v>0</v>
      </c>
      <c r="K60" s="254"/>
      <c r="L60" s="88"/>
      <c r="M60" s="88"/>
      <c r="N60" s="256"/>
      <c r="O60" s="90"/>
      <c r="P60" s="399"/>
      <c r="Q60" s="399"/>
      <c r="R60" s="399"/>
      <c r="S60" s="399"/>
      <c r="T60" s="399"/>
      <c r="U60" s="399"/>
      <c r="V60" s="399"/>
      <c r="W60" s="399"/>
      <c r="X60" s="399"/>
      <c r="Y60" s="399"/>
      <c r="Z60" s="399"/>
      <c r="AA60" s="399"/>
      <c r="AB60" s="417">
        <f t="shared" si="3"/>
        <v>0</v>
      </c>
    </row>
    <row r="61" spans="1:28" s="92" customFormat="1" hidden="1">
      <c r="A61" s="294"/>
      <c r="B61" s="295"/>
      <c r="C61" s="254"/>
      <c r="D61" s="254"/>
      <c r="E61" s="254"/>
      <c r="F61" s="254"/>
      <c r="G61" s="254"/>
      <c r="H61" s="254"/>
      <c r="I61" s="255"/>
      <c r="J61" s="255"/>
      <c r="K61" s="254"/>
      <c r="L61" s="88"/>
      <c r="M61" s="88"/>
      <c r="N61" s="256"/>
      <c r="O61" s="90"/>
      <c r="P61" s="399"/>
      <c r="Q61" s="399"/>
      <c r="R61" s="399"/>
      <c r="S61" s="399"/>
      <c r="T61" s="399"/>
      <c r="U61" s="399"/>
      <c r="V61" s="399"/>
      <c r="W61" s="399"/>
      <c r="X61" s="399"/>
      <c r="Y61" s="399"/>
      <c r="Z61" s="399"/>
      <c r="AA61" s="399"/>
      <c r="AB61" s="417">
        <f t="shared" si="3"/>
        <v>0</v>
      </c>
    </row>
    <row r="62" spans="1:28" s="92" customFormat="1" hidden="1">
      <c r="A62" s="294"/>
      <c r="B62" s="295"/>
      <c r="C62" s="254"/>
      <c r="D62" s="254"/>
      <c r="E62" s="254"/>
      <c r="F62" s="254"/>
      <c r="G62" s="254"/>
      <c r="H62" s="254"/>
      <c r="I62" s="255"/>
      <c r="J62" s="255"/>
      <c r="K62" s="254"/>
      <c r="L62" s="88"/>
      <c r="M62" s="88"/>
      <c r="N62" s="256"/>
      <c r="O62" s="90"/>
      <c r="P62" s="399"/>
      <c r="Q62" s="399"/>
      <c r="R62" s="399"/>
      <c r="S62" s="399"/>
      <c r="T62" s="399"/>
      <c r="U62" s="399"/>
      <c r="V62" s="399"/>
      <c r="W62" s="399"/>
      <c r="X62" s="399"/>
      <c r="Y62" s="399"/>
      <c r="Z62" s="399"/>
      <c r="AA62" s="399"/>
      <c r="AB62" s="417">
        <f t="shared" si="3"/>
        <v>0</v>
      </c>
    </row>
    <row r="63" spans="1:28" s="92" customFormat="1" hidden="1">
      <c r="A63" s="294"/>
      <c r="B63" s="295"/>
      <c r="C63" s="254"/>
      <c r="D63" s="254"/>
      <c r="E63" s="254"/>
      <c r="F63" s="254"/>
      <c r="G63" s="254"/>
      <c r="H63" s="254"/>
      <c r="I63" s="255"/>
      <c r="J63" s="255"/>
      <c r="K63" s="254"/>
      <c r="L63" s="88"/>
      <c r="M63" s="88"/>
      <c r="N63" s="256"/>
      <c r="O63" s="90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417">
        <f t="shared" si="3"/>
        <v>0</v>
      </c>
    </row>
    <row r="64" spans="1:28" s="92" customFormat="1" hidden="1">
      <c r="A64" s="1764" t="s">
        <v>455</v>
      </c>
      <c r="B64" s="1765"/>
      <c r="C64" s="1762" t="s">
        <v>541</v>
      </c>
      <c r="D64" s="1763"/>
      <c r="E64" s="1762" t="s">
        <v>552</v>
      </c>
      <c r="F64" s="1763"/>
      <c r="G64" s="1762" t="s">
        <v>558</v>
      </c>
      <c r="H64" s="1763"/>
      <c r="I64" s="1757" t="s">
        <v>456</v>
      </c>
      <c r="J64" s="1757" t="s">
        <v>260</v>
      </c>
      <c r="K64" s="252" t="s">
        <v>17</v>
      </c>
      <c r="L64" s="1697">
        <v>302</v>
      </c>
      <c r="M64" s="1697"/>
      <c r="N64" s="256"/>
      <c r="O64" s="90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417">
        <f t="shared" si="3"/>
        <v>0</v>
      </c>
    </row>
    <row r="65" spans="1:28" s="92" customFormat="1" ht="24" hidden="1" customHeight="1">
      <c r="A65" s="1766"/>
      <c r="B65" s="1767"/>
      <c r="C65" s="105" t="s">
        <v>73</v>
      </c>
      <c r="D65" s="274">
        <v>0.25</v>
      </c>
      <c r="E65" s="105" t="s">
        <v>73</v>
      </c>
      <c r="F65" s="274">
        <v>0.25</v>
      </c>
      <c r="G65" s="105" t="s">
        <v>73</v>
      </c>
      <c r="H65" s="274">
        <v>0.25</v>
      </c>
      <c r="I65" s="1757"/>
      <c r="J65" s="1757"/>
      <c r="K65" s="253" t="s">
        <v>211</v>
      </c>
      <c r="L65" s="253" t="s">
        <v>211</v>
      </c>
      <c r="M65" s="253" t="s">
        <v>218</v>
      </c>
      <c r="N65" s="256"/>
      <c r="O65" s="90"/>
      <c r="P65" s="399"/>
      <c r="Q65" s="399"/>
      <c r="R65" s="399"/>
      <c r="S65" s="399"/>
      <c r="T65" s="399"/>
      <c r="U65" s="399"/>
      <c r="V65" s="399"/>
      <c r="W65" s="399"/>
      <c r="X65" s="399"/>
      <c r="Y65" s="399"/>
      <c r="Z65" s="399"/>
      <c r="AA65" s="399"/>
      <c r="AB65" s="417">
        <f t="shared" si="3"/>
        <v>0</v>
      </c>
    </row>
    <row r="66" spans="1:28" s="92" customFormat="1" hidden="1">
      <c r="A66" s="1697" t="s">
        <v>19</v>
      </c>
      <c r="B66" s="1697"/>
      <c r="C66" s="254"/>
      <c r="D66" s="254"/>
      <c r="E66" s="254"/>
      <c r="F66" s="254"/>
      <c r="G66" s="254"/>
      <c r="H66" s="254"/>
      <c r="I66" s="255"/>
      <c r="J66" s="255"/>
      <c r="K66" s="254"/>
      <c r="L66" s="88"/>
      <c r="M66" s="88"/>
      <c r="N66" s="256"/>
      <c r="O66" s="90"/>
      <c r="P66" s="399"/>
      <c r="Q66" s="399"/>
      <c r="R66" s="399"/>
      <c r="S66" s="399"/>
      <c r="T66" s="399"/>
      <c r="U66" s="399"/>
      <c r="V66" s="399"/>
      <c r="W66" s="399"/>
      <c r="X66" s="399"/>
      <c r="Y66" s="399"/>
      <c r="Z66" s="399"/>
      <c r="AA66" s="399"/>
      <c r="AB66" s="417">
        <f t="shared" si="3"/>
        <v>0</v>
      </c>
    </row>
    <row r="67" spans="1:28" s="92" customFormat="1">
      <c r="A67" s="88">
        <v>54310</v>
      </c>
      <c r="B67" s="88" t="s">
        <v>154</v>
      </c>
      <c r="C67" s="254">
        <v>6000</v>
      </c>
      <c r="D67" s="254"/>
      <c r="E67" s="254"/>
      <c r="F67" s="254"/>
      <c r="G67" s="254"/>
      <c r="H67" s="254"/>
      <c r="I67" s="255">
        <v>8000</v>
      </c>
      <c r="J67" s="255">
        <f t="shared" ref="J67:J75" si="23">H67+F67+D67</f>
        <v>0</v>
      </c>
      <c r="K67" s="254"/>
      <c r="L67" s="88"/>
      <c r="M67" s="88"/>
      <c r="N67" s="256"/>
      <c r="O67" s="90"/>
      <c r="P67" s="399">
        <f>$I$67/12</f>
        <v>666.66666666666663</v>
      </c>
      <c r="Q67" s="399">
        <f t="shared" ref="Q67:AA67" si="24">$I$67/12</f>
        <v>666.66666666666663</v>
      </c>
      <c r="R67" s="399">
        <f t="shared" si="24"/>
        <v>666.66666666666663</v>
      </c>
      <c r="S67" s="399">
        <f t="shared" si="24"/>
        <v>666.66666666666663</v>
      </c>
      <c r="T67" s="399">
        <f t="shared" si="24"/>
        <v>666.66666666666663</v>
      </c>
      <c r="U67" s="399">
        <f t="shared" si="24"/>
        <v>666.66666666666663</v>
      </c>
      <c r="V67" s="399">
        <f t="shared" si="24"/>
        <v>666.66666666666663</v>
      </c>
      <c r="W67" s="399">
        <f t="shared" si="24"/>
        <v>666.66666666666663</v>
      </c>
      <c r="X67" s="399">
        <f t="shared" si="24"/>
        <v>666.66666666666663</v>
      </c>
      <c r="Y67" s="399">
        <f t="shared" si="24"/>
        <v>666.66666666666663</v>
      </c>
      <c r="Z67" s="399">
        <f t="shared" si="24"/>
        <v>666.66666666666663</v>
      </c>
      <c r="AA67" s="399">
        <f t="shared" si="24"/>
        <v>666.66666666666663</v>
      </c>
      <c r="AB67" s="417">
        <f t="shared" si="3"/>
        <v>8000.0000000000009</v>
      </c>
    </row>
    <row r="68" spans="1:28" s="92" customFormat="1" hidden="1">
      <c r="A68" s="88">
        <v>54311</v>
      </c>
      <c r="B68" s="88" t="s">
        <v>49</v>
      </c>
      <c r="C68" s="254"/>
      <c r="D68" s="254"/>
      <c r="E68" s="254"/>
      <c r="F68" s="254"/>
      <c r="G68" s="254"/>
      <c r="H68" s="254"/>
      <c r="I68" s="255">
        <f t="shared" ref="I68:I75" si="25">G68+E68+C68</f>
        <v>0</v>
      </c>
      <c r="J68" s="255">
        <f t="shared" si="23"/>
        <v>0</v>
      </c>
      <c r="K68" s="254"/>
      <c r="L68" s="88"/>
      <c r="M68" s="88"/>
      <c r="N68" s="256"/>
      <c r="O68" s="90"/>
      <c r="P68" s="399"/>
      <c r="Q68" s="399"/>
      <c r="R68" s="399"/>
      <c r="S68" s="399"/>
      <c r="T68" s="399"/>
      <c r="U68" s="399"/>
      <c r="V68" s="399"/>
      <c r="W68" s="399"/>
      <c r="X68" s="399"/>
      <c r="Y68" s="399"/>
      <c r="Z68" s="399"/>
      <c r="AA68" s="399"/>
      <c r="AB68" s="417">
        <f t="shared" si="3"/>
        <v>0</v>
      </c>
    </row>
    <row r="69" spans="1:28" s="92" customFormat="1" hidden="1">
      <c r="A69" s="88">
        <v>54312</v>
      </c>
      <c r="B69" s="88"/>
      <c r="C69" s="254"/>
      <c r="D69" s="254"/>
      <c r="E69" s="254"/>
      <c r="F69" s="254"/>
      <c r="G69" s="254"/>
      <c r="H69" s="254"/>
      <c r="I69" s="255">
        <f t="shared" si="25"/>
        <v>0</v>
      </c>
      <c r="J69" s="255">
        <f t="shared" si="23"/>
        <v>0</v>
      </c>
      <c r="K69" s="254"/>
      <c r="L69" s="88"/>
      <c r="M69" s="88"/>
      <c r="N69" s="256"/>
      <c r="O69" s="90"/>
      <c r="P69" s="399"/>
      <c r="Q69" s="399"/>
      <c r="R69" s="399"/>
      <c r="S69" s="399"/>
      <c r="T69" s="399"/>
      <c r="U69" s="399"/>
      <c r="V69" s="399"/>
      <c r="W69" s="399"/>
      <c r="X69" s="399"/>
      <c r="Y69" s="399"/>
      <c r="Z69" s="399"/>
      <c r="AA69" s="399"/>
      <c r="AB69" s="417">
        <f t="shared" si="3"/>
        <v>0</v>
      </c>
    </row>
    <row r="70" spans="1:28" s="92" customFormat="1">
      <c r="A70" s="88">
        <v>54313</v>
      </c>
      <c r="B70" s="88" t="s">
        <v>412</v>
      </c>
      <c r="C70" s="254">
        <v>1500</v>
      </c>
      <c r="D70" s="254"/>
      <c r="E70" s="254"/>
      <c r="F70" s="254"/>
      <c r="G70" s="254"/>
      <c r="H70" s="254"/>
      <c r="I70" s="255">
        <f t="shared" si="25"/>
        <v>1500</v>
      </c>
      <c r="J70" s="255">
        <f t="shared" si="23"/>
        <v>0</v>
      </c>
      <c r="K70" s="254"/>
      <c r="L70" s="88"/>
      <c r="M70" s="88"/>
      <c r="N70" s="256"/>
      <c r="O70" s="90"/>
      <c r="P70" s="399">
        <f>$I$70/12</f>
        <v>125</v>
      </c>
      <c r="Q70" s="399">
        <f t="shared" ref="Q70:AA70" si="26">$I$70/12</f>
        <v>125</v>
      </c>
      <c r="R70" s="399">
        <f t="shared" si="26"/>
        <v>125</v>
      </c>
      <c r="S70" s="399">
        <f t="shared" si="26"/>
        <v>125</v>
      </c>
      <c r="T70" s="399">
        <f t="shared" si="26"/>
        <v>125</v>
      </c>
      <c r="U70" s="399">
        <f t="shared" si="26"/>
        <v>125</v>
      </c>
      <c r="V70" s="399">
        <f t="shared" si="26"/>
        <v>125</v>
      </c>
      <c r="W70" s="399">
        <f t="shared" si="26"/>
        <v>125</v>
      </c>
      <c r="X70" s="399">
        <f t="shared" si="26"/>
        <v>125</v>
      </c>
      <c r="Y70" s="399">
        <f t="shared" si="26"/>
        <v>125</v>
      </c>
      <c r="Z70" s="399">
        <f t="shared" si="26"/>
        <v>125</v>
      </c>
      <c r="AA70" s="399">
        <f t="shared" si="26"/>
        <v>125</v>
      </c>
      <c r="AB70" s="417">
        <f t="shared" si="3"/>
        <v>1500</v>
      </c>
    </row>
    <row r="71" spans="1:28" s="92" customFormat="1">
      <c r="A71" s="88">
        <v>54314</v>
      </c>
      <c r="B71" s="88" t="s">
        <v>48</v>
      </c>
      <c r="C71" s="254">
        <v>7000</v>
      </c>
      <c r="D71" s="254"/>
      <c r="E71" s="254"/>
      <c r="F71" s="254"/>
      <c r="G71" s="254"/>
      <c r="H71" s="254"/>
      <c r="I71" s="255">
        <f t="shared" si="25"/>
        <v>7000</v>
      </c>
      <c r="J71" s="255">
        <f t="shared" si="23"/>
        <v>0</v>
      </c>
      <c r="K71" s="254"/>
      <c r="L71" s="88"/>
      <c r="M71" s="88"/>
      <c r="N71" s="256"/>
      <c r="O71" s="90"/>
      <c r="P71" s="399">
        <f>$I$71/12</f>
        <v>583.33333333333337</v>
      </c>
      <c r="Q71" s="399">
        <f t="shared" ref="Q71:AA71" si="27">$I$71/12</f>
        <v>583.33333333333337</v>
      </c>
      <c r="R71" s="399">
        <f t="shared" si="27"/>
        <v>583.33333333333337</v>
      </c>
      <c r="S71" s="399">
        <f t="shared" si="27"/>
        <v>583.33333333333337</v>
      </c>
      <c r="T71" s="399">
        <f t="shared" si="27"/>
        <v>583.33333333333337</v>
      </c>
      <c r="U71" s="399">
        <f t="shared" si="27"/>
        <v>583.33333333333337</v>
      </c>
      <c r="V71" s="399">
        <f t="shared" si="27"/>
        <v>583.33333333333337</v>
      </c>
      <c r="W71" s="399">
        <f t="shared" si="27"/>
        <v>583.33333333333337</v>
      </c>
      <c r="X71" s="399">
        <f t="shared" si="27"/>
        <v>583.33333333333337</v>
      </c>
      <c r="Y71" s="399">
        <f t="shared" si="27"/>
        <v>583.33333333333337</v>
      </c>
      <c r="Z71" s="399">
        <f t="shared" si="27"/>
        <v>583.33333333333337</v>
      </c>
      <c r="AA71" s="399">
        <f t="shared" si="27"/>
        <v>583.33333333333337</v>
      </c>
      <c r="AB71" s="417">
        <f t="shared" si="3"/>
        <v>6999.9999999999991</v>
      </c>
    </row>
    <row r="72" spans="1:28" s="92" customFormat="1" hidden="1">
      <c r="A72" s="88">
        <v>54315</v>
      </c>
      <c r="B72" s="88" t="s">
        <v>155</v>
      </c>
      <c r="C72" s="254"/>
      <c r="D72" s="254"/>
      <c r="E72" s="254"/>
      <c r="F72" s="254"/>
      <c r="G72" s="254"/>
      <c r="H72" s="254"/>
      <c r="I72" s="255">
        <f t="shared" si="25"/>
        <v>0</v>
      </c>
      <c r="J72" s="255">
        <f t="shared" si="23"/>
        <v>0</v>
      </c>
      <c r="K72" s="254"/>
      <c r="L72" s="88"/>
      <c r="M72" s="88"/>
      <c r="N72" s="256"/>
      <c r="O72" s="90"/>
      <c r="P72" s="399"/>
      <c r="Q72" s="399"/>
      <c r="R72" s="399"/>
      <c r="S72" s="399"/>
      <c r="T72" s="399"/>
      <c r="U72" s="399"/>
      <c r="V72" s="399"/>
      <c r="W72" s="399"/>
      <c r="X72" s="399"/>
      <c r="Y72" s="399"/>
      <c r="Z72" s="399"/>
      <c r="AA72" s="399"/>
      <c r="AB72" s="417">
        <f t="shared" si="3"/>
        <v>0</v>
      </c>
    </row>
    <row r="73" spans="1:28" s="92" customFormat="1">
      <c r="A73" s="88">
        <v>54316</v>
      </c>
      <c r="B73" s="88" t="s">
        <v>156</v>
      </c>
      <c r="C73" s="254">
        <v>2000</v>
      </c>
      <c r="D73" s="254"/>
      <c r="E73" s="254"/>
      <c r="F73" s="254"/>
      <c r="G73" s="254"/>
      <c r="H73" s="254"/>
      <c r="I73" s="255">
        <f t="shared" si="25"/>
        <v>2000</v>
      </c>
      <c r="J73" s="255">
        <f t="shared" si="23"/>
        <v>0</v>
      </c>
      <c r="K73" s="254"/>
      <c r="L73" s="88"/>
      <c r="M73" s="88"/>
      <c r="N73" s="256"/>
      <c r="O73" s="90"/>
      <c r="P73" s="399"/>
      <c r="Q73" s="399"/>
      <c r="R73" s="399"/>
      <c r="S73" s="399"/>
      <c r="T73" s="399"/>
      <c r="U73" s="399"/>
      <c r="V73" s="399">
        <v>2000</v>
      </c>
      <c r="W73" s="399"/>
      <c r="X73" s="399"/>
      <c r="Y73" s="399"/>
      <c r="Z73" s="399"/>
      <c r="AA73" s="399"/>
      <c r="AB73" s="417">
        <f t="shared" ref="AB73:AB132" si="28">SUM(P73:AA73)</f>
        <v>2000</v>
      </c>
    </row>
    <row r="74" spans="1:28" s="92" customFormat="1" hidden="1">
      <c r="A74" s="88">
        <v>54317</v>
      </c>
      <c r="B74" s="88" t="s">
        <v>157</v>
      </c>
      <c r="C74" s="254"/>
      <c r="D74" s="254"/>
      <c r="E74" s="254"/>
      <c r="F74" s="254"/>
      <c r="G74" s="254"/>
      <c r="H74" s="254"/>
      <c r="I74" s="255">
        <f t="shared" si="25"/>
        <v>0</v>
      </c>
      <c r="J74" s="255">
        <f t="shared" si="23"/>
        <v>0</v>
      </c>
      <c r="K74" s="254"/>
      <c r="L74" s="88"/>
      <c r="M74" s="88"/>
      <c r="N74" s="256"/>
      <c r="O74" s="90"/>
      <c r="P74" s="399"/>
      <c r="Q74" s="399"/>
      <c r="R74" s="399"/>
      <c r="S74" s="399"/>
      <c r="T74" s="399"/>
      <c r="U74" s="399"/>
      <c r="V74" s="399"/>
      <c r="W74" s="399"/>
      <c r="X74" s="399"/>
      <c r="Y74" s="399"/>
      <c r="Z74" s="399"/>
      <c r="AA74" s="399"/>
      <c r="AB74" s="417">
        <f t="shared" si="28"/>
        <v>0</v>
      </c>
    </row>
    <row r="75" spans="1:28" s="92" customFormat="1" ht="15" hidden="1" customHeight="1">
      <c r="A75" s="88">
        <v>54318</v>
      </c>
      <c r="B75" s="88"/>
      <c r="C75" s="254"/>
      <c r="D75" s="254"/>
      <c r="E75" s="254"/>
      <c r="F75" s="254"/>
      <c r="G75" s="254"/>
      <c r="H75" s="254"/>
      <c r="I75" s="255">
        <f t="shared" si="25"/>
        <v>0</v>
      </c>
      <c r="J75" s="255">
        <f t="shared" si="23"/>
        <v>0</v>
      </c>
      <c r="K75" s="254"/>
      <c r="L75" s="88"/>
      <c r="M75" s="88"/>
      <c r="N75" s="256"/>
      <c r="O75" s="90"/>
      <c r="P75" s="399"/>
      <c r="Q75" s="399"/>
      <c r="R75" s="399"/>
      <c r="S75" s="399"/>
      <c r="T75" s="399"/>
      <c r="U75" s="399"/>
      <c r="V75" s="399"/>
      <c r="W75" s="399"/>
      <c r="X75" s="399"/>
      <c r="Y75" s="399"/>
      <c r="Z75" s="399"/>
      <c r="AA75" s="399"/>
      <c r="AB75" s="417">
        <f t="shared" si="28"/>
        <v>0</v>
      </c>
    </row>
    <row r="76" spans="1:28" s="277" customFormat="1" ht="23.25">
      <c r="A76" s="1748" t="s">
        <v>766</v>
      </c>
      <c r="B76" s="1748"/>
      <c r="C76" s="1748"/>
      <c r="D76" s="1748"/>
      <c r="E76" s="1748"/>
      <c r="F76" s="1748"/>
      <c r="G76" s="1748"/>
      <c r="H76" s="1748"/>
      <c r="I76" s="1748"/>
      <c r="J76" s="1748"/>
      <c r="K76" s="1748"/>
      <c r="L76" s="1748"/>
      <c r="M76" s="1748"/>
      <c r="N76" s="1748"/>
      <c r="O76" s="1748"/>
      <c r="P76" s="1748"/>
      <c r="Q76" s="1748"/>
      <c r="R76" s="1748"/>
      <c r="S76" s="1748"/>
      <c r="T76" s="1748"/>
      <c r="U76" s="1748"/>
      <c r="V76" s="1748"/>
      <c r="W76" s="1748"/>
      <c r="X76" s="1748"/>
      <c r="Y76" s="1748"/>
      <c r="Z76" s="1748"/>
      <c r="AA76" s="1748"/>
    </row>
    <row r="77" spans="1:28" ht="13.5" thickBot="1"/>
    <row r="78" spans="1:28">
      <c r="A78" s="396"/>
      <c r="B78" s="397"/>
      <c r="C78" s="398"/>
      <c r="I78" s="1760" t="s">
        <v>460</v>
      </c>
      <c r="P78" s="1743" t="s">
        <v>461</v>
      </c>
      <c r="Q78" s="1743" t="s">
        <v>462</v>
      </c>
      <c r="R78" s="1743" t="s">
        <v>463</v>
      </c>
      <c r="S78" s="1743" t="s">
        <v>464</v>
      </c>
      <c r="T78" s="1743" t="s">
        <v>465</v>
      </c>
      <c r="U78" s="1743" t="s">
        <v>466</v>
      </c>
      <c r="V78" s="1743" t="s">
        <v>467</v>
      </c>
      <c r="W78" s="1743" t="s">
        <v>468</v>
      </c>
      <c r="X78" s="1743" t="s">
        <v>469</v>
      </c>
      <c r="Y78" s="1743" t="s">
        <v>470</v>
      </c>
      <c r="Z78" s="1743" t="s">
        <v>471</v>
      </c>
      <c r="AA78" s="1743" t="s">
        <v>472</v>
      </c>
      <c r="AB78" s="1272" t="s">
        <v>415</v>
      </c>
    </row>
    <row r="79" spans="1:28" ht="31.5" customHeight="1">
      <c r="A79" s="409" t="s">
        <v>455</v>
      </c>
      <c r="B79" s="408"/>
      <c r="C79" s="410" t="s">
        <v>541</v>
      </c>
      <c r="D79" s="402"/>
      <c r="E79" s="252" t="s">
        <v>552</v>
      </c>
      <c r="F79" s="252"/>
      <c r="G79" s="252" t="s">
        <v>558</v>
      </c>
      <c r="H79" s="401"/>
      <c r="I79" s="1761"/>
      <c r="J79" s="1749" t="s">
        <v>260</v>
      </c>
      <c r="L79" s="252" t="s">
        <v>17</v>
      </c>
      <c r="M79" s="1697">
        <v>302</v>
      </c>
      <c r="N79" s="1697"/>
      <c r="O79" s="415" t="s">
        <v>582</v>
      </c>
      <c r="P79" s="1743"/>
      <c r="Q79" s="1743"/>
      <c r="R79" s="1743"/>
      <c r="S79" s="1743"/>
      <c r="T79" s="1743"/>
      <c r="U79" s="1743"/>
      <c r="V79" s="1743"/>
      <c r="W79" s="1743"/>
      <c r="X79" s="1743"/>
      <c r="Y79" s="1743"/>
      <c r="Z79" s="1743"/>
      <c r="AA79" s="1743"/>
      <c r="AB79" s="1272"/>
    </row>
    <row r="80" spans="1:28" ht="3.75" customHeight="1">
      <c r="A80" s="394"/>
      <c r="B80" s="408"/>
      <c r="C80" s="411" t="s">
        <v>73</v>
      </c>
      <c r="D80" s="406">
        <v>0.25</v>
      </c>
      <c r="E80" s="105" t="s">
        <v>73</v>
      </c>
      <c r="F80" s="274">
        <v>0.25</v>
      </c>
      <c r="G80" s="105" t="s">
        <v>73</v>
      </c>
      <c r="H80" s="403">
        <v>0.25</v>
      </c>
      <c r="I80" s="1741" t="s">
        <v>459</v>
      </c>
      <c r="J80" s="1749"/>
      <c r="L80" s="253" t="s">
        <v>211</v>
      </c>
      <c r="M80" s="253" t="s">
        <v>211</v>
      </c>
      <c r="N80" s="253" t="s">
        <v>218</v>
      </c>
      <c r="O80" s="415" t="s">
        <v>211</v>
      </c>
      <c r="P80" s="1743"/>
      <c r="Q80" s="1743"/>
      <c r="R80" s="1743"/>
      <c r="S80" s="1743"/>
      <c r="T80" s="1743"/>
      <c r="U80" s="1743"/>
      <c r="V80" s="1743"/>
      <c r="W80" s="1743"/>
      <c r="X80" s="1743"/>
      <c r="Y80" s="1743"/>
      <c r="Z80" s="1743"/>
      <c r="AA80" s="1743"/>
      <c r="AB80" s="1272"/>
    </row>
    <row r="81" spans="1:28" ht="11.25" customHeight="1" thickBot="1">
      <c r="A81" s="1754" t="s">
        <v>19</v>
      </c>
      <c r="B81" s="1755"/>
      <c r="C81" s="1756"/>
      <c r="D81" s="407"/>
      <c r="E81" s="254"/>
      <c r="F81" s="254"/>
      <c r="G81" s="254"/>
      <c r="H81" s="404"/>
      <c r="I81" s="1742"/>
      <c r="J81" s="405"/>
      <c r="K81" s="255"/>
      <c r="L81" s="254"/>
      <c r="M81" s="88"/>
      <c r="N81" s="88"/>
      <c r="O81" s="416"/>
      <c r="P81" s="1743"/>
      <c r="Q81" s="1743"/>
      <c r="R81" s="1743"/>
      <c r="S81" s="1743"/>
      <c r="T81" s="1743"/>
      <c r="U81" s="1743"/>
      <c r="V81" s="1743"/>
      <c r="W81" s="1743"/>
      <c r="X81" s="1743"/>
      <c r="Y81" s="1743"/>
      <c r="Z81" s="1743"/>
      <c r="AA81" s="1743"/>
      <c r="AB81" s="1272"/>
    </row>
    <row r="82" spans="1:28" s="92" customFormat="1" ht="15" customHeight="1">
      <c r="A82" s="88">
        <v>54399</v>
      </c>
      <c r="B82" s="88" t="s">
        <v>158</v>
      </c>
      <c r="C82" s="254"/>
      <c r="D82" s="254"/>
      <c r="E82" s="254"/>
      <c r="F82" s="254"/>
      <c r="G82" s="254">
        <v>15000</v>
      </c>
      <c r="H82" s="254"/>
      <c r="I82" s="255">
        <f t="shared" ref="I82:I99" si="29">G82+E82+C82</f>
        <v>15000</v>
      </c>
      <c r="J82" s="255">
        <f t="shared" ref="J82:J99" si="30">H82+F82+D82</f>
        <v>0</v>
      </c>
      <c r="K82" s="254"/>
      <c r="L82" s="88"/>
      <c r="M82" s="88"/>
      <c r="N82" s="256"/>
      <c r="O82" s="90"/>
      <c r="P82" s="399">
        <f>$I$82/12</f>
        <v>1250</v>
      </c>
      <c r="Q82" s="399">
        <f t="shared" ref="Q82:AA82" si="31">$I$82/12</f>
        <v>1250</v>
      </c>
      <c r="R82" s="399">
        <f t="shared" si="31"/>
        <v>1250</v>
      </c>
      <c r="S82" s="399">
        <f t="shared" si="31"/>
        <v>1250</v>
      </c>
      <c r="T82" s="399">
        <f t="shared" si="31"/>
        <v>1250</v>
      </c>
      <c r="U82" s="399">
        <f t="shared" si="31"/>
        <v>1250</v>
      </c>
      <c r="V82" s="399">
        <f t="shared" si="31"/>
        <v>1250</v>
      </c>
      <c r="W82" s="399">
        <f t="shared" si="31"/>
        <v>1250</v>
      </c>
      <c r="X82" s="399">
        <f t="shared" si="31"/>
        <v>1250</v>
      </c>
      <c r="Y82" s="399">
        <f t="shared" si="31"/>
        <v>1250</v>
      </c>
      <c r="Z82" s="399">
        <f t="shared" si="31"/>
        <v>1250</v>
      </c>
      <c r="AA82" s="399">
        <f t="shared" si="31"/>
        <v>1250</v>
      </c>
      <c r="AB82" s="417">
        <f t="shared" si="28"/>
        <v>15000</v>
      </c>
    </row>
    <row r="83" spans="1:28" s="92" customFormat="1" ht="14.25" customHeight="1">
      <c r="A83" s="88">
        <v>54401</v>
      </c>
      <c r="B83" s="88" t="s">
        <v>159</v>
      </c>
      <c r="C83" s="254">
        <v>600</v>
      </c>
      <c r="D83" s="254"/>
      <c r="E83" s="254">
        <v>200</v>
      </c>
      <c r="F83" s="254"/>
      <c r="G83" s="254">
        <v>200</v>
      </c>
      <c r="H83" s="254"/>
      <c r="I83" s="255">
        <f t="shared" si="29"/>
        <v>1000</v>
      </c>
      <c r="J83" s="255">
        <f t="shared" si="30"/>
        <v>0</v>
      </c>
      <c r="K83" s="254"/>
      <c r="L83" s="88"/>
      <c r="M83" s="88"/>
      <c r="N83" s="256"/>
      <c r="O83" s="90"/>
      <c r="P83" s="399">
        <f>$I$83/12</f>
        <v>83.333333333333329</v>
      </c>
      <c r="Q83" s="399">
        <f t="shared" ref="Q83:AA83" si="32">$I$83/12</f>
        <v>83.333333333333329</v>
      </c>
      <c r="R83" s="399">
        <f t="shared" si="32"/>
        <v>83.333333333333329</v>
      </c>
      <c r="S83" s="399">
        <f t="shared" si="32"/>
        <v>83.333333333333329</v>
      </c>
      <c r="T83" s="399">
        <f t="shared" si="32"/>
        <v>83.333333333333329</v>
      </c>
      <c r="U83" s="399">
        <f t="shared" si="32"/>
        <v>83.333333333333329</v>
      </c>
      <c r="V83" s="399">
        <f t="shared" si="32"/>
        <v>83.333333333333329</v>
      </c>
      <c r="W83" s="399">
        <f t="shared" si="32"/>
        <v>83.333333333333329</v>
      </c>
      <c r="X83" s="399">
        <f t="shared" si="32"/>
        <v>83.333333333333329</v>
      </c>
      <c r="Y83" s="399">
        <f t="shared" si="32"/>
        <v>83.333333333333329</v>
      </c>
      <c r="Z83" s="399">
        <f t="shared" si="32"/>
        <v>83.333333333333329</v>
      </c>
      <c r="AA83" s="399">
        <f t="shared" si="32"/>
        <v>83.333333333333329</v>
      </c>
      <c r="AB83" s="417">
        <f t="shared" si="28"/>
        <v>1000.0000000000001</v>
      </c>
    </row>
    <row r="84" spans="1:28" s="92" customFormat="1" ht="15" customHeight="1">
      <c r="A84" s="88">
        <v>54402</v>
      </c>
      <c r="B84" s="88" t="s">
        <v>160</v>
      </c>
      <c r="C84" s="254">
        <v>10000</v>
      </c>
      <c r="D84" s="254"/>
      <c r="E84" s="254"/>
      <c r="F84" s="254"/>
      <c r="G84" s="254"/>
      <c r="H84" s="254"/>
      <c r="I84" s="255">
        <f t="shared" si="29"/>
        <v>10000</v>
      </c>
      <c r="J84" s="255">
        <f t="shared" si="30"/>
        <v>0</v>
      </c>
      <c r="K84" s="254"/>
      <c r="L84" s="88"/>
      <c r="M84" s="88"/>
      <c r="N84" s="256"/>
      <c r="O84" s="90"/>
      <c r="P84" s="399"/>
      <c r="Q84" s="399">
        <v>10000</v>
      </c>
      <c r="R84" s="399"/>
      <c r="S84" s="399"/>
      <c r="T84" s="399"/>
      <c r="U84" s="399"/>
      <c r="V84" s="399"/>
      <c r="W84" s="399"/>
      <c r="X84" s="399"/>
      <c r="Y84" s="399"/>
      <c r="Z84" s="399"/>
      <c r="AA84" s="399"/>
      <c r="AB84" s="417">
        <f t="shared" si="28"/>
        <v>10000</v>
      </c>
    </row>
    <row r="85" spans="1:28" s="92" customFormat="1" ht="15" customHeight="1">
      <c r="A85" s="88">
        <v>54403</v>
      </c>
      <c r="B85" s="88" t="s">
        <v>161</v>
      </c>
      <c r="C85" s="254">
        <v>1000</v>
      </c>
      <c r="D85" s="254"/>
      <c r="E85" s="254">
        <v>500</v>
      </c>
      <c r="F85" s="254"/>
      <c r="G85" s="254">
        <v>500</v>
      </c>
      <c r="H85" s="254"/>
      <c r="I85" s="255">
        <f t="shared" si="29"/>
        <v>2000</v>
      </c>
      <c r="J85" s="255">
        <f t="shared" si="30"/>
        <v>0</v>
      </c>
      <c r="K85" s="254"/>
      <c r="L85" s="88"/>
      <c r="M85" s="88"/>
      <c r="N85" s="256"/>
      <c r="O85" s="90"/>
      <c r="P85" s="399">
        <f>$I$85/12</f>
        <v>166.66666666666666</v>
      </c>
      <c r="Q85" s="399">
        <f t="shared" ref="Q85:AA85" si="33">$I$85/12</f>
        <v>166.66666666666666</v>
      </c>
      <c r="R85" s="399">
        <f t="shared" si="33"/>
        <v>166.66666666666666</v>
      </c>
      <c r="S85" s="399">
        <f t="shared" si="33"/>
        <v>166.66666666666666</v>
      </c>
      <c r="T85" s="399">
        <f t="shared" si="33"/>
        <v>166.66666666666666</v>
      </c>
      <c r="U85" s="399">
        <f t="shared" si="33"/>
        <v>166.66666666666666</v>
      </c>
      <c r="V85" s="399">
        <f t="shared" si="33"/>
        <v>166.66666666666666</v>
      </c>
      <c r="W85" s="399">
        <f t="shared" si="33"/>
        <v>166.66666666666666</v>
      </c>
      <c r="X85" s="399">
        <f t="shared" si="33"/>
        <v>166.66666666666666</v>
      </c>
      <c r="Y85" s="399">
        <f t="shared" si="33"/>
        <v>166.66666666666666</v>
      </c>
      <c r="Z85" s="399">
        <f t="shared" si="33"/>
        <v>166.66666666666666</v>
      </c>
      <c r="AA85" s="399">
        <f t="shared" si="33"/>
        <v>166.66666666666666</v>
      </c>
      <c r="AB85" s="417">
        <f t="shared" si="28"/>
        <v>2000.0000000000002</v>
      </c>
    </row>
    <row r="86" spans="1:28" s="92" customFormat="1">
      <c r="A86" s="88">
        <v>54404</v>
      </c>
      <c r="B86" s="88" t="s">
        <v>162</v>
      </c>
      <c r="C86" s="254">
        <v>10000</v>
      </c>
      <c r="D86" s="254"/>
      <c r="E86" s="254"/>
      <c r="F86" s="254"/>
      <c r="G86" s="254"/>
      <c r="H86" s="254"/>
      <c r="I86" s="255">
        <f t="shared" si="29"/>
        <v>10000</v>
      </c>
      <c r="J86" s="255">
        <f t="shared" si="30"/>
        <v>0</v>
      </c>
      <c r="K86" s="254"/>
      <c r="L86" s="88"/>
      <c r="M86" s="88"/>
      <c r="N86" s="256"/>
      <c r="O86" s="90"/>
      <c r="P86" s="399"/>
      <c r="Q86" s="399">
        <v>10000</v>
      </c>
      <c r="R86" s="399"/>
      <c r="S86" s="399"/>
      <c r="T86" s="399"/>
      <c r="U86" s="399"/>
      <c r="V86" s="399"/>
      <c r="W86" s="399"/>
      <c r="X86" s="399"/>
      <c r="Y86" s="399"/>
      <c r="Z86" s="399"/>
      <c r="AA86" s="399"/>
      <c r="AB86" s="417">
        <f t="shared" si="28"/>
        <v>10000</v>
      </c>
    </row>
    <row r="87" spans="1:28" s="92" customFormat="1" hidden="1">
      <c r="A87" s="88">
        <v>54501</v>
      </c>
      <c r="B87" s="88" t="s">
        <v>163</v>
      </c>
      <c r="C87" s="254"/>
      <c r="D87" s="254"/>
      <c r="E87" s="254"/>
      <c r="F87" s="254"/>
      <c r="G87" s="254"/>
      <c r="H87" s="254"/>
      <c r="I87" s="255">
        <f t="shared" si="29"/>
        <v>0</v>
      </c>
      <c r="J87" s="255">
        <f t="shared" si="30"/>
        <v>0</v>
      </c>
      <c r="K87" s="254"/>
      <c r="L87" s="88"/>
      <c r="M87" s="88"/>
      <c r="N87" s="256"/>
      <c r="O87" s="90"/>
      <c r="P87" s="399"/>
      <c r="Q87" s="399"/>
      <c r="R87" s="399"/>
      <c r="S87" s="399"/>
      <c r="T87" s="399"/>
      <c r="U87" s="399"/>
      <c r="V87" s="399"/>
      <c r="W87" s="399"/>
      <c r="X87" s="399"/>
      <c r="Y87" s="399"/>
      <c r="Z87" s="399"/>
      <c r="AA87" s="399"/>
      <c r="AB87" s="417">
        <f t="shared" si="28"/>
        <v>0</v>
      </c>
    </row>
    <row r="88" spans="1:28" s="92" customFormat="1" hidden="1">
      <c r="A88" s="88">
        <v>54502</v>
      </c>
      <c r="B88" s="88" t="s">
        <v>164</v>
      </c>
      <c r="C88" s="254"/>
      <c r="D88" s="254"/>
      <c r="E88" s="254"/>
      <c r="F88" s="254"/>
      <c r="G88" s="254"/>
      <c r="H88" s="254"/>
      <c r="I88" s="255">
        <f t="shared" si="29"/>
        <v>0</v>
      </c>
      <c r="J88" s="255">
        <f t="shared" si="30"/>
        <v>0</v>
      </c>
      <c r="K88" s="254"/>
      <c r="L88" s="88"/>
      <c r="M88" s="88"/>
      <c r="N88" s="256"/>
      <c r="O88" s="90"/>
      <c r="P88" s="399"/>
      <c r="Q88" s="399"/>
      <c r="R88" s="399"/>
      <c r="S88" s="399"/>
      <c r="T88" s="399"/>
      <c r="U88" s="399"/>
      <c r="V88" s="399"/>
      <c r="W88" s="399"/>
      <c r="X88" s="399"/>
      <c r="Y88" s="399"/>
      <c r="Z88" s="399"/>
      <c r="AA88" s="399"/>
      <c r="AB88" s="417">
        <f t="shared" si="28"/>
        <v>0</v>
      </c>
    </row>
    <row r="89" spans="1:28" s="92" customFormat="1">
      <c r="A89" s="88">
        <v>54503</v>
      </c>
      <c r="B89" s="88" t="s">
        <v>165</v>
      </c>
      <c r="C89" s="254"/>
      <c r="D89" s="254"/>
      <c r="E89" s="254"/>
      <c r="F89" s="254"/>
      <c r="G89" s="254">
        <v>2000</v>
      </c>
      <c r="H89" s="254"/>
      <c r="I89" s="255">
        <f t="shared" si="29"/>
        <v>2000</v>
      </c>
      <c r="J89" s="255">
        <f t="shared" si="30"/>
        <v>0</v>
      </c>
      <c r="K89" s="254"/>
      <c r="L89" s="88"/>
      <c r="M89" s="88"/>
      <c r="N89" s="256"/>
      <c r="O89" s="90"/>
      <c r="P89" s="399"/>
      <c r="Q89" s="399"/>
      <c r="R89" s="399">
        <v>300</v>
      </c>
      <c r="S89" s="399"/>
      <c r="T89" s="399">
        <v>500</v>
      </c>
      <c r="U89" s="399"/>
      <c r="V89" s="399">
        <v>300</v>
      </c>
      <c r="W89" s="399"/>
      <c r="X89" s="399">
        <v>500</v>
      </c>
      <c r="Y89" s="399"/>
      <c r="Z89" s="399">
        <v>400</v>
      </c>
      <c r="AA89" s="399"/>
      <c r="AB89" s="417">
        <f t="shared" si="28"/>
        <v>2000</v>
      </c>
    </row>
    <row r="90" spans="1:28" s="92" customFormat="1" hidden="1">
      <c r="A90" s="88">
        <v>54504</v>
      </c>
      <c r="B90" s="88" t="s">
        <v>166</v>
      </c>
      <c r="C90" s="254"/>
      <c r="D90" s="254"/>
      <c r="E90" s="254"/>
      <c r="F90" s="254"/>
      <c r="G90" s="254"/>
      <c r="H90" s="254"/>
      <c r="I90" s="255">
        <f t="shared" si="29"/>
        <v>0</v>
      </c>
      <c r="J90" s="255">
        <f t="shared" si="30"/>
        <v>0</v>
      </c>
      <c r="K90" s="254"/>
      <c r="L90" s="88"/>
      <c r="M90" s="88"/>
      <c r="N90" s="256"/>
      <c r="O90" s="90"/>
      <c r="P90" s="399"/>
      <c r="Q90" s="399"/>
      <c r="R90" s="399"/>
      <c r="S90" s="399"/>
      <c r="T90" s="399"/>
      <c r="U90" s="399"/>
      <c r="V90" s="399"/>
      <c r="W90" s="399"/>
      <c r="X90" s="399"/>
      <c r="Y90" s="399"/>
      <c r="Z90" s="399"/>
      <c r="AA90" s="399"/>
      <c r="AB90" s="417">
        <f t="shared" si="28"/>
        <v>0</v>
      </c>
    </row>
    <row r="91" spans="1:28" s="92" customFormat="1">
      <c r="A91" s="88">
        <v>54505</v>
      </c>
      <c r="B91" s="88" t="s">
        <v>167</v>
      </c>
      <c r="C91" s="254">
        <v>500</v>
      </c>
      <c r="D91" s="254"/>
      <c r="E91" s="254"/>
      <c r="F91" s="254"/>
      <c r="G91" s="254"/>
      <c r="H91" s="254"/>
      <c r="I91" s="255">
        <f t="shared" si="29"/>
        <v>500</v>
      </c>
      <c r="J91" s="255">
        <f t="shared" si="30"/>
        <v>0</v>
      </c>
      <c r="K91" s="254"/>
      <c r="L91" s="88"/>
      <c r="M91" s="88"/>
      <c r="N91" s="256"/>
      <c r="O91" s="90"/>
      <c r="P91" s="399"/>
      <c r="Q91" s="399"/>
      <c r="R91" s="399"/>
      <c r="S91" s="399"/>
      <c r="T91" s="399"/>
      <c r="U91" s="399">
        <v>500</v>
      </c>
      <c r="V91" s="399"/>
      <c r="W91" s="399"/>
      <c r="X91" s="399"/>
      <c r="Y91" s="399"/>
      <c r="Z91" s="399"/>
      <c r="AA91" s="399"/>
      <c r="AB91" s="417">
        <f t="shared" si="28"/>
        <v>500</v>
      </c>
    </row>
    <row r="92" spans="1:28" s="92" customFormat="1" hidden="1">
      <c r="A92" s="88">
        <v>54506</v>
      </c>
      <c r="B92" s="88" t="s">
        <v>168</v>
      </c>
      <c r="C92" s="254"/>
      <c r="D92" s="254"/>
      <c r="E92" s="254"/>
      <c r="F92" s="254"/>
      <c r="G92" s="254"/>
      <c r="H92" s="254"/>
      <c r="I92" s="255">
        <f t="shared" si="29"/>
        <v>0</v>
      </c>
      <c r="J92" s="255">
        <f t="shared" si="30"/>
        <v>0</v>
      </c>
      <c r="K92" s="254"/>
      <c r="L92" s="88"/>
      <c r="M92" s="88"/>
      <c r="N92" s="256"/>
      <c r="O92" s="90"/>
      <c r="P92" s="399"/>
      <c r="Q92" s="399"/>
      <c r="R92" s="399"/>
      <c r="S92" s="399"/>
      <c r="T92" s="399"/>
      <c r="U92" s="399"/>
      <c r="V92" s="399"/>
      <c r="W92" s="399"/>
      <c r="X92" s="399"/>
      <c r="Y92" s="399"/>
      <c r="Z92" s="399"/>
      <c r="AA92" s="399"/>
      <c r="AB92" s="417">
        <f t="shared" si="28"/>
        <v>0</v>
      </c>
    </row>
    <row r="93" spans="1:28" s="92" customFormat="1" hidden="1">
      <c r="A93" s="88">
        <v>54507</v>
      </c>
      <c r="B93" s="88" t="s">
        <v>169</v>
      </c>
      <c r="C93" s="254"/>
      <c r="D93" s="254"/>
      <c r="E93" s="254"/>
      <c r="F93" s="254"/>
      <c r="G93" s="254"/>
      <c r="H93" s="254"/>
      <c r="I93" s="255">
        <f t="shared" si="29"/>
        <v>0</v>
      </c>
      <c r="J93" s="255">
        <f t="shared" si="30"/>
        <v>0</v>
      </c>
      <c r="K93" s="254"/>
      <c r="L93" s="88"/>
      <c r="M93" s="88"/>
      <c r="N93" s="256"/>
      <c r="O93" s="90"/>
      <c r="P93" s="399"/>
      <c r="Q93" s="399"/>
      <c r="R93" s="399"/>
      <c r="S93" s="399"/>
      <c r="T93" s="399"/>
      <c r="U93" s="399"/>
      <c r="V93" s="399"/>
      <c r="W93" s="399"/>
      <c r="X93" s="399"/>
      <c r="Y93" s="399"/>
      <c r="Z93" s="399"/>
      <c r="AA93" s="399"/>
      <c r="AB93" s="417">
        <f t="shared" si="28"/>
        <v>0</v>
      </c>
    </row>
    <row r="94" spans="1:28" s="92" customFormat="1" hidden="1">
      <c r="A94" s="88">
        <v>54508</v>
      </c>
      <c r="B94" s="88" t="s">
        <v>170</v>
      </c>
      <c r="C94" s="254"/>
      <c r="D94" s="254"/>
      <c r="E94" s="254"/>
      <c r="F94" s="254"/>
      <c r="G94" s="254"/>
      <c r="H94" s="254"/>
      <c r="I94" s="255">
        <f t="shared" si="29"/>
        <v>0</v>
      </c>
      <c r="J94" s="255">
        <f t="shared" si="30"/>
        <v>0</v>
      </c>
      <c r="K94" s="254"/>
      <c r="L94" s="88"/>
      <c r="M94" s="88"/>
      <c r="N94" s="256"/>
      <c r="O94" s="90"/>
      <c r="P94" s="399"/>
      <c r="Q94" s="399"/>
      <c r="R94" s="399"/>
      <c r="S94" s="399"/>
      <c r="T94" s="399"/>
      <c r="U94" s="399"/>
      <c r="V94" s="399"/>
      <c r="W94" s="399"/>
      <c r="X94" s="399"/>
      <c r="Y94" s="399"/>
      <c r="Z94" s="399"/>
      <c r="AA94" s="399"/>
      <c r="AB94" s="417">
        <f t="shared" si="28"/>
        <v>0</v>
      </c>
    </row>
    <row r="95" spans="1:28" s="92" customFormat="1" hidden="1">
      <c r="A95" s="88">
        <v>54599</v>
      </c>
      <c r="B95" s="88" t="s">
        <v>171</v>
      </c>
      <c r="C95" s="254"/>
      <c r="D95" s="254"/>
      <c r="E95" s="254"/>
      <c r="F95" s="254"/>
      <c r="G95" s="254"/>
      <c r="H95" s="254"/>
      <c r="I95" s="255">
        <f t="shared" si="29"/>
        <v>0</v>
      </c>
      <c r="J95" s="255">
        <f t="shared" si="30"/>
        <v>0</v>
      </c>
      <c r="K95" s="254"/>
      <c r="L95" s="88"/>
      <c r="M95" s="88"/>
      <c r="N95" s="256"/>
      <c r="O95" s="90"/>
      <c r="P95" s="399"/>
      <c r="Q95" s="399"/>
      <c r="R95" s="399"/>
      <c r="S95" s="399"/>
      <c r="T95" s="399"/>
      <c r="U95" s="399"/>
      <c r="V95" s="399"/>
      <c r="W95" s="399"/>
      <c r="X95" s="399"/>
      <c r="Y95" s="399"/>
      <c r="Z95" s="399"/>
      <c r="AA95" s="399"/>
      <c r="AB95" s="417">
        <f t="shared" si="28"/>
        <v>0</v>
      </c>
    </row>
    <row r="96" spans="1:28" s="92" customFormat="1" hidden="1">
      <c r="A96" s="88">
        <v>54601</v>
      </c>
      <c r="B96" s="88" t="s">
        <v>172</v>
      </c>
      <c r="C96" s="254"/>
      <c r="D96" s="254"/>
      <c r="E96" s="254"/>
      <c r="F96" s="254"/>
      <c r="G96" s="254"/>
      <c r="H96" s="254"/>
      <c r="I96" s="255">
        <f t="shared" si="29"/>
        <v>0</v>
      </c>
      <c r="J96" s="255">
        <f t="shared" si="30"/>
        <v>0</v>
      </c>
      <c r="K96" s="254"/>
      <c r="L96" s="88"/>
      <c r="M96" s="88"/>
      <c r="N96" s="256"/>
      <c r="O96" s="90"/>
      <c r="P96" s="399"/>
      <c r="Q96" s="399"/>
      <c r="R96" s="399"/>
      <c r="S96" s="399"/>
      <c r="T96" s="399"/>
      <c r="U96" s="399"/>
      <c r="V96" s="399"/>
      <c r="W96" s="399"/>
      <c r="X96" s="399"/>
      <c r="Y96" s="399"/>
      <c r="Z96" s="399"/>
      <c r="AA96" s="399"/>
      <c r="AB96" s="417">
        <f t="shared" si="28"/>
        <v>0</v>
      </c>
    </row>
    <row r="97" spans="1:28" s="92" customFormat="1" hidden="1">
      <c r="A97" s="88">
        <v>54602</v>
      </c>
      <c r="B97" s="88" t="s">
        <v>173</v>
      </c>
      <c r="C97" s="254"/>
      <c r="D97" s="254"/>
      <c r="E97" s="254"/>
      <c r="F97" s="254"/>
      <c r="G97" s="254"/>
      <c r="H97" s="254"/>
      <c r="I97" s="255">
        <f t="shared" si="29"/>
        <v>0</v>
      </c>
      <c r="J97" s="255">
        <f t="shared" si="30"/>
        <v>0</v>
      </c>
      <c r="K97" s="254"/>
      <c r="L97" s="88"/>
      <c r="M97" s="88"/>
      <c r="N97" s="256"/>
      <c r="O97" s="90"/>
      <c r="P97" s="399"/>
      <c r="Q97" s="399"/>
      <c r="R97" s="399"/>
      <c r="S97" s="399"/>
      <c r="T97" s="399"/>
      <c r="U97" s="399"/>
      <c r="V97" s="399"/>
      <c r="W97" s="399"/>
      <c r="X97" s="399"/>
      <c r="Y97" s="399"/>
      <c r="Z97" s="399"/>
      <c r="AA97" s="399"/>
      <c r="AB97" s="417">
        <f t="shared" si="28"/>
        <v>0</v>
      </c>
    </row>
    <row r="98" spans="1:28" s="92" customFormat="1" hidden="1">
      <c r="A98" s="88">
        <v>54603</v>
      </c>
      <c r="B98" s="88" t="s">
        <v>174</v>
      </c>
      <c r="C98" s="254"/>
      <c r="D98" s="254"/>
      <c r="E98" s="254"/>
      <c r="F98" s="254"/>
      <c r="G98" s="254"/>
      <c r="H98" s="254"/>
      <c r="I98" s="255">
        <f t="shared" si="29"/>
        <v>0</v>
      </c>
      <c r="J98" s="255">
        <f t="shared" si="30"/>
        <v>0</v>
      </c>
      <c r="K98" s="254"/>
      <c r="L98" s="88"/>
      <c r="M98" s="88"/>
      <c r="N98" s="256"/>
      <c r="O98" s="90"/>
      <c r="P98" s="399"/>
      <c r="Q98" s="399"/>
      <c r="R98" s="399"/>
      <c r="S98" s="399"/>
      <c r="T98" s="399"/>
      <c r="U98" s="399"/>
      <c r="V98" s="399"/>
      <c r="W98" s="399"/>
      <c r="X98" s="399"/>
      <c r="Y98" s="399"/>
      <c r="Z98" s="399"/>
      <c r="AA98" s="399"/>
      <c r="AB98" s="417">
        <f t="shared" si="28"/>
        <v>0</v>
      </c>
    </row>
    <row r="99" spans="1:28" s="92" customFormat="1" hidden="1">
      <c r="A99" s="88">
        <v>54699</v>
      </c>
      <c r="B99" s="88" t="s">
        <v>175</v>
      </c>
      <c r="C99" s="254"/>
      <c r="D99" s="254"/>
      <c r="E99" s="254"/>
      <c r="F99" s="254"/>
      <c r="G99" s="254"/>
      <c r="H99" s="254"/>
      <c r="I99" s="255">
        <f t="shared" si="29"/>
        <v>0</v>
      </c>
      <c r="J99" s="255">
        <f t="shared" si="30"/>
        <v>0</v>
      </c>
      <c r="K99" s="254"/>
      <c r="L99" s="88"/>
      <c r="M99" s="88"/>
      <c r="N99" s="256"/>
      <c r="O99" s="90"/>
      <c r="P99" s="399"/>
      <c r="Q99" s="399"/>
      <c r="R99" s="399"/>
      <c r="S99" s="399"/>
      <c r="T99" s="399"/>
      <c r="U99" s="399"/>
      <c r="V99" s="399"/>
      <c r="W99" s="399"/>
      <c r="X99" s="399"/>
      <c r="Y99" s="399"/>
      <c r="Z99" s="399"/>
      <c r="AA99" s="399"/>
      <c r="AB99" s="417">
        <f t="shared" si="28"/>
        <v>0</v>
      </c>
    </row>
    <row r="100" spans="1:28" s="92" customFormat="1" hidden="1">
      <c r="A100" s="88">
        <v>55302</v>
      </c>
      <c r="B100" s="88" t="s">
        <v>492</v>
      </c>
      <c r="C100" s="254"/>
      <c r="D100" s="254"/>
      <c r="E100" s="254"/>
      <c r="F100" s="254"/>
      <c r="G100" s="254"/>
      <c r="H100" s="254"/>
      <c r="I100" s="255"/>
      <c r="J100" s="255"/>
      <c r="K100" s="254"/>
      <c r="L100" s="88"/>
      <c r="M100" s="88"/>
      <c r="N100" s="256"/>
      <c r="O100" s="90"/>
      <c r="P100" s="399"/>
      <c r="Q100" s="399"/>
      <c r="R100" s="399"/>
      <c r="S100" s="399"/>
      <c r="T100" s="399"/>
      <c r="U100" s="399"/>
      <c r="V100" s="399"/>
      <c r="W100" s="399"/>
      <c r="X100" s="399"/>
      <c r="Y100" s="399"/>
      <c r="Z100" s="399"/>
      <c r="AA100" s="399"/>
      <c r="AB100" s="417">
        <f t="shared" si="28"/>
        <v>0</v>
      </c>
    </row>
    <row r="101" spans="1:28" s="92" customFormat="1" hidden="1">
      <c r="A101" s="88">
        <v>55308</v>
      </c>
      <c r="B101" s="88" t="s">
        <v>41</v>
      </c>
      <c r="C101" s="254"/>
      <c r="D101" s="254"/>
      <c r="E101" s="254"/>
      <c r="F101" s="254"/>
      <c r="G101" s="254"/>
      <c r="H101" s="254"/>
      <c r="I101" s="255">
        <f t="shared" ref="I101:I122" si="34">G101+E101+C101</f>
        <v>0</v>
      </c>
      <c r="J101" s="255"/>
      <c r="K101" s="254"/>
      <c r="L101" s="88"/>
      <c r="M101" s="88"/>
      <c r="N101" s="256">
        <v>65315</v>
      </c>
      <c r="O101" s="90"/>
      <c r="P101" s="399"/>
      <c r="Q101" s="399"/>
      <c r="R101" s="399"/>
      <c r="S101" s="399"/>
      <c r="T101" s="399"/>
      <c r="U101" s="399"/>
      <c r="V101" s="399"/>
      <c r="W101" s="399"/>
      <c r="X101" s="399"/>
      <c r="Y101" s="399"/>
      <c r="Z101" s="399"/>
      <c r="AA101" s="399"/>
      <c r="AB101" s="417">
        <f t="shared" si="28"/>
        <v>0</v>
      </c>
    </row>
    <row r="102" spans="1:28" s="92" customFormat="1">
      <c r="A102" s="88">
        <v>55602</v>
      </c>
      <c r="B102" s="88" t="s">
        <v>569</v>
      </c>
      <c r="C102" s="254">
        <v>1500</v>
      </c>
      <c r="D102" s="254"/>
      <c r="E102" s="254"/>
      <c r="F102" s="254"/>
      <c r="G102" s="254"/>
      <c r="H102" s="254"/>
      <c r="I102" s="255">
        <f t="shared" si="34"/>
        <v>1500</v>
      </c>
      <c r="J102" s="255"/>
      <c r="K102" s="254"/>
      <c r="L102" s="88"/>
      <c r="M102" s="88"/>
      <c r="N102" s="256"/>
      <c r="O102" s="90"/>
      <c r="P102" s="399"/>
      <c r="Q102" s="399">
        <v>1500</v>
      </c>
      <c r="R102" s="399"/>
      <c r="S102" s="399"/>
      <c r="T102" s="399"/>
      <c r="U102" s="399"/>
      <c r="V102" s="399"/>
      <c r="W102" s="399"/>
      <c r="X102" s="399"/>
      <c r="Y102" s="399"/>
      <c r="Z102" s="399"/>
      <c r="AA102" s="399"/>
      <c r="AB102" s="417">
        <f t="shared" si="28"/>
        <v>1500</v>
      </c>
    </row>
    <row r="103" spans="1:28" s="92" customFormat="1">
      <c r="A103" s="88">
        <v>55603</v>
      </c>
      <c r="B103" s="88" t="s">
        <v>493</v>
      </c>
      <c r="C103" s="254"/>
      <c r="D103" s="254"/>
      <c r="E103" s="254"/>
      <c r="F103" s="254"/>
      <c r="G103" s="254">
        <v>100</v>
      </c>
      <c r="H103" s="254"/>
      <c r="I103" s="255">
        <f t="shared" si="34"/>
        <v>100</v>
      </c>
      <c r="J103" s="255">
        <f t="shared" ref="J103:J122" si="35">H103+F103+D103</f>
        <v>0</v>
      </c>
      <c r="K103" s="254"/>
      <c r="L103" s="88"/>
      <c r="M103" s="88"/>
      <c r="N103" s="256"/>
      <c r="O103" s="90"/>
      <c r="P103" s="399">
        <f>$I$103/12</f>
        <v>8.3333333333333339</v>
      </c>
      <c r="Q103" s="399">
        <f t="shared" ref="Q103:AA103" si="36">$I$103/12</f>
        <v>8.3333333333333339</v>
      </c>
      <c r="R103" s="399">
        <f t="shared" si="36"/>
        <v>8.3333333333333339</v>
      </c>
      <c r="S103" s="399">
        <f t="shared" si="36"/>
        <v>8.3333333333333339</v>
      </c>
      <c r="T103" s="399">
        <f t="shared" si="36"/>
        <v>8.3333333333333339</v>
      </c>
      <c r="U103" s="399">
        <f t="shared" si="36"/>
        <v>8.3333333333333339</v>
      </c>
      <c r="V103" s="399">
        <f t="shared" si="36"/>
        <v>8.3333333333333339</v>
      </c>
      <c r="W103" s="399">
        <f t="shared" si="36"/>
        <v>8.3333333333333339</v>
      </c>
      <c r="X103" s="399">
        <f t="shared" si="36"/>
        <v>8.3333333333333339</v>
      </c>
      <c r="Y103" s="399">
        <f t="shared" si="36"/>
        <v>8.3333333333333339</v>
      </c>
      <c r="Z103" s="399">
        <f t="shared" si="36"/>
        <v>8.3333333333333339</v>
      </c>
      <c r="AA103" s="399">
        <f t="shared" si="36"/>
        <v>8.3333333333333339</v>
      </c>
      <c r="AB103" s="417">
        <f t="shared" si="28"/>
        <v>99.999999999999986</v>
      </c>
    </row>
    <row r="104" spans="1:28" s="92" customFormat="1" hidden="1">
      <c r="A104" s="88">
        <v>55702</v>
      </c>
      <c r="B104" s="88" t="s">
        <v>527</v>
      </c>
      <c r="C104" s="254"/>
      <c r="D104" s="254"/>
      <c r="E104" s="254"/>
      <c r="F104" s="254"/>
      <c r="G104" s="254"/>
      <c r="H104" s="254"/>
      <c r="I104" s="255">
        <f t="shared" si="34"/>
        <v>0</v>
      </c>
      <c r="J104" s="255">
        <f t="shared" si="35"/>
        <v>0</v>
      </c>
      <c r="K104" s="254"/>
      <c r="L104" s="88"/>
      <c r="M104" s="88"/>
      <c r="N104" s="256"/>
      <c r="O104" s="90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417">
        <f t="shared" si="28"/>
        <v>0</v>
      </c>
    </row>
    <row r="105" spans="1:28" s="92" customFormat="1">
      <c r="A105" s="88">
        <v>56201</v>
      </c>
      <c r="B105" s="88" t="s">
        <v>453</v>
      </c>
      <c r="C105" s="254">
        <v>1309.46</v>
      </c>
      <c r="D105" s="254">
        <v>15936.62</v>
      </c>
      <c r="E105" s="254"/>
      <c r="F105" s="254"/>
      <c r="G105" s="254"/>
      <c r="H105" s="254"/>
      <c r="I105" s="255">
        <f t="shared" si="34"/>
        <v>1309.46</v>
      </c>
      <c r="J105" s="255">
        <f t="shared" si="35"/>
        <v>15936.62</v>
      </c>
      <c r="K105" s="254"/>
      <c r="L105" s="88"/>
      <c r="M105" s="88"/>
      <c r="N105" s="256"/>
      <c r="O105" s="90"/>
      <c r="P105" s="254">
        <f>$I$105/12</f>
        <v>109.12166666666667</v>
      </c>
      <c r="Q105" s="254">
        <f t="shared" ref="Q105:AA105" si="37">$I$105/12</f>
        <v>109.12166666666667</v>
      </c>
      <c r="R105" s="254">
        <f t="shared" si="37"/>
        <v>109.12166666666667</v>
      </c>
      <c r="S105" s="254">
        <f t="shared" si="37"/>
        <v>109.12166666666667</v>
      </c>
      <c r="T105" s="254">
        <f t="shared" si="37"/>
        <v>109.12166666666667</v>
      </c>
      <c r="U105" s="254">
        <f t="shared" si="37"/>
        <v>109.12166666666667</v>
      </c>
      <c r="V105" s="254">
        <f t="shared" si="37"/>
        <v>109.12166666666667</v>
      </c>
      <c r="W105" s="254">
        <f t="shared" si="37"/>
        <v>109.12166666666667</v>
      </c>
      <c r="X105" s="254">
        <f t="shared" si="37"/>
        <v>109.12166666666667</v>
      </c>
      <c r="Y105" s="254">
        <f t="shared" si="37"/>
        <v>109.12166666666667</v>
      </c>
      <c r="Z105" s="254">
        <f t="shared" si="37"/>
        <v>109.12166666666667</v>
      </c>
      <c r="AA105" s="254">
        <f t="shared" si="37"/>
        <v>109.12166666666667</v>
      </c>
      <c r="AB105" s="417">
        <f t="shared" si="28"/>
        <v>1309.46</v>
      </c>
    </row>
    <row r="106" spans="1:28" s="92" customFormat="1" hidden="1">
      <c r="A106" s="88">
        <v>56303</v>
      </c>
      <c r="B106" s="88" t="s">
        <v>494</v>
      </c>
      <c r="C106" s="254"/>
      <c r="D106" s="254"/>
      <c r="E106" s="254"/>
      <c r="F106" s="254"/>
      <c r="G106" s="254"/>
      <c r="H106" s="254"/>
      <c r="I106" s="255">
        <f t="shared" si="34"/>
        <v>0</v>
      </c>
      <c r="J106" s="255">
        <f t="shared" si="35"/>
        <v>0</v>
      </c>
      <c r="K106" s="254"/>
      <c r="L106" s="88"/>
      <c r="M106" s="88"/>
      <c r="N106" s="256"/>
      <c r="O106" s="90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417">
        <f t="shared" si="28"/>
        <v>0</v>
      </c>
    </row>
    <row r="107" spans="1:28" s="92" customFormat="1">
      <c r="A107" s="88">
        <v>56304</v>
      </c>
      <c r="B107" s="88" t="s">
        <v>177</v>
      </c>
      <c r="C107" s="254">
        <v>15000</v>
      </c>
      <c r="D107" s="254"/>
      <c r="E107" s="254"/>
      <c r="F107" s="254"/>
      <c r="G107" s="254"/>
      <c r="H107" s="254"/>
      <c r="I107" s="255">
        <f t="shared" si="34"/>
        <v>15000</v>
      </c>
      <c r="J107" s="255">
        <f t="shared" si="35"/>
        <v>0</v>
      </c>
      <c r="K107" s="254"/>
      <c r="L107" s="88"/>
      <c r="M107" s="88"/>
      <c r="N107" s="256"/>
      <c r="O107" s="90"/>
      <c r="P107" s="418">
        <f>$I$107/12</f>
        <v>1250</v>
      </c>
      <c r="Q107" s="418">
        <f t="shared" ref="Q107:AA107" si="38">$I$107/12</f>
        <v>1250</v>
      </c>
      <c r="R107" s="418">
        <f t="shared" si="38"/>
        <v>1250</v>
      </c>
      <c r="S107" s="418">
        <f t="shared" si="38"/>
        <v>1250</v>
      </c>
      <c r="T107" s="418">
        <f t="shared" si="38"/>
        <v>1250</v>
      </c>
      <c r="U107" s="418">
        <f t="shared" si="38"/>
        <v>1250</v>
      </c>
      <c r="V107" s="418">
        <f t="shared" si="38"/>
        <v>1250</v>
      </c>
      <c r="W107" s="418">
        <f t="shared" si="38"/>
        <v>1250</v>
      </c>
      <c r="X107" s="418">
        <f t="shared" si="38"/>
        <v>1250</v>
      </c>
      <c r="Y107" s="418">
        <f t="shared" si="38"/>
        <v>1250</v>
      </c>
      <c r="Z107" s="418">
        <f t="shared" si="38"/>
        <v>1250</v>
      </c>
      <c r="AA107" s="418">
        <f t="shared" si="38"/>
        <v>1250</v>
      </c>
      <c r="AB107" s="417">
        <f t="shared" si="28"/>
        <v>15000</v>
      </c>
    </row>
    <row r="108" spans="1:28" s="92" customFormat="1" hidden="1">
      <c r="A108" s="88">
        <v>56305</v>
      </c>
      <c r="B108" s="88" t="s">
        <v>178</v>
      </c>
      <c r="C108" s="254"/>
      <c r="D108" s="254"/>
      <c r="E108" s="254"/>
      <c r="F108" s="254"/>
      <c r="G108" s="254"/>
      <c r="H108" s="254"/>
      <c r="I108" s="255">
        <f t="shared" si="34"/>
        <v>0</v>
      </c>
      <c r="J108" s="255">
        <f t="shared" si="35"/>
        <v>0</v>
      </c>
      <c r="K108" s="254"/>
      <c r="L108" s="88"/>
      <c r="M108" s="88"/>
      <c r="N108" s="256"/>
      <c r="O108" s="90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417">
        <f t="shared" si="28"/>
        <v>0</v>
      </c>
    </row>
    <row r="109" spans="1:28" s="92" customFormat="1" hidden="1">
      <c r="A109" s="88">
        <v>61101</v>
      </c>
      <c r="B109" s="88" t="s">
        <v>179</v>
      </c>
      <c r="C109" s="254"/>
      <c r="D109" s="254"/>
      <c r="E109" s="254"/>
      <c r="F109" s="254"/>
      <c r="G109" s="254"/>
      <c r="H109" s="254"/>
      <c r="I109" s="255">
        <f t="shared" si="34"/>
        <v>0</v>
      </c>
      <c r="J109" s="255">
        <f t="shared" si="35"/>
        <v>0</v>
      </c>
      <c r="K109" s="254"/>
      <c r="L109" s="88"/>
      <c r="M109" s="88"/>
      <c r="N109" s="256"/>
      <c r="O109" s="90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417">
        <f t="shared" si="28"/>
        <v>0</v>
      </c>
    </row>
    <row r="110" spans="1:28" s="92" customFormat="1" hidden="1">
      <c r="A110" s="88">
        <v>61102</v>
      </c>
      <c r="B110" s="88" t="s">
        <v>194</v>
      </c>
      <c r="C110" s="254"/>
      <c r="D110" s="254"/>
      <c r="E110" s="254"/>
      <c r="F110" s="254"/>
      <c r="G110" s="254"/>
      <c r="H110" s="254"/>
      <c r="I110" s="255">
        <f t="shared" si="34"/>
        <v>0</v>
      </c>
      <c r="J110" s="255">
        <f t="shared" si="35"/>
        <v>0</v>
      </c>
      <c r="K110" s="254"/>
      <c r="L110" s="88"/>
      <c r="M110" s="88"/>
      <c r="N110" s="256"/>
      <c r="O110" s="90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417">
        <f t="shared" si="28"/>
        <v>0</v>
      </c>
    </row>
    <row r="111" spans="1:28" s="92" customFormat="1" hidden="1">
      <c r="A111" s="88">
        <v>61103</v>
      </c>
      <c r="B111" s="88"/>
      <c r="C111" s="254"/>
      <c r="D111" s="254"/>
      <c r="E111" s="254"/>
      <c r="F111" s="254"/>
      <c r="G111" s="254"/>
      <c r="H111" s="254"/>
      <c r="I111" s="255">
        <f t="shared" si="34"/>
        <v>0</v>
      </c>
      <c r="J111" s="255">
        <f t="shared" si="35"/>
        <v>0</v>
      </c>
      <c r="K111" s="254"/>
      <c r="L111" s="88"/>
      <c r="M111" s="88"/>
      <c r="N111" s="256"/>
      <c r="O111" s="90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417">
        <f t="shared" si="28"/>
        <v>0</v>
      </c>
    </row>
    <row r="112" spans="1:28" s="92" customFormat="1" hidden="1">
      <c r="A112" s="88">
        <v>61104</v>
      </c>
      <c r="B112" s="88" t="s">
        <v>180</v>
      </c>
      <c r="C112" s="254"/>
      <c r="D112" s="254"/>
      <c r="E112" s="254"/>
      <c r="F112" s="254"/>
      <c r="G112" s="254"/>
      <c r="H112" s="254"/>
      <c r="I112" s="255">
        <f t="shared" si="34"/>
        <v>0</v>
      </c>
      <c r="J112" s="255">
        <f t="shared" si="35"/>
        <v>0</v>
      </c>
      <c r="K112" s="254"/>
      <c r="L112" s="88"/>
      <c r="M112" s="88"/>
      <c r="N112" s="256"/>
      <c r="O112" s="90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417">
        <f t="shared" si="28"/>
        <v>0</v>
      </c>
    </row>
    <row r="113" spans="1:28" s="92" customFormat="1" hidden="1">
      <c r="A113" s="88">
        <v>61105</v>
      </c>
      <c r="B113" s="88" t="s">
        <v>181</v>
      </c>
      <c r="C113" s="254"/>
      <c r="D113" s="254"/>
      <c r="E113" s="254"/>
      <c r="F113" s="254"/>
      <c r="G113" s="254"/>
      <c r="H113" s="254"/>
      <c r="I113" s="255">
        <f t="shared" si="34"/>
        <v>0</v>
      </c>
      <c r="J113" s="255">
        <f t="shared" si="35"/>
        <v>0</v>
      </c>
      <c r="K113" s="254"/>
      <c r="L113" s="88"/>
      <c r="M113" s="88"/>
      <c r="N113" s="256"/>
      <c r="O113" s="90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417">
        <f t="shared" si="28"/>
        <v>0</v>
      </c>
    </row>
    <row r="114" spans="1:28" s="92" customFormat="1" hidden="1">
      <c r="A114" s="88">
        <v>61106</v>
      </c>
      <c r="B114" s="88" t="s">
        <v>182</v>
      </c>
      <c r="C114" s="254"/>
      <c r="D114" s="254"/>
      <c r="E114" s="254"/>
      <c r="F114" s="254"/>
      <c r="G114" s="254"/>
      <c r="H114" s="254"/>
      <c r="I114" s="255">
        <f t="shared" si="34"/>
        <v>0</v>
      </c>
      <c r="J114" s="255">
        <f t="shared" si="35"/>
        <v>0</v>
      </c>
      <c r="K114" s="254"/>
      <c r="L114" s="88"/>
      <c r="M114" s="88"/>
      <c r="N114" s="256"/>
      <c r="O114" s="90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417">
        <f t="shared" si="28"/>
        <v>0</v>
      </c>
    </row>
    <row r="115" spans="1:28" s="92" customFormat="1" hidden="1">
      <c r="A115" s="88">
        <v>61107</v>
      </c>
      <c r="B115" s="88" t="s">
        <v>183</v>
      </c>
      <c r="C115" s="254"/>
      <c r="D115" s="254"/>
      <c r="E115" s="254"/>
      <c r="F115" s="254"/>
      <c r="G115" s="254"/>
      <c r="H115" s="254"/>
      <c r="I115" s="255">
        <f t="shared" si="34"/>
        <v>0</v>
      </c>
      <c r="J115" s="255">
        <f t="shared" si="35"/>
        <v>0</v>
      </c>
      <c r="K115" s="254"/>
      <c r="L115" s="88"/>
      <c r="M115" s="88"/>
      <c r="N115" s="256"/>
      <c r="O115" s="90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417">
        <f t="shared" si="28"/>
        <v>0</v>
      </c>
    </row>
    <row r="116" spans="1:28" s="92" customFormat="1" hidden="1">
      <c r="A116" s="88">
        <v>61108</v>
      </c>
      <c r="B116" s="88" t="s">
        <v>184</v>
      </c>
      <c r="C116" s="254"/>
      <c r="D116" s="254"/>
      <c r="E116" s="254"/>
      <c r="F116" s="254"/>
      <c r="G116" s="254"/>
      <c r="H116" s="254"/>
      <c r="I116" s="255">
        <f t="shared" si="34"/>
        <v>0</v>
      </c>
      <c r="J116" s="255">
        <f t="shared" si="35"/>
        <v>0</v>
      </c>
      <c r="K116" s="254"/>
      <c r="L116" s="88"/>
      <c r="M116" s="256"/>
      <c r="N116" s="256"/>
      <c r="O116" s="90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417">
        <f t="shared" si="28"/>
        <v>0</v>
      </c>
    </row>
    <row r="117" spans="1:28" s="92" customFormat="1" hidden="1">
      <c r="A117" s="88">
        <v>61199</v>
      </c>
      <c r="B117" s="88" t="s">
        <v>185</v>
      </c>
      <c r="C117" s="254"/>
      <c r="D117" s="254"/>
      <c r="E117" s="254"/>
      <c r="F117" s="254"/>
      <c r="G117" s="254"/>
      <c r="H117" s="254"/>
      <c r="I117" s="255">
        <f t="shared" si="34"/>
        <v>0</v>
      </c>
      <c r="J117" s="255">
        <f t="shared" si="35"/>
        <v>0</v>
      </c>
      <c r="K117" s="254"/>
      <c r="L117" s="88"/>
      <c r="M117" s="256"/>
      <c r="N117" s="256"/>
      <c r="O117" s="90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417">
        <f t="shared" si="28"/>
        <v>0</v>
      </c>
    </row>
    <row r="118" spans="1:28" s="92" customFormat="1" hidden="1">
      <c r="A118" s="88">
        <v>61201</v>
      </c>
      <c r="B118" s="88" t="s">
        <v>72</v>
      </c>
      <c r="C118" s="254"/>
      <c r="D118" s="254"/>
      <c r="E118" s="254"/>
      <c r="F118" s="254"/>
      <c r="G118" s="254"/>
      <c r="H118" s="254"/>
      <c r="I118" s="255">
        <f t="shared" si="34"/>
        <v>0</v>
      </c>
      <c r="J118" s="255">
        <f t="shared" si="35"/>
        <v>0</v>
      </c>
      <c r="K118" s="254"/>
      <c r="L118" s="256"/>
      <c r="M118" s="256"/>
      <c r="N118" s="256"/>
      <c r="O118" s="90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417">
        <f t="shared" si="28"/>
        <v>0</v>
      </c>
    </row>
    <row r="119" spans="1:28" s="92" customFormat="1" hidden="1">
      <c r="A119" s="88">
        <v>61599</v>
      </c>
      <c r="B119" s="88" t="s">
        <v>495</v>
      </c>
      <c r="C119" s="254"/>
      <c r="D119" s="254"/>
      <c r="E119" s="254"/>
      <c r="F119" s="254"/>
      <c r="G119" s="254"/>
      <c r="H119" s="254"/>
      <c r="I119" s="255">
        <f t="shared" si="34"/>
        <v>0</v>
      </c>
      <c r="J119" s="255">
        <f t="shared" si="35"/>
        <v>0</v>
      </c>
      <c r="K119" s="254">
        <v>51949</v>
      </c>
      <c r="L119" s="256"/>
      <c r="M119" s="256"/>
      <c r="N119" s="256"/>
      <c r="O119" s="90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  <c r="AA119" s="88"/>
      <c r="AB119" s="417">
        <f t="shared" si="28"/>
        <v>0</v>
      </c>
    </row>
    <row r="120" spans="1:28" s="92" customFormat="1" hidden="1">
      <c r="A120" s="88">
        <v>61601</v>
      </c>
      <c r="B120" s="88" t="s">
        <v>186</v>
      </c>
      <c r="C120" s="254"/>
      <c r="D120" s="254"/>
      <c r="E120" s="254"/>
      <c r="F120" s="254"/>
      <c r="G120" s="254"/>
      <c r="H120" s="254"/>
      <c r="I120" s="255">
        <f t="shared" si="34"/>
        <v>0</v>
      </c>
      <c r="J120" s="255">
        <f t="shared" si="35"/>
        <v>0</v>
      </c>
      <c r="K120" s="254"/>
      <c r="L120" s="256"/>
      <c r="M120" s="256"/>
      <c r="N120" s="256"/>
      <c r="O120" s="90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417">
        <f t="shared" si="28"/>
        <v>0</v>
      </c>
    </row>
    <row r="121" spans="1:28" s="92" customFormat="1" hidden="1">
      <c r="A121" s="88">
        <v>61602</v>
      </c>
      <c r="B121" s="88" t="s">
        <v>496</v>
      </c>
      <c r="C121" s="254"/>
      <c r="D121" s="254"/>
      <c r="E121" s="254"/>
      <c r="F121" s="254"/>
      <c r="G121" s="254"/>
      <c r="H121" s="254"/>
      <c r="I121" s="255">
        <f t="shared" si="34"/>
        <v>0</v>
      </c>
      <c r="J121" s="255">
        <f t="shared" si="35"/>
        <v>0</v>
      </c>
      <c r="K121" s="254"/>
      <c r="L121" s="256"/>
      <c r="M121" s="256"/>
      <c r="N121" s="256"/>
      <c r="O121" s="90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417">
        <f t="shared" si="28"/>
        <v>0</v>
      </c>
    </row>
    <row r="122" spans="1:28" s="92" customFormat="1" hidden="1">
      <c r="A122" s="88">
        <v>61603</v>
      </c>
      <c r="B122" s="88" t="s">
        <v>497</v>
      </c>
      <c r="C122" s="254"/>
      <c r="D122" s="254"/>
      <c r="E122" s="254"/>
      <c r="F122" s="254"/>
      <c r="G122" s="254"/>
      <c r="H122" s="254"/>
      <c r="I122" s="255">
        <f t="shared" si="34"/>
        <v>0</v>
      </c>
      <c r="J122" s="255">
        <f t="shared" si="35"/>
        <v>0</v>
      </c>
      <c r="K122" s="254"/>
      <c r="L122" s="256"/>
      <c r="M122" s="256"/>
      <c r="N122" s="256"/>
      <c r="O122" s="90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417">
        <f t="shared" si="28"/>
        <v>0</v>
      </c>
    </row>
    <row r="123" spans="1:28" s="92" customFormat="1" hidden="1">
      <c r="A123" s="88">
        <v>61604</v>
      </c>
      <c r="B123" s="88" t="s">
        <v>498</v>
      </c>
      <c r="C123" s="254"/>
      <c r="D123" s="254"/>
      <c r="E123" s="254"/>
      <c r="F123" s="254"/>
      <c r="G123" s="254"/>
      <c r="H123" s="254"/>
      <c r="I123" s="255"/>
      <c r="J123" s="255"/>
      <c r="K123" s="254"/>
      <c r="L123" s="256"/>
      <c r="M123" s="256"/>
      <c r="N123" s="256"/>
      <c r="O123" s="90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417">
        <f t="shared" si="28"/>
        <v>0</v>
      </c>
    </row>
    <row r="124" spans="1:28" s="92" customFormat="1" hidden="1">
      <c r="A124" s="88">
        <v>61607</v>
      </c>
      <c r="B124" s="88" t="s">
        <v>528</v>
      </c>
      <c r="C124" s="254"/>
      <c r="D124" s="254"/>
      <c r="E124" s="254"/>
      <c r="F124" s="254"/>
      <c r="G124" s="254"/>
      <c r="H124" s="254"/>
      <c r="I124" s="255"/>
      <c r="J124" s="255"/>
      <c r="K124" s="254"/>
      <c r="L124" s="256"/>
      <c r="M124" s="256"/>
      <c r="N124" s="256"/>
      <c r="O124" s="90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417">
        <f t="shared" si="28"/>
        <v>0</v>
      </c>
    </row>
    <row r="125" spans="1:28" s="92" customFormat="1" hidden="1">
      <c r="A125" s="88">
        <v>61606</v>
      </c>
      <c r="B125" s="88" t="s">
        <v>499</v>
      </c>
      <c r="C125" s="254"/>
      <c r="D125" s="254"/>
      <c r="E125" s="254"/>
      <c r="F125" s="254"/>
      <c r="G125" s="254"/>
      <c r="H125" s="254"/>
      <c r="I125" s="255">
        <f>G125+E125+C125</f>
        <v>0</v>
      </c>
      <c r="J125" s="255">
        <f>H125+F125+D125</f>
        <v>0</v>
      </c>
      <c r="K125" s="254"/>
      <c r="L125" s="256">
        <v>61200</v>
      </c>
      <c r="M125" s="256"/>
      <c r="N125" s="256"/>
      <c r="O125" s="90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417">
        <f t="shared" si="28"/>
        <v>0</v>
      </c>
    </row>
    <row r="126" spans="1:28" s="92" customFormat="1" hidden="1">
      <c r="A126" s="88">
        <v>61699</v>
      </c>
      <c r="B126" s="88" t="s">
        <v>500</v>
      </c>
      <c r="C126" s="254"/>
      <c r="D126" s="254"/>
      <c r="E126" s="254"/>
      <c r="F126" s="254"/>
      <c r="G126" s="254"/>
      <c r="H126" s="254"/>
      <c r="I126" s="255">
        <f>G126+E126+C126</f>
        <v>0</v>
      </c>
      <c r="J126" s="255">
        <f>H126+F126+D126</f>
        <v>0</v>
      </c>
      <c r="K126" s="254"/>
      <c r="L126" s="256">
        <f>O137</f>
        <v>0</v>
      </c>
      <c r="M126" s="88"/>
      <c r="N126" s="256"/>
      <c r="O126" s="90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417">
        <f t="shared" si="28"/>
        <v>0</v>
      </c>
    </row>
    <row r="127" spans="1:28" s="92" customFormat="1" hidden="1">
      <c r="A127" s="88">
        <v>71308</v>
      </c>
      <c r="B127" s="88" t="s">
        <v>46</v>
      </c>
      <c r="C127" s="254"/>
      <c r="D127" s="254"/>
      <c r="E127" s="254"/>
      <c r="F127" s="254"/>
      <c r="G127" s="254"/>
      <c r="H127" s="254"/>
      <c r="I127" s="255"/>
      <c r="J127" s="255"/>
      <c r="K127" s="254"/>
      <c r="L127" s="256"/>
      <c r="M127" s="88"/>
      <c r="N127" s="256">
        <v>266911</v>
      </c>
      <c r="O127" s="90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417">
        <f t="shared" si="28"/>
        <v>0</v>
      </c>
    </row>
    <row r="128" spans="1:28" hidden="1">
      <c r="A128" s="88"/>
      <c r="B128" s="88"/>
      <c r="C128" s="254"/>
      <c r="D128" s="254"/>
      <c r="E128" s="254"/>
      <c r="F128" s="254"/>
      <c r="G128" s="254"/>
      <c r="H128" s="254"/>
      <c r="I128" s="255"/>
      <c r="J128" s="255"/>
      <c r="K128" s="254"/>
      <c r="L128" s="256"/>
      <c r="M128" s="88"/>
      <c r="N128" s="256"/>
      <c r="O128" s="90"/>
      <c r="P128" s="268"/>
      <c r="Q128" s="268"/>
      <c r="R128" s="268"/>
      <c r="S128" s="268"/>
      <c r="T128" s="268"/>
      <c r="U128" s="268"/>
      <c r="V128" s="268"/>
      <c r="W128" s="268"/>
      <c r="X128" s="268"/>
      <c r="Y128" s="268"/>
      <c r="Z128" s="268"/>
      <c r="AA128" s="268"/>
      <c r="AB128" s="417">
        <f t="shared" si="28"/>
        <v>0</v>
      </c>
    </row>
    <row r="129" spans="1:28" s="92" customFormat="1" hidden="1">
      <c r="A129" s="1759" t="s">
        <v>455</v>
      </c>
      <c r="B129" s="1759"/>
      <c r="C129" s="1762" t="s">
        <v>541</v>
      </c>
      <c r="D129" s="1763"/>
      <c r="E129" s="1762" t="s">
        <v>552</v>
      </c>
      <c r="F129" s="1763"/>
      <c r="G129" s="1762" t="s">
        <v>558</v>
      </c>
      <c r="H129" s="1763"/>
      <c r="I129" s="1757" t="s">
        <v>456</v>
      </c>
      <c r="J129" s="1757" t="s">
        <v>260</v>
      </c>
      <c r="K129" s="252" t="s">
        <v>17</v>
      </c>
      <c r="L129" s="1697">
        <v>302</v>
      </c>
      <c r="M129" s="1697"/>
      <c r="N129" s="256"/>
      <c r="O129" s="90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417">
        <f t="shared" si="28"/>
        <v>0</v>
      </c>
    </row>
    <row r="130" spans="1:28" s="92" customFormat="1" ht="22.5" hidden="1">
      <c r="A130" s="1759"/>
      <c r="B130" s="1759"/>
      <c r="C130" s="105" t="s">
        <v>73</v>
      </c>
      <c r="D130" s="274">
        <v>0.25</v>
      </c>
      <c r="E130" s="105" t="s">
        <v>73</v>
      </c>
      <c r="F130" s="274">
        <v>0.25</v>
      </c>
      <c r="G130" s="105" t="s">
        <v>73</v>
      </c>
      <c r="H130" s="274">
        <v>0.25</v>
      </c>
      <c r="I130" s="1757"/>
      <c r="J130" s="1757"/>
      <c r="K130" s="253" t="s">
        <v>211</v>
      </c>
      <c r="L130" s="253" t="s">
        <v>211</v>
      </c>
      <c r="M130" s="253" t="s">
        <v>218</v>
      </c>
      <c r="N130" s="256"/>
      <c r="O130" s="90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  <c r="AB130" s="417">
        <f t="shared" si="28"/>
        <v>0</v>
      </c>
    </row>
    <row r="131" spans="1:28" s="92" customFormat="1" hidden="1">
      <c r="A131" s="1697" t="s">
        <v>19</v>
      </c>
      <c r="B131" s="1697"/>
      <c r="C131" s="254"/>
      <c r="D131" s="254"/>
      <c r="E131" s="254"/>
      <c r="F131" s="254"/>
      <c r="G131" s="254"/>
      <c r="H131" s="254"/>
      <c r="I131" s="255"/>
      <c r="J131" s="255"/>
      <c r="K131" s="254"/>
      <c r="L131" s="88"/>
      <c r="M131" s="88"/>
      <c r="N131" s="256"/>
      <c r="O131" s="90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88"/>
      <c r="AB131" s="417">
        <f t="shared" si="28"/>
        <v>0</v>
      </c>
    </row>
    <row r="132" spans="1:28" hidden="1">
      <c r="A132" s="88"/>
      <c r="B132" s="88"/>
      <c r="C132" s="254"/>
      <c r="D132" s="254"/>
      <c r="E132" s="254"/>
      <c r="F132" s="254"/>
      <c r="G132" s="254"/>
      <c r="H132" s="254"/>
      <c r="I132" s="255"/>
      <c r="J132" s="255"/>
      <c r="K132" s="254"/>
      <c r="L132" s="256"/>
      <c r="M132" s="88"/>
      <c r="N132" s="256"/>
      <c r="O132" s="90"/>
      <c r="P132" s="268"/>
      <c r="Q132" s="268"/>
      <c r="R132" s="268"/>
      <c r="S132" s="268"/>
      <c r="T132" s="268"/>
      <c r="U132" s="268"/>
      <c r="V132" s="268"/>
      <c r="W132" s="268"/>
      <c r="X132" s="268"/>
      <c r="Y132" s="268"/>
      <c r="Z132" s="268"/>
      <c r="AA132" s="268"/>
      <c r="AB132" s="417">
        <f t="shared" si="28"/>
        <v>0</v>
      </c>
    </row>
    <row r="133" spans="1:28" s="8" customFormat="1" ht="27.75" customHeight="1">
      <c r="A133" s="292" t="s">
        <v>395</v>
      </c>
      <c r="B133" s="292"/>
      <c r="C133" s="420">
        <f t="shared" ref="C133:H133" si="39">SUM(C8:C59,C67:C127)</f>
        <v>169669.46</v>
      </c>
      <c r="D133" s="420">
        <f t="shared" si="39"/>
        <v>106606.59999999999</v>
      </c>
      <c r="E133" s="420">
        <f t="shared" si="39"/>
        <v>15060</v>
      </c>
      <c r="F133" s="420">
        <f t="shared" si="39"/>
        <v>36436.980000000003</v>
      </c>
      <c r="G133" s="420">
        <f t="shared" si="39"/>
        <v>176470.53999999998</v>
      </c>
      <c r="H133" s="420">
        <f t="shared" si="39"/>
        <v>208568.17</v>
      </c>
      <c r="I133" s="420">
        <f>SUM(I8:I42,I46:I98,I99:I127)</f>
        <v>361200</v>
      </c>
      <c r="J133" s="420">
        <f>SUM(J8:J40,J46:J98,J99:J127,J42)</f>
        <v>351611</v>
      </c>
      <c r="K133" s="255">
        <f>SUM(K8:K126)</f>
        <v>51949</v>
      </c>
      <c r="L133" s="255">
        <f>L126+L125+L124+L122+L120+L118</f>
        <v>61200</v>
      </c>
      <c r="M133" s="255">
        <f>SUM(M8:M126)</f>
        <v>302</v>
      </c>
      <c r="N133" s="276">
        <f>N127+N101</f>
        <v>332226</v>
      </c>
      <c r="O133" s="329"/>
      <c r="P133" s="419">
        <f t="shared" ref="P133:AA133" si="40">SUM(P8:P132)</f>
        <v>24615.299999999996</v>
      </c>
      <c r="Q133" s="419">
        <f t="shared" si="40"/>
        <v>52015.299999999996</v>
      </c>
      <c r="R133" s="419">
        <f t="shared" si="40"/>
        <v>25315.299999999996</v>
      </c>
      <c r="S133" s="419">
        <f t="shared" si="40"/>
        <v>31615.3</v>
      </c>
      <c r="T133" s="419">
        <f t="shared" si="40"/>
        <v>28615.299999999996</v>
      </c>
      <c r="U133" s="419">
        <f t="shared" si="40"/>
        <v>27315.299999999996</v>
      </c>
      <c r="V133" s="419">
        <f t="shared" si="40"/>
        <v>30815.299999999996</v>
      </c>
      <c r="W133" s="419">
        <f t="shared" si="40"/>
        <v>24715.299999999996</v>
      </c>
      <c r="X133" s="419">
        <f t="shared" si="40"/>
        <v>30615.299999999996</v>
      </c>
      <c r="Y133" s="419">
        <f t="shared" si="40"/>
        <v>26715.299999999996</v>
      </c>
      <c r="Z133" s="419">
        <f t="shared" si="40"/>
        <v>29115.299999999996</v>
      </c>
      <c r="AA133" s="419">
        <f t="shared" si="40"/>
        <v>31731.699999999993</v>
      </c>
      <c r="AB133" s="419">
        <f>SUM(AB8:AB132)</f>
        <v>363200</v>
      </c>
    </row>
    <row r="134" spans="1:28" hidden="1">
      <c r="A134" s="90" t="s">
        <v>501</v>
      </c>
      <c r="B134" s="90"/>
      <c r="C134" s="258">
        <f>SUM(C133:D133)</f>
        <v>276276.06</v>
      </c>
      <c r="D134" s="259"/>
      <c r="E134" s="1768">
        <f>E133+F133</f>
        <v>51496.98</v>
      </c>
      <c r="F134" s="1768"/>
      <c r="G134" s="1768">
        <f>G133+H133</f>
        <v>385038.70999999996</v>
      </c>
      <c r="H134" s="1768"/>
      <c r="I134" s="260"/>
      <c r="J134" s="260"/>
      <c r="K134" s="261"/>
      <c r="L134" s="90"/>
      <c r="M134" s="90"/>
      <c r="N134" s="251"/>
      <c r="O134" s="90"/>
      <c r="AB134" s="412"/>
    </row>
    <row r="135" spans="1:28" hidden="1">
      <c r="A135" s="90" t="s">
        <v>502</v>
      </c>
      <c r="B135" s="90"/>
      <c r="C135" s="261"/>
      <c r="D135" s="261"/>
      <c r="E135" s="261"/>
      <c r="F135" s="261"/>
      <c r="G135" s="261"/>
      <c r="H135" s="261"/>
      <c r="I135" s="260"/>
      <c r="J135" s="260"/>
      <c r="K135" s="261"/>
      <c r="L135" s="90"/>
      <c r="M135" s="90"/>
      <c r="N135" s="251"/>
      <c r="O135" s="90"/>
      <c r="AB135" s="412"/>
    </row>
    <row r="136" spans="1:28" ht="18.75" customHeight="1">
      <c r="A136" s="90"/>
      <c r="B136" s="444" t="s">
        <v>474</v>
      </c>
      <c r="C136" s="1758">
        <f>D133+F133+H133</f>
        <v>351611.75</v>
      </c>
      <c r="D136" s="1758"/>
      <c r="E136" s="257">
        <f>'Plan 10'!E93</f>
        <v>0</v>
      </c>
      <c r="F136" s="254">
        <f>E136-C136</f>
        <v>-351611.75</v>
      </c>
      <c r="G136" s="254"/>
      <c r="H136" s="254"/>
      <c r="I136" s="255"/>
      <c r="J136" s="255" t="s">
        <v>42</v>
      </c>
      <c r="K136" s="1758">
        <f>M133</f>
        <v>302</v>
      </c>
      <c r="L136" s="1758"/>
      <c r="M136" s="88"/>
      <c r="N136" s="256"/>
      <c r="O136" s="88"/>
      <c r="P136" s="422">
        <v>20000</v>
      </c>
      <c r="Q136" s="421">
        <f>P141</f>
        <v>-2468.2999999999956</v>
      </c>
      <c r="R136" s="421">
        <f t="shared" ref="R136:AA136" si="41">Q141</f>
        <v>-31183.599999999991</v>
      </c>
      <c r="S136" s="421">
        <f t="shared" si="41"/>
        <v>-33198.899999999987</v>
      </c>
      <c r="T136" s="421">
        <f t="shared" si="41"/>
        <v>-37214.199999999983</v>
      </c>
      <c r="U136" s="421">
        <f t="shared" si="41"/>
        <v>-38229.499999999978</v>
      </c>
      <c r="V136" s="421">
        <f t="shared" si="41"/>
        <v>-37944.799999999974</v>
      </c>
      <c r="W136" s="421">
        <f t="shared" si="41"/>
        <v>-41160.099999999969</v>
      </c>
      <c r="X136" s="421">
        <f t="shared" si="41"/>
        <v>-38275.399999999965</v>
      </c>
      <c r="Y136" s="421">
        <f t="shared" si="41"/>
        <v>-41290.699999999961</v>
      </c>
      <c r="Z136" s="421">
        <f t="shared" si="41"/>
        <v>-40405.999999999956</v>
      </c>
      <c r="AA136" s="421">
        <f t="shared" si="41"/>
        <v>-41921.299999999952</v>
      </c>
      <c r="AB136" s="412"/>
    </row>
    <row r="137" spans="1:28" ht="18.75" customHeight="1">
      <c r="A137" s="90"/>
      <c r="B137" s="292" t="s">
        <v>473</v>
      </c>
      <c r="C137" s="1758">
        <f>C133+E133+G133</f>
        <v>361200</v>
      </c>
      <c r="D137" s="1758"/>
      <c r="E137" s="257">
        <f>'Plan 10'!F93</f>
        <v>0</v>
      </c>
      <c r="F137" s="257">
        <f>E137-C137</f>
        <v>-361200</v>
      </c>
      <c r="G137" s="254"/>
      <c r="H137" s="254"/>
      <c r="I137" s="255"/>
      <c r="J137" s="255" t="s">
        <v>43</v>
      </c>
      <c r="K137" s="1758">
        <f>K133+L133+N133</f>
        <v>445375</v>
      </c>
      <c r="L137" s="1758"/>
      <c r="M137" s="256">
        <f>'Plan 10'!E146</f>
        <v>0</v>
      </c>
      <c r="N137" s="256">
        <f>M137-K137</f>
        <v>-445375</v>
      </c>
      <c r="O137" s="88"/>
      <c r="P137" s="422">
        <v>23300</v>
      </c>
      <c r="Q137" s="421">
        <v>23300</v>
      </c>
      <c r="R137" s="421">
        <v>23300</v>
      </c>
      <c r="S137" s="421">
        <v>27600</v>
      </c>
      <c r="T137" s="421">
        <v>27600</v>
      </c>
      <c r="U137" s="421">
        <v>27600</v>
      </c>
      <c r="V137" s="421">
        <v>27600</v>
      </c>
      <c r="W137" s="421">
        <v>27600</v>
      </c>
      <c r="X137" s="421">
        <v>27600</v>
      </c>
      <c r="Y137" s="421">
        <v>27600</v>
      </c>
      <c r="Z137" s="421">
        <v>27600</v>
      </c>
      <c r="AA137" s="421">
        <v>27600</v>
      </c>
      <c r="AB137" s="412"/>
    </row>
    <row r="138" spans="1:28" ht="18.75" customHeight="1">
      <c r="A138" s="90"/>
      <c r="B138" s="292" t="s">
        <v>478</v>
      </c>
      <c r="C138" s="254"/>
      <c r="D138" s="254"/>
      <c r="E138" s="254"/>
      <c r="F138" s="254"/>
      <c r="G138" s="254"/>
      <c r="H138" s="254"/>
      <c r="I138" s="255"/>
      <c r="J138" s="255" t="s">
        <v>415</v>
      </c>
      <c r="K138" s="1758">
        <f>SUM(K136:K137)</f>
        <v>445677</v>
      </c>
      <c r="L138" s="1758"/>
      <c r="M138" s="88"/>
      <c r="N138" s="256"/>
      <c r="O138" s="88"/>
      <c r="P138" s="422">
        <f>P137-P133</f>
        <v>-1315.2999999999956</v>
      </c>
      <c r="Q138" s="421">
        <f t="shared" ref="Q138:AA138" si="42">Q137-Q133</f>
        <v>-28715.299999999996</v>
      </c>
      <c r="R138" s="422">
        <f t="shared" si="42"/>
        <v>-2015.2999999999956</v>
      </c>
      <c r="S138" s="422">
        <f t="shared" si="42"/>
        <v>-4015.2999999999993</v>
      </c>
      <c r="T138" s="422">
        <f t="shared" si="42"/>
        <v>-1015.2999999999956</v>
      </c>
      <c r="U138" s="422">
        <f t="shared" si="42"/>
        <v>284.70000000000437</v>
      </c>
      <c r="V138" s="422">
        <f t="shared" si="42"/>
        <v>-3215.2999999999956</v>
      </c>
      <c r="W138" s="422">
        <f t="shared" si="42"/>
        <v>2884.7000000000044</v>
      </c>
      <c r="X138" s="422">
        <f t="shared" si="42"/>
        <v>-3015.2999999999956</v>
      </c>
      <c r="Y138" s="422">
        <f t="shared" si="42"/>
        <v>884.70000000000437</v>
      </c>
      <c r="Z138" s="422">
        <f t="shared" si="42"/>
        <v>-1515.2999999999956</v>
      </c>
      <c r="AA138" s="422">
        <f t="shared" si="42"/>
        <v>-4131.6999999999935</v>
      </c>
      <c r="AB138" s="412">
        <f>SUM(P138:AA138)</f>
        <v>-44899.999999999942</v>
      </c>
    </row>
    <row r="139" spans="1:28" ht="18.75" customHeight="1">
      <c r="A139" s="90"/>
      <c r="B139" s="292" t="s">
        <v>477</v>
      </c>
      <c r="C139" s="254"/>
      <c r="D139" s="254">
        <f>D105+D82+D10+D8</f>
        <v>99519.12</v>
      </c>
      <c r="E139" s="254"/>
      <c r="F139" s="254">
        <f>F10+F8</f>
        <v>30722</v>
      </c>
      <c r="G139" s="254"/>
      <c r="H139" s="254">
        <f>H51+H42+H10+H8</f>
        <v>194247.8</v>
      </c>
      <c r="I139" s="255"/>
      <c r="J139" s="255"/>
      <c r="K139" s="254"/>
      <c r="L139" s="88"/>
      <c r="M139" s="88"/>
      <c r="N139" s="256"/>
      <c r="O139" s="88"/>
      <c r="P139" s="422">
        <f>P136+P137-P133</f>
        <v>18684.700000000004</v>
      </c>
      <c r="Q139" s="421">
        <f>Q136+Q137-Q133</f>
        <v>-31183.599999999991</v>
      </c>
      <c r="R139" s="421">
        <f t="shared" ref="R139:AA139" si="43">R136+R137-R133</f>
        <v>-33198.899999999987</v>
      </c>
      <c r="S139" s="421">
        <f t="shared" si="43"/>
        <v>-37214.199999999983</v>
      </c>
      <c r="T139" s="421">
        <f t="shared" si="43"/>
        <v>-38229.499999999978</v>
      </c>
      <c r="U139" s="421">
        <f t="shared" si="43"/>
        <v>-37944.799999999974</v>
      </c>
      <c r="V139" s="421">
        <f t="shared" si="43"/>
        <v>-41160.099999999969</v>
      </c>
      <c r="W139" s="421">
        <f t="shared" si="43"/>
        <v>-38275.399999999965</v>
      </c>
      <c r="X139" s="421">
        <f t="shared" si="43"/>
        <v>-41290.699999999961</v>
      </c>
      <c r="Y139" s="421">
        <f t="shared" si="43"/>
        <v>-40405.999999999956</v>
      </c>
      <c r="Z139" s="421">
        <f t="shared" si="43"/>
        <v>-41921.299999999952</v>
      </c>
      <c r="AA139" s="421">
        <f t="shared" si="43"/>
        <v>-46052.999999999942</v>
      </c>
      <c r="AB139" s="412"/>
    </row>
    <row r="140" spans="1:28" ht="18.75" customHeight="1">
      <c r="B140" s="292" t="s">
        <v>475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422">
        <v>21153</v>
      </c>
      <c r="Q140" s="421"/>
      <c r="R140" s="421"/>
      <c r="S140" s="421"/>
      <c r="T140" s="421"/>
      <c r="U140" s="421"/>
      <c r="V140" s="421"/>
      <c r="W140" s="421"/>
      <c r="X140" s="421"/>
      <c r="Y140" s="421"/>
      <c r="Z140" s="421"/>
      <c r="AA140" s="421"/>
      <c r="AB140" s="412"/>
    </row>
    <row r="141" spans="1:28" ht="18.75" customHeight="1">
      <c r="B141" s="292" t="s">
        <v>476</v>
      </c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422">
        <f>P139-P140</f>
        <v>-2468.2999999999956</v>
      </c>
      <c r="Q141" s="421">
        <f>Q139-Q140</f>
        <v>-31183.599999999991</v>
      </c>
      <c r="R141" s="421">
        <f t="shared" ref="R141:AA141" si="44">R139-R140</f>
        <v>-33198.899999999987</v>
      </c>
      <c r="S141" s="421">
        <f t="shared" si="44"/>
        <v>-37214.199999999983</v>
      </c>
      <c r="T141" s="421">
        <f t="shared" si="44"/>
        <v>-38229.499999999978</v>
      </c>
      <c r="U141" s="421">
        <f t="shared" si="44"/>
        <v>-37944.799999999974</v>
      </c>
      <c r="V141" s="421">
        <f t="shared" si="44"/>
        <v>-41160.099999999969</v>
      </c>
      <c r="W141" s="421">
        <f t="shared" si="44"/>
        <v>-38275.399999999965</v>
      </c>
      <c r="X141" s="421">
        <f t="shared" si="44"/>
        <v>-41290.699999999961</v>
      </c>
      <c r="Y141" s="421">
        <f t="shared" si="44"/>
        <v>-40405.999999999956</v>
      </c>
      <c r="Z141" s="421">
        <f t="shared" si="44"/>
        <v>-41921.299999999952</v>
      </c>
      <c r="AA141" s="421">
        <f t="shared" si="44"/>
        <v>-46052.999999999942</v>
      </c>
      <c r="AB141" s="412"/>
    </row>
    <row r="142" spans="1:28">
      <c r="Q142" s="413"/>
      <c r="R142" s="413"/>
      <c r="S142" s="413"/>
      <c r="T142" s="413"/>
      <c r="U142" s="413"/>
      <c r="V142" s="413"/>
      <c r="W142" s="413"/>
      <c r="X142" s="413"/>
      <c r="Y142" s="413"/>
      <c r="Z142" s="413"/>
      <c r="AA142" s="413"/>
      <c r="AB142" s="412"/>
    </row>
    <row r="143" spans="1:28">
      <c r="Q143" s="414"/>
      <c r="R143" s="414"/>
      <c r="S143" s="414"/>
      <c r="T143" s="414"/>
      <c r="U143" s="414"/>
      <c r="V143" s="414"/>
      <c r="W143" s="414"/>
      <c r="X143" s="414"/>
      <c r="Y143" s="414"/>
      <c r="Z143" s="414"/>
      <c r="AA143" s="414"/>
      <c r="AB143" s="412"/>
    </row>
    <row r="144" spans="1:28">
      <c r="AB144" s="412"/>
    </row>
    <row r="145" spans="28:28">
      <c r="AB145" s="412"/>
    </row>
    <row r="146" spans="28:28">
      <c r="AB146" s="412"/>
    </row>
    <row r="147" spans="28:28">
      <c r="AB147" s="412"/>
    </row>
    <row r="148" spans="28:28">
      <c r="AB148" s="412"/>
    </row>
    <row r="149" spans="28:28" ht="32.25" customHeight="1">
      <c r="AB149" s="412"/>
    </row>
    <row r="150" spans="28:28">
      <c r="AB150" s="412"/>
    </row>
    <row r="151" spans="28:28">
      <c r="AB151" s="412"/>
    </row>
    <row r="152" spans="28:28" ht="21.75" customHeight="1">
      <c r="AB152" s="412"/>
    </row>
    <row r="153" spans="28:28">
      <c r="AB153" s="412"/>
    </row>
    <row r="154" spans="28:28">
      <c r="AB154" s="412"/>
    </row>
    <row r="155" spans="28:28">
      <c r="AB155" s="412"/>
    </row>
    <row r="156" spans="28:28">
      <c r="AB156" s="412"/>
    </row>
    <row r="157" spans="28:28">
      <c r="AB157" s="412"/>
    </row>
  </sheetData>
  <mergeCells count="61">
    <mergeCell ref="K138:L138"/>
    <mergeCell ref="G129:H129"/>
    <mergeCell ref="E129:F129"/>
    <mergeCell ref="C129:D129"/>
    <mergeCell ref="E134:F134"/>
    <mergeCell ref="G134:H134"/>
    <mergeCell ref="C136:D136"/>
    <mergeCell ref="K136:L136"/>
    <mergeCell ref="I129:I130"/>
    <mergeCell ref="J129:J130"/>
    <mergeCell ref="L129:M129"/>
    <mergeCell ref="A81:C81"/>
    <mergeCell ref="I64:I65"/>
    <mergeCell ref="J64:J65"/>
    <mergeCell ref="U78:U81"/>
    <mergeCell ref="C137:D137"/>
    <mergeCell ref="K137:L137"/>
    <mergeCell ref="A131:B131"/>
    <mergeCell ref="A129:B130"/>
    <mergeCell ref="I78:I79"/>
    <mergeCell ref="L64:M64"/>
    <mergeCell ref="A66:B66"/>
    <mergeCell ref="G64:H64"/>
    <mergeCell ref="E64:F64"/>
    <mergeCell ref="C64:D64"/>
    <mergeCell ref="A64:B65"/>
    <mergeCell ref="J79:J80"/>
    <mergeCell ref="I4:I5"/>
    <mergeCell ref="AB4:AB7"/>
    <mergeCell ref="A2:AA2"/>
    <mergeCell ref="A76:AA76"/>
    <mergeCell ref="P4:P7"/>
    <mergeCell ref="Q4:Q7"/>
    <mergeCell ref="R4:R7"/>
    <mergeCell ref="S4:S7"/>
    <mergeCell ref="J5:J6"/>
    <mergeCell ref="M5:N5"/>
    <mergeCell ref="A7:C7"/>
    <mergeCell ref="I6:I7"/>
    <mergeCell ref="X4:X7"/>
    <mergeCell ref="Y4:Y7"/>
    <mergeCell ref="Z4:Z7"/>
    <mergeCell ref="AA4:AA7"/>
    <mergeCell ref="T4:T7"/>
    <mergeCell ref="U4:U7"/>
    <mergeCell ref="V4:V7"/>
    <mergeCell ref="W4:W7"/>
    <mergeCell ref="AB78:AB81"/>
    <mergeCell ref="Y78:Y81"/>
    <mergeCell ref="Z78:Z81"/>
    <mergeCell ref="AA78:AA81"/>
    <mergeCell ref="M79:N79"/>
    <mergeCell ref="I80:I81"/>
    <mergeCell ref="V78:V81"/>
    <mergeCell ref="W78:W81"/>
    <mergeCell ref="X78:X81"/>
    <mergeCell ref="P78:P81"/>
    <mergeCell ref="Q78:Q81"/>
    <mergeCell ref="R78:R81"/>
    <mergeCell ref="S78:S81"/>
    <mergeCell ref="T78:T81"/>
  </mergeCells>
  <phoneticPr fontId="5" type="noConversion"/>
  <pageMargins left="1.42" right="0.28999999999999998" top="0.43" bottom="0.73" header="0" footer="0"/>
  <pageSetup paperSize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2:P39"/>
  <sheetViews>
    <sheetView workbookViewId="0">
      <selection activeCell="A39" sqref="A39:XFD39"/>
    </sheetView>
  </sheetViews>
  <sheetFormatPr baseColWidth="10" defaultColWidth="11.42578125" defaultRowHeight="12.75"/>
  <cols>
    <col min="1" max="1" width="10.140625" customWidth="1"/>
    <col min="2" max="2" width="11.85546875" customWidth="1"/>
    <col min="3" max="3" width="36.5703125" customWidth="1"/>
    <col min="4" max="4" width="14.42578125" style="242" customWidth="1"/>
  </cols>
  <sheetData>
    <row r="2" spans="1:16">
      <c r="A2" s="1195" t="s">
        <v>597</v>
      </c>
      <c r="B2" s="1195"/>
      <c r="C2" s="1195"/>
      <c r="D2" s="1195"/>
      <c r="E2" s="1195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</row>
    <row r="3" spans="1:16">
      <c r="A3" s="1195" t="s">
        <v>598</v>
      </c>
      <c r="B3" s="1195"/>
      <c r="C3" s="1195"/>
      <c r="D3" s="1195"/>
      <c r="E3" s="1195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</row>
    <row r="4" spans="1:16">
      <c r="A4" s="1195" t="s">
        <v>560</v>
      </c>
      <c r="B4" s="1195"/>
      <c r="C4" s="1195"/>
      <c r="D4" s="1195"/>
      <c r="E4" s="1195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</row>
    <row r="5" spans="1:16">
      <c r="A5" s="1196" t="s">
        <v>1275</v>
      </c>
      <c r="B5" s="1197"/>
      <c r="C5" s="1197"/>
      <c r="D5" s="1197"/>
      <c r="E5" s="1197"/>
      <c r="F5" s="241"/>
      <c r="G5" s="241"/>
    </row>
    <row r="6" spans="1:16">
      <c r="A6" s="133"/>
      <c r="B6" s="133"/>
      <c r="C6" s="133"/>
      <c r="D6" s="133"/>
      <c r="E6" s="133"/>
      <c r="F6" s="241"/>
      <c r="G6" s="241"/>
    </row>
    <row r="8" spans="1:16" ht="25.5" customHeight="1">
      <c r="B8" s="1189" t="s">
        <v>561</v>
      </c>
      <c r="C8" s="1190"/>
      <c r="D8" s="1191"/>
    </row>
    <row r="9" spans="1:16" ht="25.5" customHeight="1">
      <c r="B9" s="1192" t="s">
        <v>562</v>
      </c>
      <c r="C9" s="1193"/>
      <c r="D9" s="1194"/>
    </row>
    <row r="10" spans="1:16" ht="20.25" customHeight="1">
      <c r="B10" s="243">
        <v>11</v>
      </c>
      <c r="C10" s="15" t="s">
        <v>225</v>
      </c>
      <c r="D10" s="244">
        <f>'Plan 10'!F10</f>
        <v>67921.8</v>
      </c>
    </row>
    <row r="11" spans="1:16" ht="20.25" customHeight="1">
      <c r="B11" s="243">
        <v>12</v>
      </c>
      <c r="C11" s="15" t="s">
        <v>223</v>
      </c>
      <c r="D11" s="244">
        <f>'Plan 10'!F27</f>
        <v>741111.0199999999</v>
      </c>
    </row>
    <row r="12" spans="1:16" ht="20.25" customHeight="1">
      <c r="B12" s="243">
        <v>14</v>
      </c>
      <c r="C12" s="15" t="s">
        <v>749</v>
      </c>
      <c r="D12" s="244">
        <f>'Plan 10'!F44</f>
        <v>57393.19</v>
      </c>
    </row>
    <row r="13" spans="1:16" ht="20.25" customHeight="1">
      <c r="B13" s="243">
        <v>15</v>
      </c>
      <c r="C13" s="15" t="s">
        <v>220</v>
      </c>
      <c r="D13" s="244">
        <f>'Plan 10'!F68</f>
        <v>11160.27</v>
      </c>
    </row>
    <row r="14" spans="1:16" ht="20.25" customHeight="1">
      <c r="B14" s="243">
        <v>16</v>
      </c>
      <c r="C14" s="15" t="s">
        <v>307</v>
      </c>
      <c r="D14" s="244">
        <f>'Plan 10'!E82</f>
        <v>526192.80000000005</v>
      </c>
    </row>
    <row r="15" spans="1:16" ht="20.25" customHeight="1">
      <c r="B15" s="243">
        <v>22</v>
      </c>
      <c r="C15" s="15" t="s">
        <v>309</v>
      </c>
      <c r="D15" s="244">
        <f>'Plan 10'!E127</f>
        <v>1578578.52</v>
      </c>
    </row>
    <row r="16" spans="1:16" ht="20.25" customHeight="1">
      <c r="B16" s="618">
        <v>31</v>
      </c>
      <c r="C16" s="606" t="s">
        <v>992</v>
      </c>
      <c r="D16" s="244">
        <f>'Plan 10'!G136</f>
        <v>3250000</v>
      </c>
    </row>
    <row r="17" spans="2:4" ht="20.25" customHeight="1">
      <c r="B17" s="243">
        <v>32</v>
      </c>
      <c r="C17" s="15" t="s">
        <v>310</v>
      </c>
      <c r="D17" s="244">
        <f>'Plan 10'!G89+'Plan 10'!G142+'Plan 10'!G190</f>
        <v>34830.49</v>
      </c>
    </row>
    <row r="18" spans="2:4" ht="20.25" customHeight="1">
      <c r="B18" s="15"/>
      <c r="C18" s="15" t="s">
        <v>415</v>
      </c>
      <c r="D18" s="244">
        <f>SUM(D10:D17)+0.01</f>
        <v>6267188.0999999996</v>
      </c>
    </row>
    <row r="19" spans="2:4" ht="20.25" customHeight="1">
      <c r="B19" s="1"/>
      <c r="C19" s="1"/>
      <c r="D19" s="40"/>
    </row>
    <row r="20" spans="2:4" ht="20.25" customHeight="1">
      <c r="B20" s="1"/>
      <c r="C20" s="1"/>
      <c r="D20" s="40"/>
    </row>
    <row r="21" spans="2:4" ht="20.25" customHeight="1">
      <c r="B21" s="1"/>
      <c r="C21" s="1"/>
      <c r="D21" s="40"/>
    </row>
    <row r="25" spans="2:4" ht="24.75" customHeight="1">
      <c r="B25" s="1189" t="s">
        <v>563</v>
      </c>
      <c r="C25" s="1190"/>
      <c r="D25" s="1191"/>
    </row>
    <row r="26" spans="2:4" ht="24.75" customHeight="1">
      <c r="B26" s="1192" t="s">
        <v>564</v>
      </c>
      <c r="C26" s="1193"/>
      <c r="D26" s="1194"/>
    </row>
    <row r="27" spans="2:4" ht="20.25" customHeight="1">
      <c r="B27" s="243">
        <v>51</v>
      </c>
      <c r="C27" s="15" t="s">
        <v>341</v>
      </c>
      <c r="D27" s="244">
        <f>'Plan 4'!E38</f>
        <v>868959.48250000004</v>
      </c>
    </row>
    <row r="28" spans="2:4" ht="20.25" customHeight="1">
      <c r="B28" s="243">
        <v>54</v>
      </c>
      <c r="C28" s="15" t="s">
        <v>565</v>
      </c>
      <c r="D28" s="244">
        <f>'Plan 4'!F38</f>
        <v>397770.35</v>
      </c>
    </row>
    <row r="29" spans="2:4" ht="20.25" customHeight="1">
      <c r="B29" s="243">
        <v>55</v>
      </c>
      <c r="C29" s="15" t="s">
        <v>355</v>
      </c>
      <c r="D29" s="244">
        <f>'Plan 4'!G38</f>
        <v>496869.26</v>
      </c>
    </row>
    <row r="30" spans="2:4" ht="20.25" customHeight="1">
      <c r="B30" s="243">
        <v>56</v>
      </c>
      <c r="C30" s="15" t="s">
        <v>307</v>
      </c>
      <c r="D30" s="244">
        <f>'Plan 4'!H38+0.01</f>
        <v>28705.719999999998</v>
      </c>
    </row>
    <row r="31" spans="2:4" ht="20.25" customHeight="1">
      <c r="B31" s="243">
        <v>61</v>
      </c>
      <c r="C31" s="15" t="s">
        <v>361</v>
      </c>
      <c r="D31" s="244">
        <f>'Plan 4'!I38</f>
        <v>4021452.966</v>
      </c>
    </row>
    <row r="32" spans="2:4" ht="20.25" customHeight="1">
      <c r="B32" s="243">
        <v>71</v>
      </c>
      <c r="C32" s="15" t="s">
        <v>566</v>
      </c>
      <c r="D32" s="244">
        <f>'Plan 4'!J38</f>
        <v>323830.32</v>
      </c>
    </row>
    <row r="33" spans="2:4" ht="20.25" customHeight="1">
      <c r="B33" s="243">
        <v>72</v>
      </c>
      <c r="C33" s="268" t="s">
        <v>149</v>
      </c>
      <c r="D33" s="244">
        <f>'Plan 4'!K38</f>
        <v>0</v>
      </c>
    </row>
    <row r="34" spans="2:4" ht="20.25" customHeight="1">
      <c r="B34" s="15"/>
      <c r="C34" s="15" t="s">
        <v>415</v>
      </c>
      <c r="D34" s="244">
        <f>SUM(D27:D33)</f>
        <v>6137588.0985000003</v>
      </c>
    </row>
    <row r="39" spans="2:4" hidden="1">
      <c r="D39" s="242">
        <f>D18-D34</f>
        <v>129600.00149999931</v>
      </c>
    </row>
  </sheetData>
  <mergeCells count="8">
    <mergeCell ref="B8:D8"/>
    <mergeCell ref="B9:D9"/>
    <mergeCell ref="B25:D25"/>
    <mergeCell ref="B26:D26"/>
    <mergeCell ref="A2:E2"/>
    <mergeCell ref="A3:E3"/>
    <mergeCell ref="A4:E4"/>
    <mergeCell ref="A5:E5"/>
  </mergeCells>
  <phoneticPr fontId="5" type="noConversion"/>
  <pageMargins left="1.08" right="0.74803149606299213" top="0.98425196850393704" bottom="0.98425196850393704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5" tint="-0.249977111117893"/>
  </sheetPr>
  <dimension ref="B3:J47"/>
  <sheetViews>
    <sheetView topLeftCell="A13" workbookViewId="0">
      <selection activeCell="J18" sqref="J18"/>
    </sheetView>
  </sheetViews>
  <sheetFormatPr baseColWidth="10" defaultColWidth="11.42578125" defaultRowHeight="12.75"/>
  <cols>
    <col min="1" max="1" width="5.5703125" customWidth="1"/>
    <col min="2" max="2" width="5.85546875" style="86" customWidth="1"/>
    <col min="3" max="3" width="6.42578125" style="86" customWidth="1"/>
    <col min="4" max="4" width="12.28515625" bestFit="1" customWidth="1"/>
  </cols>
  <sheetData>
    <row r="3" spans="2:10">
      <c r="B3" s="1209" t="s">
        <v>595</v>
      </c>
      <c r="C3" s="1209"/>
      <c r="D3" s="1209"/>
      <c r="E3" s="1209"/>
      <c r="F3" s="1209"/>
      <c r="G3" s="1209"/>
      <c r="H3" s="1209"/>
      <c r="I3" s="1209"/>
      <c r="J3" s="1209"/>
    </row>
    <row r="4" spans="2:10">
      <c r="B4" s="51"/>
      <c r="C4" s="51"/>
      <c r="D4" s="8"/>
      <c r="E4" s="8"/>
      <c r="F4" s="8"/>
      <c r="G4" s="8"/>
      <c r="H4" s="8"/>
      <c r="I4" s="8"/>
      <c r="J4" s="8"/>
    </row>
    <row r="5" spans="2:10" ht="13.5" thickBot="1">
      <c r="B5" s="1211" t="s">
        <v>533</v>
      </c>
      <c r="C5" s="1211"/>
      <c r="D5" s="1211"/>
      <c r="E5" s="1211"/>
      <c r="F5" s="1211"/>
      <c r="G5" s="1211"/>
      <c r="H5" s="1211"/>
      <c r="I5" s="1211"/>
      <c r="J5" s="1211"/>
    </row>
    <row r="6" spans="2:10">
      <c r="B6" s="52"/>
      <c r="C6" s="53"/>
      <c r="D6" s="54"/>
      <c r="E6" s="55"/>
      <c r="F6" s="55"/>
      <c r="G6" s="56"/>
      <c r="H6" s="54"/>
      <c r="I6" s="55"/>
      <c r="J6" s="57"/>
    </row>
    <row r="7" spans="2:10">
      <c r="B7" s="58" t="s">
        <v>534</v>
      </c>
      <c r="C7" s="59" t="s">
        <v>535</v>
      </c>
      <c r="D7" s="60"/>
      <c r="E7" s="61"/>
      <c r="F7" s="61"/>
      <c r="G7" s="62"/>
      <c r="H7" s="1204" t="s">
        <v>536</v>
      </c>
      <c r="I7" s="1205"/>
      <c r="J7" s="1206"/>
    </row>
    <row r="8" spans="2:10" ht="13.5" thickBot="1">
      <c r="B8" s="65" t="s">
        <v>537</v>
      </c>
      <c r="C8" s="66" t="s">
        <v>538</v>
      </c>
      <c r="D8" s="1201" t="s">
        <v>539</v>
      </c>
      <c r="E8" s="1202"/>
      <c r="F8" s="1202"/>
      <c r="G8" s="1210"/>
      <c r="H8" s="1201" t="s">
        <v>540</v>
      </c>
      <c r="I8" s="1202"/>
      <c r="J8" s="1203"/>
    </row>
    <row r="9" spans="2:10">
      <c r="B9" s="67"/>
      <c r="C9" s="68"/>
      <c r="D9" s="60"/>
      <c r="E9" s="61"/>
      <c r="F9" s="61"/>
      <c r="G9" s="62"/>
      <c r="H9" s="60"/>
      <c r="I9" s="61"/>
      <c r="J9" s="69"/>
    </row>
    <row r="10" spans="2:10">
      <c r="B10" s="67" t="s">
        <v>230</v>
      </c>
      <c r="C10" s="68"/>
      <c r="D10" s="60" t="s">
        <v>244</v>
      </c>
      <c r="E10" s="61"/>
      <c r="F10" s="61"/>
      <c r="G10" s="62"/>
      <c r="H10" s="60"/>
      <c r="I10" s="61"/>
      <c r="J10" s="69"/>
    </row>
    <row r="11" spans="2:10">
      <c r="B11" s="67"/>
      <c r="C11" s="68" t="s">
        <v>541</v>
      </c>
      <c r="D11" s="60" t="s">
        <v>241</v>
      </c>
      <c r="E11" s="61"/>
      <c r="F11" s="61"/>
      <c r="G11" s="62"/>
      <c r="H11" s="1204"/>
      <c r="I11" s="1205"/>
      <c r="J11" s="1206"/>
    </row>
    <row r="12" spans="2:10">
      <c r="B12" s="67"/>
      <c r="C12" s="68"/>
      <c r="D12" s="70" t="s">
        <v>542</v>
      </c>
      <c r="E12" s="61"/>
      <c r="F12" s="61"/>
      <c r="G12" s="62"/>
      <c r="H12" s="63"/>
      <c r="I12" s="2"/>
      <c r="J12" s="64"/>
    </row>
    <row r="13" spans="2:10">
      <c r="B13" s="67"/>
      <c r="C13" s="68"/>
      <c r="D13" s="70" t="s">
        <v>543</v>
      </c>
      <c r="E13" s="61"/>
      <c r="F13" s="61"/>
      <c r="G13" s="62"/>
      <c r="H13" s="63"/>
      <c r="I13" s="2"/>
      <c r="J13" s="64"/>
    </row>
    <row r="14" spans="2:10">
      <c r="B14" s="67"/>
      <c r="C14" s="68"/>
      <c r="D14" s="70" t="s">
        <v>550</v>
      </c>
      <c r="E14" s="61"/>
      <c r="F14" s="61"/>
      <c r="G14" s="62"/>
      <c r="H14" s="63"/>
      <c r="I14" s="2"/>
      <c r="J14" s="64"/>
    </row>
    <row r="15" spans="2:10">
      <c r="B15" s="67"/>
      <c r="C15" s="68"/>
      <c r="D15" s="70" t="s">
        <v>551</v>
      </c>
      <c r="E15" s="61"/>
      <c r="F15" s="61"/>
      <c r="G15" s="62"/>
      <c r="H15" s="63"/>
      <c r="I15" s="2"/>
      <c r="J15" s="64"/>
    </row>
    <row r="16" spans="2:10">
      <c r="B16" s="67"/>
      <c r="C16" s="68"/>
      <c r="D16" s="70" t="s">
        <v>216</v>
      </c>
      <c r="E16" s="61"/>
      <c r="F16" s="61"/>
      <c r="G16" s="62"/>
      <c r="H16" s="63"/>
      <c r="I16" s="2"/>
      <c r="J16" s="64"/>
    </row>
    <row r="17" spans="2:10">
      <c r="B17" s="67"/>
      <c r="C17" s="68" t="s">
        <v>552</v>
      </c>
      <c r="D17" s="60" t="s">
        <v>553</v>
      </c>
      <c r="E17" s="61"/>
      <c r="F17" s="61"/>
      <c r="G17" s="62"/>
      <c r="H17" s="1204" t="s">
        <v>596</v>
      </c>
      <c r="I17" s="1205"/>
      <c r="J17" s="1206"/>
    </row>
    <row r="18" spans="2:10">
      <c r="B18" s="67"/>
      <c r="C18" s="68"/>
      <c r="D18" s="70" t="s">
        <v>554</v>
      </c>
      <c r="E18" s="61"/>
      <c r="F18" s="61"/>
      <c r="G18" s="62"/>
      <c r="H18" s="63"/>
      <c r="I18" s="2"/>
      <c r="J18" s="64"/>
    </row>
    <row r="19" spans="2:10">
      <c r="B19" s="67"/>
      <c r="C19" s="68"/>
      <c r="D19" s="70" t="s">
        <v>555</v>
      </c>
      <c r="E19" s="61"/>
      <c r="F19" s="61"/>
      <c r="G19" s="62"/>
      <c r="H19" s="63"/>
      <c r="I19" s="2"/>
      <c r="J19" s="64"/>
    </row>
    <row r="20" spans="2:10">
      <c r="B20" s="67"/>
      <c r="C20" s="68"/>
      <c r="D20" s="70" t="s">
        <v>556</v>
      </c>
      <c r="E20" s="61"/>
      <c r="F20" s="61"/>
      <c r="G20" s="62"/>
      <c r="H20" s="9"/>
      <c r="I20" s="61"/>
      <c r="J20" s="69"/>
    </row>
    <row r="21" spans="2:10">
      <c r="B21" s="67" t="s">
        <v>229</v>
      </c>
      <c r="C21" s="68"/>
      <c r="D21" s="60" t="s">
        <v>557</v>
      </c>
      <c r="E21" s="61"/>
      <c r="F21" s="61"/>
      <c r="G21" s="62"/>
      <c r="H21" s="60"/>
      <c r="I21" s="61"/>
      <c r="J21" s="69"/>
    </row>
    <row r="22" spans="2:10">
      <c r="B22" s="67"/>
      <c r="C22" s="68" t="s">
        <v>558</v>
      </c>
      <c r="D22" s="60" t="s">
        <v>250</v>
      </c>
      <c r="E22" s="61"/>
      <c r="F22" s="61"/>
      <c r="G22" s="61"/>
      <c r="H22" s="60"/>
      <c r="I22" s="61"/>
      <c r="J22" s="69"/>
    </row>
    <row r="23" spans="2:10">
      <c r="B23" s="67"/>
      <c r="C23" s="68"/>
      <c r="D23" s="70" t="s">
        <v>559</v>
      </c>
      <c r="E23" s="61"/>
      <c r="F23" s="61"/>
      <c r="G23" s="62"/>
      <c r="H23" s="60"/>
      <c r="I23" s="61"/>
      <c r="J23" s="69"/>
    </row>
    <row r="24" spans="2:10">
      <c r="B24" s="67"/>
      <c r="C24" s="68"/>
      <c r="D24" s="70" t="s">
        <v>567</v>
      </c>
      <c r="E24" s="61"/>
      <c r="F24" s="61"/>
      <c r="G24" s="62"/>
      <c r="H24" s="60"/>
      <c r="I24" s="61"/>
      <c r="J24" s="69"/>
    </row>
    <row r="25" spans="2:10" ht="13.5" thickBot="1">
      <c r="B25" s="71"/>
      <c r="C25" s="72"/>
      <c r="D25" s="73" t="s">
        <v>568</v>
      </c>
      <c r="E25" s="74"/>
      <c r="F25" s="74"/>
      <c r="G25" s="75"/>
      <c r="H25" s="76"/>
      <c r="I25" s="74"/>
      <c r="J25" s="77"/>
    </row>
    <row r="26" spans="2:10">
      <c r="B26" s="67"/>
      <c r="C26" s="68"/>
      <c r="D26" s="60"/>
      <c r="E26" s="61"/>
      <c r="F26" s="61"/>
      <c r="G26" s="62"/>
      <c r="H26" s="60"/>
      <c r="I26" s="61"/>
      <c r="J26" s="69"/>
    </row>
    <row r="27" spans="2:10">
      <c r="B27" s="67" t="s">
        <v>228</v>
      </c>
      <c r="C27" s="68"/>
      <c r="D27" s="60" t="s">
        <v>571</v>
      </c>
      <c r="E27" s="61"/>
      <c r="F27" s="61"/>
      <c r="G27" s="62"/>
      <c r="H27" s="60"/>
      <c r="I27" s="61"/>
      <c r="J27" s="69"/>
    </row>
    <row r="28" spans="2:10">
      <c r="B28" s="67"/>
      <c r="C28" s="68" t="s">
        <v>17</v>
      </c>
      <c r="D28" s="60" t="s">
        <v>572</v>
      </c>
      <c r="E28" s="61"/>
      <c r="F28" s="61"/>
      <c r="G28" s="62"/>
      <c r="H28" s="1198" t="s">
        <v>573</v>
      </c>
      <c r="I28" s="1207"/>
      <c r="J28" s="1208"/>
    </row>
    <row r="29" spans="2:10" ht="13.5" thickBot="1">
      <c r="B29" s="71"/>
      <c r="C29" s="72" t="s">
        <v>18</v>
      </c>
      <c r="D29" s="76" t="s">
        <v>574</v>
      </c>
      <c r="E29" s="74"/>
      <c r="F29" s="74"/>
      <c r="G29" s="75"/>
      <c r="H29" s="1201"/>
      <c r="I29" s="1202"/>
      <c r="J29" s="1203"/>
    </row>
    <row r="30" spans="2:10">
      <c r="B30" s="67"/>
      <c r="C30" s="68"/>
      <c r="D30" s="60"/>
      <c r="E30" s="61"/>
      <c r="F30" s="61"/>
      <c r="G30" s="62"/>
      <c r="H30" s="63"/>
      <c r="I30" s="2"/>
      <c r="J30" s="64"/>
    </row>
    <row r="31" spans="2:10">
      <c r="B31" s="67"/>
      <c r="C31" s="68"/>
      <c r="D31" s="60"/>
      <c r="E31" s="61"/>
      <c r="F31" s="61"/>
      <c r="G31" s="62"/>
      <c r="H31" s="63"/>
      <c r="I31" s="2"/>
      <c r="J31" s="64"/>
    </row>
    <row r="32" spans="2:10">
      <c r="B32" s="67" t="s">
        <v>227</v>
      </c>
      <c r="C32" s="68"/>
      <c r="D32" s="60" t="s">
        <v>575</v>
      </c>
      <c r="E32" s="61"/>
      <c r="F32" s="61"/>
      <c r="G32" s="62"/>
      <c r="H32" s="63"/>
      <c r="I32" s="2"/>
      <c r="J32" s="64"/>
    </row>
    <row r="33" spans="2:10" ht="13.5" thickBot="1">
      <c r="B33" s="71"/>
      <c r="C33" s="72" t="s">
        <v>576</v>
      </c>
      <c r="D33" s="76" t="s">
        <v>577</v>
      </c>
      <c r="E33" s="74"/>
      <c r="F33" s="74"/>
      <c r="G33" s="75"/>
      <c r="H33" s="1201" t="s">
        <v>580</v>
      </c>
      <c r="I33" s="1202"/>
      <c r="J33" s="1203"/>
    </row>
    <row r="34" spans="2:10">
      <c r="B34" s="67"/>
      <c r="C34" s="68"/>
      <c r="D34" s="60"/>
      <c r="E34" s="61"/>
      <c r="F34" s="61"/>
      <c r="G34" s="62"/>
      <c r="H34" s="63"/>
      <c r="I34" s="2"/>
      <c r="J34" s="64"/>
    </row>
    <row r="35" spans="2:10">
      <c r="B35" s="67" t="s">
        <v>231</v>
      </c>
      <c r="C35" s="68"/>
      <c r="D35" s="60" t="s">
        <v>581</v>
      </c>
      <c r="E35" s="61"/>
      <c r="F35" s="61"/>
      <c r="G35" s="62"/>
      <c r="H35" s="60"/>
      <c r="I35" s="61"/>
      <c r="J35" s="69"/>
    </row>
    <row r="36" spans="2:10">
      <c r="B36" s="67"/>
      <c r="C36" s="68" t="s">
        <v>582</v>
      </c>
      <c r="D36" s="60" t="s">
        <v>255</v>
      </c>
      <c r="E36" s="61"/>
      <c r="F36" s="61"/>
      <c r="G36" s="62"/>
      <c r="H36" s="1198" t="s">
        <v>583</v>
      </c>
      <c r="I36" s="1199"/>
      <c r="J36" s="1200"/>
    </row>
    <row r="37" spans="2:10" ht="13.5" thickBot="1">
      <c r="B37" s="78"/>
      <c r="C37" s="79"/>
      <c r="D37" s="80"/>
      <c r="E37" s="12"/>
      <c r="F37" s="12"/>
      <c r="G37" s="22"/>
      <c r="H37" s="80"/>
      <c r="I37" s="12"/>
      <c r="J37" s="81"/>
    </row>
    <row r="39" spans="2:10" ht="15.75">
      <c r="B39" s="82" t="s">
        <v>584</v>
      </c>
      <c r="C39" s="83"/>
      <c r="D39" s="84"/>
      <c r="E39" s="84"/>
      <c r="H39" s="85" t="s">
        <v>585</v>
      </c>
      <c r="I39" s="8"/>
    </row>
    <row r="40" spans="2:10">
      <c r="C40"/>
      <c r="H40" s="8"/>
      <c r="I40" s="8"/>
    </row>
    <row r="41" spans="2:10">
      <c r="B41" s="51" t="s">
        <v>586</v>
      </c>
      <c r="C41" s="8" t="s">
        <v>587</v>
      </c>
      <c r="H41" s="8" t="s">
        <v>588</v>
      </c>
      <c r="I41" s="8"/>
    </row>
    <row r="42" spans="2:10">
      <c r="B42" s="51"/>
      <c r="C42" s="8"/>
      <c r="H42" s="8"/>
      <c r="I42" s="8"/>
    </row>
    <row r="43" spans="2:10">
      <c r="B43" s="51" t="s">
        <v>589</v>
      </c>
      <c r="C43" s="8" t="s">
        <v>253</v>
      </c>
      <c r="H43" s="8" t="s">
        <v>590</v>
      </c>
      <c r="I43" s="8"/>
    </row>
    <row r="44" spans="2:10">
      <c r="B44" s="51"/>
      <c r="C44" s="8"/>
      <c r="H44" s="8"/>
      <c r="I44" s="8"/>
    </row>
    <row r="45" spans="2:10">
      <c r="B45" s="51" t="s">
        <v>591</v>
      </c>
      <c r="C45" s="8" t="s">
        <v>592</v>
      </c>
      <c r="H45" s="8" t="s">
        <v>593</v>
      </c>
      <c r="I45" s="8"/>
    </row>
    <row r="46" spans="2:10">
      <c r="H46" s="8"/>
    </row>
    <row r="47" spans="2:10">
      <c r="H47" s="8" t="s">
        <v>594</v>
      </c>
    </row>
  </sheetData>
  <mergeCells count="11">
    <mergeCell ref="B3:J3"/>
    <mergeCell ref="D8:G8"/>
    <mergeCell ref="H7:J7"/>
    <mergeCell ref="H8:J8"/>
    <mergeCell ref="B5:J5"/>
    <mergeCell ref="H36:J36"/>
    <mergeCell ref="H33:J33"/>
    <mergeCell ref="H11:J11"/>
    <mergeCell ref="H17:J17"/>
    <mergeCell ref="H28:J28"/>
    <mergeCell ref="H29:J29"/>
  </mergeCells>
  <phoneticPr fontId="0" type="noConversion"/>
  <pageMargins left="0.32" right="0.27" top="0.43" bottom="1" header="0" footer="0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2" tint="-0.499984740745262"/>
  </sheetPr>
  <dimension ref="B1:I64219"/>
  <sheetViews>
    <sheetView topLeftCell="B10" workbookViewId="0">
      <selection activeCell="G17" sqref="G17"/>
    </sheetView>
  </sheetViews>
  <sheetFormatPr baseColWidth="10" defaultColWidth="11.42578125" defaultRowHeight="12.75"/>
  <cols>
    <col min="1" max="1" width="3" style="4" customWidth="1"/>
    <col min="2" max="2" width="6.42578125" style="5" customWidth="1"/>
    <col min="3" max="3" width="20" style="4" customWidth="1"/>
    <col min="4" max="4" width="4.7109375" style="4" customWidth="1"/>
    <col min="5" max="6" width="3.140625" style="5" bestFit="1" customWidth="1"/>
    <col min="7" max="7" width="38.28515625" style="4" customWidth="1"/>
    <col min="8" max="8" width="36" style="4" customWidth="1"/>
    <col min="9" max="16384" width="11.42578125" style="4"/>
  </cols>
  <sheetData>
    <row r="1" spans="2:9" ht="34.5" customHeight="1">
      <c r="B1" s="1224" t="s">
        <v>1276</v>
      </c>
      <c r="C1" s="1224"/>
      <c r="D1" s="1224"/>
      <c r="E1" s="1224"/>
      <c r="F1" s="1224"/>
      <c r="G1" s="1224"/>
      <c r="H1" s="1224"/>
    </row>
    <row r="2" spans="2:9" ht="18" customHeight="1">
      <c r="B2" s="1227" t="s">
        <v>245</v>
      </c>
      <c r="C2" s="1228"/>
      <c r="D2" s="1228"/>
      <c r="E2" s="1228"/>
      <c r="F2" s="1228"/>
      <c r="G2" s="1228"/>
      <c r="H2" s="1229"/>
    </row>
    <row r="3" spans="2:9" ht="18" customHeight="1">
      <c r="B3" s="1214" t="s">
        <v>821</v>
      </c>
      <c r="C3" s="1215" t="s">
        <v>539</v>
      </c>
      <c r="D3" s="1212" t="s">
        <v>820</v>
      </c>
      <c r="E3" s="1226" t="s">
        <v>778</v>
      </c>
      <c r="F3" s="1226" t="s">
        <v>818</v>
      </c>
      <c r="G3" s="1226"/>
      <c r="H3" s="1215" t="s">
        <v>819</v>
      </c>
    </row>
    <row r="4" spans="2:9" ht="18" customHeight="1">
      <c r="B4" s="1214"/>
      <c r="C4" s="1215"/>
      <c r="D4" s="1213"/>
      <c r="E4" s="1226"/>
      <c r="F4" s="1226"/>
      <c r="G4" s="1226"/>
      <c r="H4" s="1215"/>
    </row>
    <row r="5" spans="2:9" ht="15" customHeight="1">
      <c r="B5" s="1230" t="s">
        <v>230</v>
      </c>
      <c r="C5" s="1212" t="s">
        <v>244</v>
      </c>
      <c r="D5" s="1233" t="s">
        <v>824</v>
      </c>
      <c r="E5" s="1219" t="s">
        <v>230</v>
      </c>
      <c r="F5" s="44" t="s">
        <v>230</v>
      </c>
      <c r="G5" s="45" t="s">
        <v>240</v>
      </c>
      <c r="H5" s="46" t="s">
        <v>246</v>
      </c>
    </row>
    <row r="6" spans="2:9" ht="15" customHeight="1">
      <c r="B6" s="1231"/>
      <c r="C6" s="1223"/>
      <c r="D6" s="1234"/>
      <c r="E6" s="1219"/>
      <c r="F6" s="44" t="s">
        <v>229</v>
      </c>
      <c r="G6" s="45" t="s">
        <v>22</v>
      </c>
      <c r="H6" s="46" t="s">
        <v>239</v>
      </c>
      <c r="I6" s="7"/>
    </row>
    <row r="7" spans="2:9" ht="15" customHeight="1">
      <c r="B7" s="1231"/>
      <c r="C7" s="1223"/>
      <c r="D7" s="1234"/>
      <c r="E7" s="1219"/>
      <c r="F7" s="44" t="s">
        <v>228</v>
      </c>
      <c r="G7" s="45" t="s">
        <v>238</v>
      </c>
      <c r="H7" s="46" t="s">
        <v>238</v>
      </c>
      <c r="I7" s="7"/>
    </row>
    <row r="8" spans="2:9" ht="15" customHeight="1">
      <c r="B8" s="1231"/>
      <c r="C8" s="1223"/>
      <c r="D8" s="1234"/>
      <c r="E8" s="1219"/>
      <c r="F8" s="44" t="s">
        <v>227</v>
      </c>
      <c r="G8" s="45" t="s">
        <v>237</v>
      </c>
      <c r="H8" s="46" t="s">
        <v>739</v>
      </c>
    </row>
    <row r="9" spans="2:9" ht="15" customHeight="1">
      <c r="B9" s="1231"/>
      <c r="C9" s="1223"/>
      <c r="D9" s="1234"/>
      <c r="E9" s="1219" t="s">
        <v>229</v>
      </c>
      <c r="F9" s="44" t="s">
        <v>230</v>
      </c>
      <c r="G9" s="45" t="s">
        <v>234</v>
      </c>
      <c r="H9" s="46" t="s">
        <v>677</v>
      </c>
    </row>
    <row r="10" spans="2:9" ht="15" customHeight="1">
      <c r="B10" s="1231"/>
      <c r="C10" s="1223"/>
      <c r="D10" s="1234"/>
      <c r="E10" s="1219"/>
      <c r="F10" s="44" t="s">
        <v>229</v>
      </c>
      <c r="G10" s="45" t="s">
        <v>236</v>
      </c>
      <c r="H10" s="46" t="s">
        <v>759</v>
      </c>
    </row>
    <row r="11" spans="2:9" ht="15" customHeight="1">
      <c r="B11" s="1231"/>
      <c r="C11" s="1223"/>
      <c r="D11" s="1234"/>
      <c r="E11" s="1219"/>
      <c r="F11" s="44" t="s">
        <v>228</v>
      </c>
      <c r="G11" s="45" t="s">
        <v>235</v>
      </c>
      <c r="H11" s="46" t="s">
        <v>676</v>
      </c>
    </row>
    <row r="12" spans="2:9" ht="15" customHeight="1">
      <c r="B12" s="1232"/>
      <c r="C12" s="1213"/>
      <c r="D12" s="1235"/>
      <c r="E12" s="1219"/>
      <c r="F12" s="549" t="s">
        <v>227</v>
      </c>
      <c r="G12" s="286" t="s">
        <v>679</v>
      </c>
      <c r="H12" s="49" t="s">
        <v>680</v>
      </c>
    </row>
    <row r="13" spans="2:9" ht="15" customHeight="1">
      <c r="B13" s="1220"/>
      <c r="C13" s="1221"/>
      <c r="D13" s="1221"/>
      <c r="E13" s="1221"/>
      <c r="F13" s="1221"/>
      <c r="G13" s="1221"/>
      <c r="H13" s="1222"/>
    </row>
    <row r="14" spans="2:9" ht="15" customHeight="1">
      <c r="B14" s="1219" t="s">
        <v>229</v>
      </c>
      <c r="C14" s="1215" t="s">
        <v>760</v>
      </c>
      <c r="D14" s="1212" t="s">
        <v>824</v>
      </c>
      <c r="E14" s="1219" t="s">
        <v>230</v>
      </c>
      <c r="F14" s="47" t="s">
        <v>230</v>
      </c>
      <c r="G14" s="99" t="s">
        <v>761</v>
      </c>
      <c r="H14" s="48" t="s">
        <v>678</v>
      </c>
    </row>
    <row r="15" spans="2:9" ht="15" customHeight="1">
      <c r="B15" s="1219"/>
      <c r="C15" s="1215"/>
      <c r="D15" s="1223"/>
      <c r="E15" s="1219"/>
      <c r="F15" s="47" t="s">
        <v>229</v>
      </c>
      <c r="G15" s="552" t="s">
        <v>822</v>
      </c>
      <c r="H15" s="552" t="s">
        <v>823</v>
      </c>
    </row>
    <row r="16" spans="2:9" ht="15" customHeight="1">
      <c r="B16" s="1219"/>
      <c r="C16" s="1215"/>
      <c r="D16" s="1223"/>
      <c r="E16" s="1219"/>
      <c r="F16" s="47" t="s">
        <v>228</v>
      </c>
      <c r="G16" s="50" t="s">
        <v>762</v>
      </c>
      <c r="H16" s="45" t="s">
        <v>763</v>
      </c>
    </row>
    <row r="17" spans="2:8" ht="15" customHeight="1">
      <c r="B17" s="1219"/>
      <c r="C17" s="1215"/>
      <c r="D17" s="1223"/>
      <c r="E17" s="1219"/>
      <c r="F17" s="47" t="s">
        <v>227</v>
      </c>
      <c r="G17" s="50" t="s">
        <v>623</v>
      </c>
      <c r="H17" s="46" t="s">
        <v>45</v>
      </c>
    </row>
    <row r="18" spans="2:8" ht="15" customHeight="1">
      <c r="B18" s="1219"/>
      <c r="C18" s="1215"/>
      <c r="D18" s="1223"/>
      <c r="E18" s="1219"/>
      <c r="F18" s="47" t="s">
        <v>231</v>
      </c>
      <c r="G18" s="50" t="s">
        <v>617</v>
      </c>
      <c r="H18" s="46" t="s">
        <v>488</v>
      </c>
    </row>
    <row r="19" spans="2:8" ht="15" customHeight="1">
      <c r="B19" s="1219"/>
      <c r="C19" s="1215"/>
      <c r="D19" s="1223"/>
      <c r="E19" s="1219"/>
      <c r="F19" s="47" t="s">
        <v>764</v>
      </c>
      <c r="G19" s="50" t="s">
        <v>297</v>
      </c>
      <c r="H19" s="46" t="s">
        <v>487</v>
      </c>
    </row>
    <row r="20" spans="2:8" ht="15" customHeight="1">
      <c r="B20" s="1219"/>
      <c r="C20" s="1215"/>
      <c r="D20" s="1223"/>
      <c r="E20" s="1219"/>
      <c r="F20" s="47" t="s">
        <v>1</v>
      </c>
      <c r="G20" s="45" t="s">
        <v>0</v>
      </c>
      <c r="H20" s="265" t="s">
        <v>681</v>
      </c>
    </row>
    <row r="21" spans="2:8" ht="15" customHeight="1">
      <c r="B21" s="1219"/>
      <c r="C21" s="1215"/>
      <c r="D21" s="1223"/>
      <c r="E21" s="1219"/>
      <c r="F21" s="47" t="s">
        <v>2</v>
      </c>
      <c r="G21" s="45" t="s">
        <v>626</v>
      </c>
      <c r="H21" s="45" t="s">
        <v>23</v>
      </c>
    </row>
    <row r="22" spans="2:8" ht="15" customHeight="1">
      <c r="B22" s="1219"/>
      <c r="C22" s="1215"/>
      <c r="D22" s="1223"/>
      <c r="E22" s="1219"/>
      <c r="F22" s="47" t="s">
        <v>485</v>
      </c>
      <c r="G22" s="45" t="s">
        <v>483</v>
      </c>
      <c r="H22" s="45" t="s">
        <v>484</v>
      </c>
    </row>
    <row r="23" spans="2:8" ht="15" customHeight="1">
      <c r="B23" s="1219"/>
      <c r="C23" s="1215"/>
      <c r="D23" s="1223"/>
      <c r="E23" s="1219"/>
      <c r="F23" s="47" t="s">
        <v>486</v>
      </c>
      <c r="G23" s="45" t="s">
        <v>458</v>
      </c>
      <c r="H23" s="45" t="s">
        <v>482</v>
      </c>
    </row>
    <row r="24" spans="2:8" ht="15" customHeight="1">
      <c r="B24" s="1216" t="s">
        <v>829</v>
      </c>
      <c r="C24" s="1217"/>
      <c r="D24" s="1217"/>
      <c r="E24" s="1217"/>
      <c r="F24" s="1217"/>
      <c r="G24" s="1217"/>
      <c r="H24" s="1218"/>
    </row>
    <row r="25" spans="2:8" ht="15" customHeight="1">
      <c r="B25" s="1219" t="s">
        <v>228</v>
      </c>
      <c r="C25" s="1215" t="s">
        <v>247</v>
      </c>
      <c r="D25" s="1212" t="s">
        <v>825</v>
      </c>
      <c r="E25" s="1219" t="s">
        <v>230</v>
      </c>
      <c r="F25" s="1236" t="s">
        <v>3</v>
      </c>
      <c r="G25" s="1237"/>
      <c r="H25" s="1238"/>
    </row>
    <row r="26" spans="2:8" ht="15" customHeight="1">
      <c r="B26" s="1219"/>
      <c r="C26" s="1215"/>
      <c r="D26" s="1223"/>
      <c r="E26" s="1219"/>
      <c r="F26" s="1239"/>
      <c r="G26" s="1240"/>
      <c r="H26" s="1241"/>
    </row>
    <row r="27" spans="2:8" ht="15" customHeight="1">
      <c r="B27" s="1219"/>
      <c r="C27" s="1215"/>
      <c r="D27" s="1223"/>
      <c r="E27" s="1225" t="s">
        <v>229</v>
      </c>
      <c r="F27" s="1242" t="s">
        <v>4</v>
      </c>
      <c r="G27" s="1243"/>
      <c r="H27" s="1244"/>
    </row>
    <row r="28" spans="2:8" ht="15" customHeight="1">
      <c r="B28" s="1219"/>
      <c r="C28" s="1215"/>
      <c r="D28" s="1213"/>
      <c r="E28" s="1225"/>
      <c r="F28" s="1245"/>
      <c r="G28" s="1246"/>
      <c r="H28" s="1247"/>
    </row>
    <row r="29" spans="2:8" ht="15" customHeight="1">
      <c r="B29" s="1216" t="s">
        <v>828</v>
      </c>
      <c r="C29" s="1217"/>
      <c r="D29" s="1217"/>
      <c r="E29" s="1217"/>
      <c r="F29" s="1217"/>
      <c r="G29" s="1217"/>
      <c r="H29" s="1218"/>
    </row>
    <row r="30" spans="2:8" ht="15" customHeight="1">
      <c r="B30" s="1219" t="s">
        <v>227</v>
      </c>
      <c r="C30" s="1215" t="s">
        <v>826</v>
      </c>
      <c r="D30" s="1212" t="s">
        <v>825</v>
      </c>
      <c r="E30" s="1230" t="s">
        <v>230</v>
      </c>
      <c r="F30" s="1248" t="s">
        <v>827</v>
      </c>
      <c r="G30" s="1249"/>
      <c r="H30" s="1249"/>
    </row>
    <row r="31" spans="2:8" ht="15" customHeight="1">
      <c r="B31" s="1219"/>
      <c r="C31" s="1215"/>
      <c r="D31" s="1223"/>
      <c r="E31" s="1231"/>
      <c r="F31" s="1250"/>
      <c r="G31" s="1251"/>
      <c r="H31" s="1251"/>
    </row>
    <row r="32" spans="2:8" ht="15" customHeight="1">
      <c r="B32" s="1219"/>
      <c r="C32" s="1215"/>
      <c r="D32" s="1213"/>
      <c r="E32" s="1232"/>
      <c r="F32" s="1252"/>
      <c r="G32" s="1253"/>
      <c r="H32" s="1253"/>
    </row>
    <row r="33" spans="2:8" ht="15" customHeight="1">
      <c r="B33" s="1216" t="s">
        <v>249</v>
      </c>
      <c r="C33" s="1217"/>
      <c r="D33" s="1217"/>
      <c r="E33" s="1217"/>
      <c r="F33" s="1217"/>
      <c r="G33" s="1217"/>
      <c r="H33" s="1218"/>
    </row>
    <row r="34" spans="2:8">
      <c r="B34" s="1219" t="s">
        <v>231</v>
      </c>
      <c r="C34" s="1215" t="s">
        <v>248</v>
      </c>
      <c r="D34" s="1212">
        <v>1</v>
      </c>
      <c r="E34" s="1263" t="s">
        <v>230</v>
      </c>
      <c r="F34" s="1254" t="s">
        <v>5</v>
      </c>
      <c r="G34" s="1255"/>
      <c r="H34" s="1256"/>
    </row>
    <row r="35" spans="2:8">
      <c r="B35" s="1219"/>
      <c r="C35" s="1215"/>
      <c r="D35" s="1223"/>
      <c r="E35" s="1264"/>
      <c r="F35" s="1257"/>
      <c r="G35" s="1258"/>
      <c r="H35" s="1259"/>
    </row>
    <row r="36" spans="2:8">
      <c r="B36" s="1219"/>
      <c r="C36" s="1215"/>
      <c r="D36" s="1213"/>
      <c r="E36" s="1265"/>
      <c r="F36" s="1260"/>
      <c r="G36" s="1261"/>
      <c r="H36" s="1262"/>
    </row>
    <row r="37" spans="2:8">
      <c r="B37" s="42"/>
      <c r="C37" s="43"/>
      <c r="D37" s="43"/>
      <c r="E37" s="42"/>
      <c r="F37" s="42"/>
      <c r="G37" s="43"/>
      <c r="H37" s="43"/>
    </row>
    <row r="38" spans="2:8">
      <c r="B38" s="42"/>
      <c r="C38" s="43"/>
      <c r="D38" s="43"/>
      <c r="E38" s="42"/>
      <c r="F38" s="42"/>
      <c r="G38" s="43"/>
      <c r="H38" s="43"/>
    </row>
    <row r="64219" spans="8:8" ht="14.25">
      <c r="H64219" s="6"/>
    </row>
  </sheetData>
  <mergeCells count="38">
    <mergeCell ref="D34:D36"/>
    <mergeCell ref="B29:H29"/>
    <mergeCell ref="E30:E32"/>
    <mergeCell ref="F30:H32"/>
    <mergeCell ref="F34:H36"/>
    <mergeCell ref="B34:B36"/>
    <mergeCell ref="C34:C36"/>
    <mergeCell ref="B33:H33"/>
    <mergeCell ref="E34:E36"/>
    <mergeCell ref="B1:H1"/>
    <mergeCell ref="E27:E28"/>
    <mergeCell ref="E3:E4"/>
    <mergeCell ref="F3:G4"/>
    <mergeCell ref="E5:E8"/>
    <mergeCell ref="B2:H2"/>
    <mergeCell ref="H3:H4"/>
    <mergeCell ref="E9:E12"/>
    <mergeCell ref="B5:B12"/>
    <mergeCell ref="D14:D23"/>
    <mergeCell ref="C5:C12"/>
    <mergeCell ref="D5:D12"/>
    <mergeCell ref="D25:D28"/>
    <mergeCell ref="E25:E26"/>
    <mergeCell ref="F25:H26"/>
    <mergeCell ref="F27:H28"/>
    <mergeCell ref="B25:B28"/>
    <mergeCell ref="C25:C28"/>
    <mergeCell ref="B30:B32"/>
    <mergeCell ref="C30:C32"/>
    <mergeCell ref="D30:D32"/>
    <mergeCell ref="D3:D4"/>
    <mergeCell ref="B3:B4"/>
    <mergeCell ref="C3:C4"/>
    <mergeCell ref="B24:H24"/>
    <mergeCell ref="C14:C23"/>
    <mergeCell ref="E14:E23"/>
    <mergeCell ref="B14:B23"/>
    <mergeCell ref="B13:H13"/>
  </mergeCells>
  <phoneticPr fontId="0" type="noConversion"/>
  <pageMargins left="0.87" right="0.21" top="0.56999999999999995" bottom="0.17" header="0" footer="0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00B0F0"/>
  </sheetPr>
  <dimension ref="A2:G65"/>
  <sheetViews>
    <sheetView topLeftCell="A13" workbookViewId="0">
      <selection activeCell="F14" sqref="F14"/>
    </sheetView>
  </sheetViews>
  <sheetFormatPr baseColWidth="10" defaultRowHeight="12.75"/>
  <cols>
    <col min="1" max="1" width="5.42578125" style="551" customWidth="1"/>
    <col min="2" max="2" width="17.5703125" bestFit="1" customWidth="1"/>
    <col min="3" max="3" width="32.5703125" customWidth="1"/>
    <col min="4" max="4" width="2.7109375" bestFit="1" customWidth="1"/>
    <col min="5" max="5" width="26.5703125" customWidth="1"/>
    <col min="6" max="6" width="39.5703125" customWidth="1"/>
  </cols>
  <sheetData>
    <row r="2" spans="1:6" ht="18">
      <c r="A2" s="1277" t="s">
        <v>830</v>
      </c>
      <c r="B2" s="1277"/>
      <c r="C2" s="1277"/>
      <c r="D2" s="1277"/>
      <c r="E2" s="1277"/>
      <c r="F2" s="1277"/>
    </row>
    <row r="3" spans="1:6" ht="20.25">
      <c r="A3" s="1278" t="s">
        <v>1277</v>
      </c>
      <c r="B3" s="1278"/>
      <c r="C3" s="1278"/>
      <c r="D3" s="1278"/>
      <c r="E3" s="1278"/>
      <c r="F3" s="1278"/>
    </row>
    <row r="5" spans="1:6" ht="15.75">
      <c r="A5" s="555" t="s">
        <v>831</v>
      </c>
      <c r="B5" s="553" t="s">
        <v>832</v>
      </c>
      <c r="C5" s="553" t="s">
        <v>833</v>
      </c>
      <c r="D5" s="1275" t="s">
        <v>818</v>
      </c>
      <c r="E5" s="1276"/>
      <c r="F5" s="554" t="s">
        <v>819</v>
      </c>
    </row>
    <row r="6" spans="1:6">
      <c r="A6" s="1272">
        <v>1</v>
      </c>
      <c r="B6" s="1272" t="s">
        <v>834</v>
      </c>
      <c r="C6" s="1274" t="s">
        <v>835</v>
      </c>
      <c r="D6" s="550" t="s">
        <v>230</v>
      </c>
      <c r="E6" s="45" t="s">
        <v>240</v>
      </c>
      <c r="F6" s="46" t="s">
        <v>246</v>
      </c>
    </row>
    <row r="7" spans="1:6">
      <c r="A7" s="1272"/>
      <c r="B7" s="1272"/>
      <c r="C7" s="1274"/>
      <c r="D7" s="550" t="s">
        <v>229</v>
      </c>
      <c r="E7" s="45" t="s">
        <v>22</v>
      </c>
      <c r="F7" s="46" t="s">
        <v>239</v>
      </c>
    </row>
    <row r="8" spans="1:6">
      <c r="A8" s="1272"/>
      <c r="B8" s="1272"/>
      <c r="C8" s="1274"/>
      <c r="D8" s="550" t="s">
        <v>228</v>
      </c>
      <c r="E8" s="45" t="s">
        <v>238</v>
      </c>
      <c r="F8" s="46" t="s">
        <v>238</v>
      </c>
    </row>
    <row r="9" spans="1:6">
      <c r="A9" s="1272"/>
      <c r="B9" s="1272"/>
      <c r="C9" s="1274"/>
      <c r="D9" s="550" t="s">
        <v>227</v>
      </c>
      <c r="E9" s="45" t="s">
        <v>237</v>
      </c>
      <c r="F9" s="46" t="s">
        <v>739</v>
      </c>
    </row>
    <row r="10" spans="1:6">
      <c r="A10" s="1272">
        <v>2</v>
      </c>
      <c r="B10" s="1273" t="s">
        <v>836</v>
      </c>
      <c r="C10" s="1274" t="s">
        <v>837</v>
      </c>
      <c r="D10" s="550" t="s">
        <v>230</v>
      </c>
      <c r="E10" s="45" t="s">
        <v>240</v>
      </c>
      <c r="F10" s="46" t="s">
        <v>246</v>
      </c>
    </row>
    <row r="11" spans="1:6">
      <c r="A11" s="1272"/>
      <c r="B11" s="1272"/>
      <c r="C11" s="1274"/>
      <c r="D11" s="550" t="s">
        <v>229</v>
      </c>
      <c r="E11" s="45" t="s">
        <v>22</v>
      </c>
      <c r="F11" s="46" t="s">
        <v>239</v>
      </c>
    </row>
    <row r="12" spans="1:6">
      <c r="A12" s="1272"/>
      <c r="B12" s="1272"/>
      <c r="C12" s="1274"/>
      <c r="D12" s="550" t="s">
        <v>228</v>
      </c>
      <c r="E12" s="45" t="s">
        <v>238</v>
      </c>
      <c r="F12" s="46" t="s">
        <v>238</v>
      </c>
    </row>
    <row r="13" spans="1:6">
      <c r="A13" s="1272"/>
      <c r="B13" s="1272"/>
      <c r="C13" s="1274"/>
      <c r="D13" s="550" t="s">
        <v>227</v>
      </c>
      <c r="E13" s="45" t="s">
        <v>237</v>
      </c>
      <c r="F13" s="46" t="s">
        <v>739</v>
      </c>
    </row>
    <row r="14" spans="1:6" ht="13.5" customHeight="1">
      <c r="A14" s="1272">
        <v>3</v>
      </c>
      <c r="B14" s="1273" t="s">
        <v>838</v>
      </c>
      <c r="C14" s="1274" t="s">
        <v>839</v>
      </c>
      <c r="D14" s="550" t="s">
        <v>230</v>
      </c>
      <c r="E14" s="45" t="s">
        <v>234</v>
      </c>
      <c r="F14" s="46" t="s">
        <v>677</v>
      </c>
    </row>
    <row r="15" spans="1:6" ht="13.5" customHeight="1">
      <c r="A15" s="1272"/>
      <c r="B15" s="1273"/>
      <c r="C15" s="1274"/>
      <c r="D15" s="550" t="s">
        <v>229</v>
      </c>
      <c r="E15" s="45" t="s">
        <v>236</v>
      </c>
      <c r="F15" s="46" t="s">
        <v>759</v>
      </c>
    </row>
    <row r="16" spans="1:6" ht="13.5" customHeight="1">
      <c r="A16" s="1272"/>
      <c r="B16" s="1273"/>
      <c r="C16" s="1274"/>
      <c r="D16" s="550" t="s">
        <v>228</v>
      </c>
      <c r="E16" s="45" t="s">
        <v>235</v>
      </c>
      <c r="F16" s="46" t="s">
        <v>676</v>
      </c>
    </row>
    <row r="17" spans="1:6" ht="13.5" customHeight="1">
      <c r="A17" s="1272"/>
      <c r="B17" s="1273"/>
      <c r="C17" s="1274"/>
      <c r="D17" s="550" t="s">
        <v>227</v>
      </c>
      <c r="E17" s="286" t="s">
        <v>679</v>
      </c>
      <c r="F17" s="49" t="s">
        <v>680</v>
      </c>
    </row>
    <row r="18" spans="1:6">
      <c r="A18" s="1272">
        <v>4</v>
      </c>
      <c r="B18" s="1273" t="s">
        <v>841</v>
      </c>
      <c r="C18" s="1274" t="s">
        <v>840</v>
      </c>
      <c r="D18" s="550" t="s">
        <v>230</v>
      </c>
      <c r="E18" s="45" t="s">
        <v>234</v>
      </c>
      <c r="F18" s="46" t="s">
        <v>677</v>
      </c>
    </row>
    <row r="19" spans="1:6">
      <c r="A19" s="1272"/>
      <c r="B19" s="1273"/>
      <c r="C19" s="1274"/>
      <c r="D19" s="550" t="s">
        <v>229</v>
      </c>
      <c r="E19" s="45" t="s">
        <v>236</v>
      </c>
      <c r="F19" s="46" t="s">
        <v>759</v>
      </c>
    </row>
    <row r="20" spans="1:6">
      <c r="A20" s="1272"/>
      <c r="B20" s="1273"/>
      <c r="C20" s="1274"/>
      <c r="D20" s="550" t="s">
        <v>228</v>
      </c>
      <c r="E20" s="45" t="s">
        <v>235</v>
      </c>
      <c r="F20" s="46" t="s">
        <v>676</v>
      </c>
    </row>
    <row r="21" spans="1:6" ht="22.5">
      <c r="A21" s="1272"/>
      <c r="B21" s="1273"/>
      <c r="C21" s="1274"/>
      <c r="D21" s="550" t="s">
        <v>227</v>
      </c>
      <c r="E21" s="286" t="s">
        <v>679</v>
      </c>
      <c r="F21" s="49" t="s">
        <v>680</v>
      </c>
    </row>
    <row r="22" spans="1:6" ht="12.75" customHeight="1">
      <c r="A22" s="1266">
        <v>5</v>
      </c>
      <c r="B22" s="1267" t="s">
        <v>842</v>
      </c>
      <c r="C22" s="1271" t="s">
        <v>843</v>
      </c>
      <c r="D22" s="47" t="s">
        <v>230</v>
      </c>
      <c r="E22" s="99" t="s">
        <v>761</v>
      </c>
      <c r="F22" s="48" t="s">
        <v>678</v>
      </c>
    </row>
    <row r="23" spans="1:6">
      <c r="A23" s="1266"/>
      <c r="B23" s="1267"/>
      <c r="C23" s="1271"/>
      <c r="D23" s="47" t="s">
        <v>229</v>
      </c>
      <c r="E23" s="552" t="s">
        <v>822</v>
      </c>
      <c r="F23" s="552" t="s">
        <v>823</v>
      </c>
    </row>
    <row r="24" spans="1:6">
      <c r="A24" s="1266"/>
      <c r="B24" s="1267"/>
      <c r="C24" s="1271"/>
      <c r="D24" s="47" t="s">
        <v>228</v>
      </c>
      <c r="E24" s="50" t="s">
        <v>762</v>
      </c>
      <c r="F24" s="45" t="s">
        <v>763</v>
      </c>
    </row>
    <row r="25" spans="1:6">
      <c r="A25" s="1266"/>
      <c r="B25" s="1267"/>
      <c r="C25" s="1271"/>
      <c r="D25" s="47" t="s">
        <v>227</v>
      </c>
      <c r="E25" s="50" t="s">
        <v>623</v>
      </c>
      <c r="F25" s="46" t="s">
        <v>45</v>
      </c>
    </row>
    <row r="26" spans="1:6">
      <c r="A26" s="1266"/>
      <c r="B26" s="1267"/>
      <c r="C26" s="1271"/>
      <c r="D26" s="47" t="s">
        <v>231</v>
      </c>
      <c r="E26" s="50" t="s">
        <v>617</v>
      </c>
      <c r="F26" s="46" t="s">
        <v>488</v>
      </c>
    </row>
    <row r="27" spans="1:6">
      <c r="A27" s="1266"/>
      <c r="B27" s="1267"/>
      <c r="C27" s="1271"/>
      <c r="D27" s="47" t="s">
        <v>764</v>
      </c>
      <c r="E27" s="50" t="s">
        <v>297</v>
      </c>
      <c r="F27" s="46" t="s">
        <v>487</v>
      </c>
    </row>
    <row r="28" spans="1:6">
      <c r="A28" s="1266"/>
      <c r="B28" s="1267"/>
      <c r="C28" s="1271"/>
      <c r="D28" s="47" t="s">
        <v>1</v>
      </c>
      <c r="E28" s="45" t="s">
        <v>0</v>
      </c>
      <c r="F28" s="265" t="s">
        <v>681</v>
      </c>
    </row>
    <row r="29" spans="1:6">
      <c r="A29" s="1266"/>
      <c r="B29" s="1267"/>
      <c r="C29" s="1271"/>
      <c r="D29" s="47" t="s">
        <v>2</v>
      </c>
      <c r="E29" s="45" t="s">
        <v>626</v>
      </c>
      <c r="F29" s="45" t="s">
        <v>23</v>
      </c>
    </row>
    <row r="30" spans="1:6">
      <c r="A30" s="1266"/>
      <c r="B30" s="1267"/>
      <c r="C30" s="1271"/>
      <c r="D30" s="47" t="s">
        <v>485</v>
      </c>
      <c r="E30" s="45" t="s">
        <v>483</v>
      </c>
      <c r="F30" s="45" t="s">
        <v>484</v>
      </c>
    </row>
    <row r="31" spans="1:6">
      <c r="A31" s="1266"/>
      <c r="B31" s="1267"/>
      <c r="C31" s="1271"/>
      <c r="D31" s="47" t="s">
        <v>486</v>
      </c>
      <c r="E31" s="45" t="s">
        <v>458</v>
      </c>
      <c r="F31" s="45" t="s">
        <v>482</v>
      </c>
    </row>
    <row r="32" spans="1:6">
      <c r="A32" s="1266">
        <v>6</v>
      </c>
      <c r="B32" s="1267" t="s">
        <v>844</v>
      </c>
      <c r="C32" s="1271" t="s">
        <v>845</v>
      </c>
      <c r="D32" s="47" t="s">
        <v>230</v>
      </c>
      <c r="E32" s="99" t="s">
        <v>761</v>
      </c>
      <c r="F32" s="48" t="s">
        <v>678</v>
      </c>
    </row>
    <row r="33" spans="1:7">
      <c r="A33" s="1266"/>
      <c r="B33" s="1267"/>
      <c r="C33" s="1271"/>
      <c r="D33" s="47" t="s">
        <v>229</v>
      </c>
      <c r="E33" s="552" t="s">
        <v>822</v>
      </c>
      <c r="F33" s="552" t="s">
        <v>823</v>
      </c>
    </row>
    <row r="34" spans="1:7">
      <c r="A34" s="1266"/>
      <c r="B34" s="1267"/>
      <c r="C34" s="1271"/>
      <c r="D34" s="47" t="s">
        <v>228</v>
      </c>
      <c r="E34" s="50" t="s">
        <v>762</v>
      </c>
      <c r="F34" s="45" t="s">
        <v>763</v>
      </c>
    </row>
    <row r="35" spans="1:7">
      <c r="A35" s="1266"/>
      <c r="B35" s="1267"/>
      <c r="C35" s="1271"/>
      <c r="D35" s="47" t="s">
        <v>227</v>
      </c>
      <c r="E35" s="50" t="s">
        <v>623</v>
      </c>
      <c r="F35" s="46" t="s">
        <v>45</v>
      </c>
    </row>
    <row r="36" spans="1:7">
      <c r="A36" s="1266"/>
      <c r="B36" s="1267"/>
      <c r="C36" s="1271"/>
      <c r="D36" s="47" t="s">
        <v>231</v>
      </c>
      <c r="E36" s="50" t="s">
        <v>617</v>
      </c>
      <c r="F36" s="46" t="s">
        <v>488</v>
      </c>
    </row>
    <row r="37" spans="1:7">
      <c r="A37" s="1266"/>
      <c r="B37" s="1267"/>
      <c r="C37" s="1271"/>
      <c r="D37" s="47" t="s">
        <v>764</v>
      </c>
      <c r="E37" s="50" t="s">
        <v>297</v>
      </c>
      <c r="F37" s="46" t="s">
        <v>487</v>
      </c>
    </row>
    <row r="38" spans="1:7">
      <c r="A38" s="1266"/>
      <c r="B38" s="1267"/>
      <c r="C38" s="1271"/>
      <c r="D38" s="47" t="s">
        <v>1</v>
      </c>
      <c r="E38" s="45" t="s">
        <v>0</v>
      </c>
      <c r="F38" s="265" t="s">
        <v>681</v>
      </c>
    </row>
    <row r="39" spans="1:7">
      <c r="A39" s="1266"/>
      <c r="B39" s="1267"/>
      <c r="C39" s="1271"/>
      <c r="D39" s="47" t="s">
        <v>2</v>
      </c>
      <c r="E39" s="45" t="s">
        <v>626</v>
      </c>
      <c r="F39" s="45" t="s">
        <v>23</v>
      </c>
    </row>
    <row r="40" spans="1:7">
      <c r="A40" s="1266"/>
      <c r="B40" s="1267"/>
      <c r="C40" s="1271"/>
      <c r="D40" s="47" t="s">
        <v>485</v>
      </c>
      <c r="E40" s="45" t="s">
        <v>483</v>
      </c>
      <c r="F40" s="45" t="s">
        <v>484</v>
      </c>
    </row>
    <row r="41" spans="1:7">
      <c r="A41" s="1266"/>
      <c r="B41" s="1267"/>
      <c r="C41" s="1271"/>
      <c r="D41" s="47" t="s">
        <v>486</v>
      </c>
      <c r="E41" s="45" t="s">
        <v>458</v>
      </c>
      <c r="F41" s="45" t="s">
        <v>482</v>
      </c>
    </row>
    <row r="42" spans="1:7">
      <c r="A42" s="1266">
        <v>7</v>
      </c>
      <c r="B42" s="1267" t="s">
        <v>847</v>
      </c>
      <c r="C42" s="1268" t="s">
        <v>846</v>
      </c>
      <c r="D42" s="1219" t="s">
        <v>230</v>
      </c>
      <c r="E42" s="1270" t="s">
        <v>3</v>
      </c>
      <c r="F42" s="1270"/>
      <c r="G42" s="556"/>
    </row>
    <row r="43" spans="1:7">
      <c r="A43" s="1266"/>
      <c r="B43" s="1267"/>
      <c r="C43" s="1268"/>
      <c r="D43" s="1219"/>
      <c r="E43" s="1270"/>
      <c r="F43" s="1270"/>
      <c r="G43" s="556"/>
    </row>
    <row r="44" spans="1:7">
      <c r="A44" s="1266">
        <v>8</v>
      </c>
      <c r="B44" s="1267" t="s">
        <v>848</v>
      </c>
      <c r="C44" s="1268" t="s">
        <v>849</v>
      </c>
      <c r="D44" s="1219" t="s">
        <v>230</v>
      </c>
      <c r="E44" s="1270" t="s">
        <v>3</v>
      </c>
      <c r="F44" s="1270"/>
    </row>
    <row r="45" spans="1:7">
      <c r="A45" s="1266"/>
      <c r="B45" s="1267"/>
      <c r="C45" s="1268"/>
      <c r="D45" s="1219"/>
      <c r="E45" s="1270"/>
      <c r="F45" s="1270"/>
    </row>
    <row r="46" spans="1:7">
      <c r="A46" s="1266">
        <v>9</v>
      </c>
      <c r="B46" s="1267" t="s">
        <v>850</v>
      </c>
      <c r="C46" s="1268" t="s">
        <v>851</v>
      </c>
      <c r="D46" s="1225" t="s">
        <v>229</v>
      </c>
      <c r="E46" s="1269" t="s">
        <v>859</v>
      </c>
      <c r="F46" s="1269"/>
      <c r="G46" s="557"/>
    </row>
    <row r="47" spans="1:7">
      <c r="A47" s="1266"/>
      <c r="B47" s="1267"/>
      <c r="C47" s="1268"/>
      <c r="D47" s="1225"/>
      <c r="E47" s="1269"/>
      <c r="F47" s="1269"/>
      <c r="G47" s="557" t="s">
        <v>854</v>
      </c>
    </row>
    <row r="48" spans="1:7">
      <c r="A48" s="1266">
        <v>10</v>
      </c>
      <c r="B48" s="1267" t="s">
        <v>852</v>
      </c>
      <c r="C48" s="1268" t="s">
        <v>853</v>
      </c>
      <c r="D48" s="1225" t="s">
        <v>229</v>
      </c>
      <c r="E48" s="1269" t="s">
        <v>859</v>
      </c>
      <c r="F48" s="1269"/>
    </row>
    <row r="49" spans="1:6">
      <c r="A49" s="1266"/>
      <c r="B49" s="1267"/>
      <c r="C49" s="1268"/>
      <c r="D49" s="1225"/>
      <c r="E49" s="1269"/>
      <c r="F49" s="1269"/>
    </row>
    <row r="50" spans="1:6">
      <c r="A50" s="1266">
        <v>11</v>
      </c>
      <c r="B50" s="1267" t="s">
        <v>855</v>
      </c>
      <c r="C50" s="1268" t="s">
        <v>856</v>
      </c>
      <c r="D50" s="1225" t="s">
        <v>229</v>
      </c>
      <c r="E50" s="1269" t="s">
        <v>859</v>
      </c>
      <c r="F50" s="1269"/>
    </row>
    <row r="51" spans="1:6">
      <c r="A51" s="1266"/>
      <c r="B51" s="1267"/>
      <c r="C51" s="1268"/>
      <c r="D51" s="1225"/>
      <c r="E51" s="1269"/>
      <c r="F51" s="1269"/>
    </row>
    <row r="52" spans="1:6">
      <c r="A52" s="1266">
        <v>13</v>
      </c>
      <c r="B52" s="1267" t="s">
        <v>863</v>
      </c>
      <c r="C52" s="1268" t="s">
        <v>864</v>
      </c>
      <c r="D52" s="1225" t="s">
        <v>230</v>
      </c>
      <c r="E52" s="1269" t="s">
        <v>5</v>
      </c>
      <c r="F52" s="1269"/>
    </row>
    <row r="53" spans="1:6">
      <c r="A53" s="1266"/>
      <c r="B53" s="1267"/>
      <c r="C53" s="1268"/>
      <c r="D53" s="1225"/>
      <c r="E53" s="1269"/>
      <c r="F53" s="1269"/>
    </row>
    <row r="54" spans="1:6">
      <c r="A54" s="1266">
        <v>14</v>
      </c>
      <c r="B54" s="1267" t="s">
        <v>857</v>
      </c>
      <c r="C54" s="1268" t="s">
        <v>858</v>
      </c>
      <c r="D54" s="1225" t="s">
        <v>229</v>
      </c>
      <c r="E54" s="1269" t="s">
        <v>859</v>
      </c>
      <c r="F54" s="1269"/>
    </row>
    <row r="55" spans="1:6">
      <c r="A55" s="1266"/>
      <c r="B55" s="1267"/>
      <c r="C55" s="1268"/>
      <c r="D55" s="1225"/>
      <c r="E55" s="1269"/>
      <c r="F55" s="1269"/>
    </row>
    <row r="56" spans="1:6" ht="20.25" customHeight="1">
      <c r="A56" s="1266">
        <v>15</v>
      </c>
      <c r="B56" s="1267" t="s">
        <v>861</v>
      </c>
      <c r="C56" s="1268" t="s">
        <v>862</v>
      </c>
      <c r="D56" s="1225" t="s">
        <v>230</v>
      </c>
      <c r="E56" s="1269" t="s">
        <v>860</v>
      </c>
      <c r="F56" s="1269"/>
    </row>
    <row r="57" spans="1:6">
      <c r="A57" s="1266"/>
      <c r="B57" s="1267"/>
      <c r="C57" s="1268"/>
      <c r="D57" s="1225"/>
      <c r="E57" s="1269"/>
      <c r="F57" s="1269"/>
    </row>
    <row r="58" spans="1:6">
      <c r="A58" s="1266">
        <v>17</v>
      </c>
      <c r="B58" s="1267" t="s">
        <v>867</v>
      </c>
      <c r="C58" s="1268" t="s">
        <v>868</v>
      </c>
      <c r="D58" s="1225" t="s">
        <v>230</v>
      </c>
      <c r="E58" s="1269" t="s">
        <v>860</v>
      </c>
      <c r="F58" s="1269"/>
    </row>
    <row r="59" spans="1:6">
      <c r="A59" s="1266"/>
      <c r="B59" s="1267"/>
      <c r="C59" s="1268"/>
      <c r="D59" s="1225"/>
      <c r="E59" s="1269"/>
      <c r="F59" s="1269"/>
    </row>
    <row r="60" spans="1:6">
      <c r="A60" s="1266">
        <v>18</v>
      </c>
      <c r="B60" s="1267" t="s">
        <v>1055</v>
      </c>
      <c r="C60" s="1268" t="s">
        <v>1056</v>
      </c>
      <c r="D60" s="1225" t="s">
        <v>230</v>
      </c>
      <c r="E60" s="1269" t="s">
        <v>860</v>
      </c>
      <c r="F60" s="1269"/>
    </row>
    <row r="61" spans="1:6" ht="13.5" customHeight="1">
      <c r="A61" s="1266"/>
      <c r="B61" s="1267"/>
      <c r="C61" s="1268"/>
      <c r="D61" s="1225"/>
      <c r="E61" s="1269"/>
      <c r="F61" s="1269"/>
    </row>
    <row r="62" spans="1:6" ht="13.5" customHeight="1">
      <c r="A62" s="1266">
        <v>19</v>
      </c>
      <c r="B62" s="1267" t="s">
        <v>1133</v>
      </c>
      <c r="C62" s="1268" t="s">
        <v>1134</v>
      </c>
      <c r="D62" s="1225" t="s">
        <v>230</v>
      </c>
      <c r="E62" s="1269" t="s">
        <v>1135</v>
      </c>
      <c r="F62" s="1269"/>
    </row>
    <row r="63" spans="1:6">
      <c r="A63" s="1266"/>
      <c r="B63" s="1267"/>
      <c r="C63" s="1268"/>
      <c r="D63" s="1225"/>
      <c r="E63" s="1269"/>
      <c r="F63" s="1269"/>
    </row>
    <row r="64" spans="1:6">
      <c r="A64" s="1266">
        <v>99</v>
      </c>
      <c r="B64" s="1267">
        <v>9</v>
      </c>
      <c r="C64" s="1268" t="s">
        <v>865</v>
      </c>
      <c r="D64" s="1225" t="s">
        <v>230</v>
      </c>
      <c r="E64" s="1269" t="s">
        <v>866</v>
      </c>
      <c r="F64" s="1269"/>
    </row>
    <row r="65" spans="1:6">
      <c r="A65" s="1266"/>
      <c r="B65" s="1267"/>
      <c r="C65" s="1268"/>
      <c r="D65" s="1225"/>
      <c r="E65" s="1269"/>
      <c r="F65" s="1269"/>
    </row>
  </sheetData>
  <mergeCells count="81">
    <mergeCell ref="A62:A63"/>
    <mergeCell ref="B62:B63"/>
    <mergeCell ref="C62:C63"/>
    <mergeCell ref="D62:D63"/>
    <mergeCell ref="E62:F63"/>
    <mergeCell ref="A60:A61"/>
    <mergeCell ref="B60:B61"/>
    <mergeCell ref="C60:C61"/>
    <mergeCell ref="D60:D61"/>
    <mergeCell ref="E60:F61"/>
    <mergeCell ref="D5:E5"/>
    <mergeCell ref="A2:F2"/>
    <mergeCell ref="C14:C17"/>
    <mergeCell ref="B14:B17"/>
    <mergeCell ref="A14:A17"/>
    <mergeCell ref="A3:F3"/>
    <mergeCell ref="A32:A41"/>
    <mergeCell ref="B32:B41"/>
    <mergeCell ref="C32:C41"/>
    <mergeCell ref="B6:B9"/>
    <mergeCell ref="A6:A9"/>
    <mergeCell ref="A10:A13"/>
    <mergeCell ref="B10:B13"/>
    <mergeCell ref="C10:C13"/>
    <mergeCell ref="C6:C9"/>
    <mergeCell ref="C18:C21"/>
    <mergeCell ref="A18:A21"/>
    <mergeCell ref="B18:B21"/>
    <mergeCell ref="C22:C31"/>
    <mergeCell ref="B22:B31"/>
    <mergeCell ref="A22:A31"/>
    <mergeCell ref="D42:D43"/>
    <mergeCell ref="C42:C43"/>
    <mergeCell ref="B42:B43"/>
    <mergeCell ref="A42:A43"/>
    <mergeCell ref="E42:F43"/>
    <mergeCell ref="A44:A45"/>
    <mergeCell ref="B46:B47"/>
    <mergeCell ref="C46:C47"/>
    <mergeCell ref="D46:D47"/>
    <mergeCell ref="E46:F47"/>
    <mergeCell ref="A46:A47"/>
    <mergeCell ref="E48:F49"/>
    <mergeCell ref="B44:B45"/>
    <mergeCell ref="C44:C45"/>
    <mergeCell ref="D44:D45"/>
    <mergeCell ref="E44:F45"/>
    <mergeCell ref="A48:A49"/>
    <mergeCell ref="B48:B49"/>
    <mergeCell ref="C48:C49"/>
    <mergeCell ref="D48:D49"/>
    <mergeCell ref="A54:A55"/>
    <mergeCell ref="B54:B55"/>
    <mergeCell ref="C54:C55"/>
    <mergeCell ref="D54:D55"/>
    <mergeCell ref="E54:F55"/>
    <mergeCell ref="A50:A51"/>
    <mergeCell ref="B50:B51"/>
    <mergeCell ref="C50:C51"/>
    <mergeCell ref="D50:D51"/>
    <mergeCell ref="E50:F51"/>
    <mergeCell ref="A52:A53"/>
    <mergeCell ref="B52:B53"/>
    <mergeCell ref="C52:C53"/>
    <mergeCell ref="D52:D53"/>
    <mergeCell ref="E52:F53"/>
    <mergeCell ref="A64:A65"/>
    <mergeCell ref="B64:B65"/>
    <mergeCell ref="C64:C65"/>
    <mergeCell ref="D64:D65"/>
    <mergeCell ref="E64:F65"/>
    <mergeCell ref="A58:A59"/>
    <mergeCell ref="B58:B59"/>
    <mergeCell ref="C58:C59"/>
    <mergeCell ref="D58:D59"/>
    <mergeCell ref="E58:F59"/>
    <mergeCell ref="A56:A57"/>
    <mergeCell ref="B56:B57"/>
    <mergeCell ref="C56:C57"/>
    <mergeCell ref="D56:D57"/>
    <mergeCell ref="E56:F57"/>
  </mergeCells>
  <pageMargins left="0.54" right="0.48" top="0.49" bottom="0.52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>
    <tabColor rgb="FFFFC000"/>
  </sheetPr>
  <dimension ref="A1:L234"/>
  <sheetViews>
    <sheetView topLeftCell="A16" zoomScale="110" zoomScaleNormal="110" workbookViewId="0">
      <selection activeCell="H63" sqref="H63"/>
    </sheetView>
  </sheetViews>
  <sheetFormatPr baseColWidth="10" defaultColWidth="11.42578125" defaultRowHeight="11.25"/>
  <cols>
    <col min="1" max="1" width="38.5703125" style="517" customWidth="1"/>
    <col min="2" max="2" width="7.140625" style="517" customWidth="1"/>
    <col min="3" max="4" width="6.42578125" style="517" customWidth="1"/>
    <col min="5" max="5" width="11.140625" style="517" hidden="1" customWidth="1"/>
    <col min="6" max="6" width="10.5703125" style="517" customWidth="1"/>
    <col min="7" max="7" width="11" style="517" customWidth="1"/>
    <col min="8" max="8" width="11.85546875" style="789" customWidth="1"/>
    <col min="9" max="9" width="0" style="517" hidden="1" customWidth="1"/>
    <col min="10" max="12" width="11.42578125" style="517"/>
    <col min="13" max="13" width="10.85546875" style="517" customWidth="1"/>
    <col min="14" max="16384" width="11.42578125" style="517"/>
  </cols>
  <sheetData>
    <row r="1" spans="1:8" ht="16.5" thickBot="1">
      <c r="A1" s="1284" t="s">
        <v>1278</v>
      </c>
      <c r="B1" s="1285"/>
      <c r="C1" s="1285"/>
      <c r="D1" s="1285"/>
      <c r="E1" s="1285"/>
      <c r="F1" s="1285"/>
      <c r="G1" s="1285"/>
      <c r="H1" s="1286"/>
    </row>
    <row r="2" spans="1:8" ht="12.75" customHeight="1">
      <c r="A2" s="1287" t="s">
        <v>602</v>
      </c>
      <c r="B2" s="1289" t="s">
        <v>667</v>
      </c>
      <c r="C2" s="1289"/>
      <c r="D2" s="1290" t="s">
        <v>670</v>
      </c>
      <c r="E2" s="1281" t="s">
        <v>603</v>
      </c>
      <c r="F2" s="1281" t="s">
        <v>1226</v>
      </c>
      <c r="G2" s="1325" t="s">
        <v>604</v>
      </c>
      <c r="H2" s="1293" t="s">
        <v>638</v>
      </c>
    </row>
    <row r="3" spans="1:8" ht="21.75" thickBot="1">
      <c r="A3" s="1323"/>
      <c r="B3" s="332" t="s">
        <v>669</v>
      </c>
      <c r="C3" s="332" t="s">
        <v>668</v>
      </c>
      <c r="D3" s="1324"/>
      <c r="E3" s="1283"/>
      <c r="F3" s="1283"/>
      <c r="G3" s="1326"/>
      <c r="H3" s="1327"/>
    </row>
    <row r="4" spans="1:8" ht="14.25" customHeight="1">
      <c r="A4" s="795" t="s">
        <v>682</v>
      </c>
      <c r="B4" s="796"/>
      <c r="C4" s="796"/>
      <c r="D4" s="104"/>
      <c r="E4" s="797"/>
      <c r="F4" s="797"/>
      <c r="G4" s="104"/>
      <c r="H4" s="798"/>
    </row>
    <row r="5" spans="1:8" ht="14.25" customHeight="1">
      <c r="A5" s="799" t="s">
        <v>605</v>
      </c>
      <c r="B5" s="800">
        <v>1</v>
      </c>
      <c r="C5" s="800"/>
      <c r="D5" s="801">
        <f>SUM(B5:C5)</f>
        <v>1</v>
      </c>
      <c r="E5" s="797">
        <f>2560*1.04</f>
        <v>2662.4</v>
      </c>
      <c r="F5" s="797">
        <f>E5</f>
        <v>2662.4</v>
      </c>
      <c r="G5" s="753">
        <f>F5*12</f>
        <v>31948.800000000003</v>
      </c>
      <c r="H5" s="808">
        <f>F5*0.7</f>
        <v>1863.6799999999998</v>
      </c>
    </row>
    <row r="6" spans="1:8" ht="14.25" customHeight="1">
      <c r="A6" s="799" t="s">
        <v>1141</v>
      </c>
      <c r="B6" s="800"/>
      <c r="C6" s="800">
        <v>1</v>
      </c>
      <c r="D6" s="801">
        <v>1</v>
      </c>
      <c r="E6" s="797"/>
      <c r="F6" s="797">
        <v>576.14</v>
      </c>
      <c r="G6" s="753">
        <f>F6*12</f>
        <v>6913.68</v>
      </c>
      <c r="H6" s="808">
        <f>F6*0.8</f>
        <v>460.91200000000003</v>
      </c>
    </row>
    <row r="7" spans="1:8" ht="14.25" customHeight="1">
      <c r="A7" s="1039" t="s">
        <v>1213</v>
      </c>
      <c r="B7" s="800">
        <v>1</v>
      </c>
      <c r="C7" s="800"/>
      <c r="D7" s="801">
        <v>1</v>
      </c>
      <c r="E7" s="797"/>
      <c r="F7" s="797">
        <v>1500</v>
      </c>
      <c r="G7" s="753">
        <f>F7*12</f>
        <v>18000</v>
      </c>
      <c r="H7" s="808">
        <f>F7*0.7</f>
        <v>1050</v>
      </c>
    </row>
    <row r="8" spans="1:8" ht="14.25" customHeight="1">
      <c r="A8" s="1039" t="s">
        <v>1214</v>
      </c>
      <c r="B8" s="800"/>
      <c r="C8" s="800">
        <v>1</v>
      </c>
      <c r="D8" s="801">
        <v>1</v>
      </c>
      <c r="E8" s="797"/>
      <c r="F8" s="797">
        <v>1300</v>
      </c>
      <c r="G8" s="753">
        <f>F8*12</f>
        <v>15600</v>
      </c>
      <c r="H8" s="808">
        <f>F8*0.7</f>
        <v>909.99999999999989</v>
      </c>
    </row>
    <row r="9" spans="1:8" ht="14.25" customHeight="1">
      <c r="A9" s="1039"/>
      <c r="B9" s="800"/>
      <c r="C9" s="800"/>
      <c r="D9" s="801"/>
      <c r="E9" s="797"/>
      <c r="F9" s="797"/>
      <c r="G9" s="753"/>
      <c r="H9" s="977"/>
    </row>
    <row r="10" spans="1:8" ht="14.25" customHeight="1">
      <c r="A10" s="802" t="s">
        <v>606</v>
      </c>
      <c r="B10" s="800"/>
      <c r="C10" s="800"/>
      <c r="D10" s="801"/>
      <c r="E10" s="797"/>
      <c r="F10" s="797"/>
      <c r="G10" s="753"/>
      <c r="H10" s="977"/>
    </row>
    <row r="11" spans="1:8" ht="14.25" customHeight="1">
      <c r="A11" s="1040" t="s">
        <v>451</v>
      </c>
      <c r="B11" s="800"/>
      <c r="C11" s="800">
        <v>1</v>
      </c>
      <c r="D11" s="801">
        <f>SUM(B11:C11)</f>
        <v>1</v>
      </c>
      <c r="E11" s="797">
        <v>900</v>
      </c>
      <c r="F11" s="797">
        <f>(E11+163.21)</f>
        <v>1063.21</v>
      </c>
      <c r="G11" s="753">
        <f>F11*12</f>
        <v>12758.52</v>
      </c>
      <c r="H11" s="808">
        <f>F11*0.7</f>
        <v>744.24699999999996</v>
      </c>
    </row>
    <row r="12" spans="1:8" ht="14.25" customHeight="1">
      <c r="A12" s="1040"/>
      <c r="B12" s="800"/>
      <c r="C12" s="800"/>
      <c r="D12" s="801"/>
      <c r="E12" s="797"/>
      <c r="F12" s="797"/>
      <c r="G12" s="753"/>
      <c r="H12" s="977"/>
    </row>
    <row r="13" spans="1:8" ht="14.25" customHeight="1">
      <c r="A13" s="803" t="s">
        <v>608</v>
      </c>
      <c r="B13" s="804"/>
      <c r="C13" s="804"/>
      <c r="D13" s="801"/>
      <c r="E13" s="797"/>
      <c r="F13" s="797"/>
      <c r="G13" s="753"/>
      <c r="H13" s="977"/>
    </row>
    <row r="14" spans="1:8" ht="14.25" customHeight="1">
      <c r="A14" s="799" t="s">
        <v>1042</v>
      </c>
      <c r="B14" s="800"/>
      <c r="C14" s="800">
        <v>1</v>
      </c>
      <c r="D14" s="801">
        <f>SUM(B14:C14)</f>
        <v>1</v>
      </c>
      <c r="E14" s="797">
        <v>900</v>
      </c>
      <c r="F14" s="797">
        <f>E14*1.04</f>
        <v>936</v>
      </c>
      <c r="G14" s="753">
        <f>F14*12</f>
        <v>11232</v>
      </c>
      <c r="H14" s="808">
        <f>F14*0.7</f>
        <v>655.19999999999993</v>
      </c>
    </row>
    <row r="15" spans="1:8" ht="14.25" customHeight="1">
      <c r="A15" s="799" t="s">
        <v>767</v>
      </c>
      <c r="B15" s="800"/>
      <c r="C15" s="800">
        <v>1</v>
      </c>
      <c r="D15" s="801">
        <f>SUM(B15:C15)</f>
        <v>1</v>
      </c>
      <c r="E15" s="797">
        <v>300</v>
      </c>
      <c r="F15" s="797">
        <v>312</v>
      </c>
      <c r="G15" s="753">
        <f>F15*12</f>
        <v>3744</v>
      </c>
      <c r="H15" s="973">
        <v>377.55</v>
      </c>
    </row>
    <row r="16" spans="1:8" ht="14.25" customHeight="1">
      <c r="A16" s="799" t="s">
        <v>609</v>
      </c>
      <c r="B16" s="800">
        <v>1</v>
      </c>
      <c r="C16" s="800"/>
      <c r="D16" s="801">
        <f>SUM(B16:C16)</f>
        <v>1</v>
      </c>
      <c r="E16" s="797">
        <v>500</v>
      </c>
      <c r="F16" s="797">
        <v>545</v>
      </c>
      <c r="G16" s="753">
        <f>F16*12</f>
        <v>6540</v>
      </c>
      <c r="H16" s="808">
        <f>F16*0.8</f>
        <v>436</v>
      </c>
    </row>
    <row r="17" spans="1:8" ht="14.25" customHeight="1">
      <c r="A17" s="799"/>
      <c r="B17" s="800"/>
      <c r="C17" s="800"/>
      <c r="D17" s="801"/>
      <c r="E17" s="797"/>
      <c r="F17" s="797"/>
      <c r="G17" s="753"/>
      <c r="H17" s="977"/>
    </row>
    <row r="18" spans="1:8" ht="14.25" customHeight="1">
      <c r="A18" s="802" t="s">
        <v>238</v>
      </c>
      <c r="B18" s="800"/>
      <c r="C18" s="800"/>
      <c r="D18" s="801"/>
      <c r="E18" s="797"/>
      <c r="F18" s="797"/>
      <c r="G18" s="753"/>
      <c r="H18" s="977"/>
    </row>
    <row r="19" spans="1:8" ht="14.25" customHeight="1">
      <c r="A19" s="1040" t="s">
        <v>1229</v>
      </c>
      <c r="B19" s="800"/>
      <c r="C19" s="800">
        <v>1</v>
      </c>
      <c r="D19" s="801">
        <f>SUM(B19:C19)</f>
        <v>1</v>
      </c>
      <c r="E19" s="797">
        <v>1100</v>
      </c>
      <c r="F19" s="797">
        <f>E19*1.04</f>
        <v>1144</v>
      </c>
      <c r="G19" s="753">
        <f>F19*12</f>
        <v>13728</v>
      </c>
      <c r="H19" s="808">
        <f>F19*0.7</f>
        <v>800.8</v>
      </c>
    </row>
    <row r="20" spans="1:8" ht="14.25" customHeight="1">
      <c r="A20" s="1040" t="s">
        <v>874</v>
      </c>
      <c r="B20" s="800"/>
      <c r="C20" s="800">
        <v>1</v>
      </c>
      <c r="D20" s="801">
        <f>SUM(B20:C20)</f>
        <v>1</v>
      </c>
      <c r="E20" s="797">
        <v>300</v>
      </c>
      <c r="F20" s="797">
        <v>337</v>
      </c>
      <c r="G20" s="753">
        <f>F20*12</f>
        <v>4044</v>
      </c>
      <c r="H20" s="973">
        <v>377.55</v>
      </c>
    </row>
    <row r="21" spans="1:8" ht="14.25" customHeight="1">
      <c r="A21" s="1040" t="s">
        <v>607</v>
      </c>
      <c r="B21" s="800"/>
      <c r="C21" s="800">
        <v>1</v>
      </c>
      <c r="D21" s="801">
        <f>SUM(B21:C21)</f>
        <v>1</v>
      </c>
      <c r="E21" s="797">
        <v>275</v>
      </c>
      <c r="F21" s="797">
        <v>337</v>
      </c>
      <c r="G21" s="753">
        <f>F21*12</f>
        <v>4044</v>
      </c>
      <c r="H21" s="973">
        <v>377.55</v>
      </c>
    </row>
    <row r="22" spans="1:8" ht="14.25" customHeight="1">
      <c r="A22" s="799"/>
      <c r="B22" s="800"/>
      <c r="C22" s="800"/>
      <c r="D22" s="801"/>
      <c r="E22" s="797"/>
      <c r="F22" s="797"/>
      <c r="G22" s="753"/>
      <c r="H22" s="977"/>
    </row>
    <row r="23" spans="1:8" ht="14.25" customHeight="1">
      <c r="A23" s="805" t="s">
        <v>610</v>
      </c>
      <c r="B23" s="804"/>
      <c r="C23" s="804"/>
      <c r="D23" s="801"/>
      <c r="E23" s="797"/>
      <c r="F23" s="797"/>
      <c r="G23" s="753"/>
      <c r="H23" s="977"/>
    </row>
    <row r="24" spans="1:8" ht="14.25" customHeight="1">
      <c r="A24" s="799" t="s">
        <v>611</v>
      </c>
      <c r="B24" s="800">
        <v>1</v>
      </c>
      <c r="C24" s="800"/>
      <c r="D24" s="801">
        <f>SUM(B24:C24)</f>
        <v>1</v>
      </c>
      <c r="E24" s="797">
        <v>900</v>
      </c>
      <c r="F24" s="797">
        <f>E24*1.04</f>
        <v>936</v>
      </c>
      <c r="G24" s="753">
        <f>F24*12</f>
        <v>11232</v>
      </c>
      <c r="H24" s="808">
        <f>F24*0.7</f>
        <v>655.19999999999993</v>
      </c>
    </row>
    <row r="25" spans="1:8" ht="14.25" customHeight="1">
      <c r="A25" s="799" t="s">
        <v>612</v>
      </c>
      <c r="B25" s="800"/>
      <c r="C25" s="800">
        <v>1</v>
      </c>
      <c r="D25" s="801">
        <f>SUM(B25:C25)</f>
        <v>1</v>
      </c>
      <c r="E25" s="797">
        <v>300</v>
      </c>
      <c r="F25" s="797">
        <v>312</v>
      </c>
      <c r="G25" s="753">
        <f>F25*12</f>
        <v>3744</v>
      </c>
      <c r="H25" s="973">
        <v>377.55</v>
      </c>
    </row>
    <row r="26" spans="1:8" ht="14.25" customHeight="1">
      <c r="A26" s="799"/>
      <c r="B26" s="800"/>
      <c r="C26" s="800"/>
      <c r="D26" s="801"/>
      <c r="E26" s="797"/>
      <c r="F26" s="797"/>
      <c r="G26" s="753"/>
      <c r="H26" s="977"/>
    </row>
    <row r="27" spans="1:8" ht="14.25" customHeight="1">
      <c r="A27" s="1279" t="s">
        <v>620</v>
      </c>
      <c r="B27" s="1280"/>
      <c r="C27" s="1280"/>
      <c r="D27" s="1280"/>
      <c r="E27" s="878"/>
      <c r="F27" s="797"/>
      <c r="G27" s="753"/>
      <c r="H27" s="977"/>
    </row>
    <row r="28" spans="1:8" ht="14.25" customHeight="1">
      <c r="A28" s="1039" t="s">
        <v>621</v>
      </c>
      <c r="B28" s="800"/>
      <c r="C28" s="800">
        <v>1</v>
      </c>
      <c r="D28" s="801">
        <f>SUM(B28:C28)</f>
        <v>1</v>
      </c>
      <c r="E28" s="797">
        <v>900</v>
      </c>
      <c r="F28" s="797">
        <v>1000</v>
      </c>
      <c r="G28" s="753">
        <f>F28*12</f>
        <v>12000</v>
      </c>
      <c r="H28" s="808">
        <f>F28*0.7</f>
        <v>700</v>
      </c>
    </row>
    <row r="29" spans="1:8" ht="14.25" customHeight="1">
      <c r="A29" s="1040" t="s">
        <v>622</v>
      </c>
      <c r="B29" s="800">
        <v>1</v>
      </c>
      <c r="C29" s="800"/>
      <c r="D29" s="801">
        <f>SUM(B29:C29)</f>
        <v>1</v>
      </c>
      <c r="E29" s="797">
        <v>462</v>
      </c>
      <c r="F29" s="797">
        <f>E29+75</f>
        <v>537</v>
      </c>
      <c r="G29" s="753">
        <f>F29*12</f>
        <v>6444</v>
      </c>
      <c r="H29" s="808">
        <f>F29*0.8</f>
        <v>429.6</v>
      </c>
    </row>
    <row r="30" spans="1:8" ht="14.25" customHeight="1">
      <c r="A30" s="1040" t="s">
        <v>1215</v>
      </c>
      <c r="B30" s="800">
        <v>1</v>
      </c>
      <c r="C30" s="800"/>
      <c r="D30" s="801">
        <v>1</v>
      </c>
      <c r="E30" s="797"/>
      <c r="F30" s="797">
        <v>700</v>
      </c>
      <c r="G30" s="753">
        <f>F30*12</f>
        <v>8400</v>
      </c>
      <c r="H30" s="808">
        <f>F30*0.7</f>
        <v>489.99999999999994</v>
      </c>
    </row>
    <row r="31" spans="1:8" ht="14.25" customHeight="1">
      <c r="A31" s="979"/>
      <c r="B31" s="800"/>
      <c r="C31" s="800"/>
      <c r="D31" s="801"/>
      <c r="E31" s="797"/>
      <c r="F31" s="797"/>
      <c r="G31" s="753"/>
      <c r="H31" s="977"/>
    </row>
    <row r="32" spans="1:8" ht="14.25" customHeight="1">
      <c r="A32" s="803" t="s">
        <v>613</v>
      </c>
      <c r="B32" s="804"/>
      <c r="C32" s="804"/>
      <c r="D32" s="801"/>
      <c r="E32" s="797"/>
      <c r="F32" s="797"/>
      <c r="G32" s="753"/>
      <c r="H32" s="977"/>
    </row>
    <row r="33" spans="1:8" ht="14.25" customHeight="1">
      <c r="A33" s="799" t="s">
        <v>1132</v>
      </c>
      <c r="B33" s="804">
        <v>1</v>
      </c>
      <c r="C33" s="804"/>
      <c r="D33" s="801">
        <v>1</v>
      </c>
      <c r="E33" s="797">
        <v>800</v>
      </c>
      <c r="F33" s="797">
        <v>857</v>
      </c>
      <c r="G33" s="753">
        <f t="shared" ref="G33:G39" si="0">F33*12</f>
        <v>10284</v>
      </c>
      <c r="H33" s="808">
        <f>F33*0.7</f>
        <v>599.9</v>
      </c>
    </row>
    <row r="34" spans="1:8" ht="14.25" customHeight="1">
      <c r="A34" s="799" t="s">
        <v>1131</v>
      </c>
      <c r="B34" s="800">
        <v>1</v>
      </c>
      <c r="C34" s="800"/>
      <c r="D34" s="801">
        <f>SUM(B34:C34)</f>
        <v>1</v>
      </c>
      <c r="E34" s="797">
        <v>442.4</v>
      </c>
      <c r="F34" s="797">
        <f>E34*1.04</f>
        <v>460.096</v>
      </c>
      <c r="G34" s="753">
        <f t="shared" si="0"/>
        <v>5521.152</v>
      </c>
      <c r="H34" s="973">
        <v>377.55</v>
      </c>
    </row>
    <row r="35" spans="1:8" ht="14.25" customHeight="1">
      <c r="A35" s="799" t="s">
        <v>671</v>
      </c>
      <c r="B35" s="800">
        <v>1</v>
      </c>
      <c r="C35" s="800"/>
      <c r="D35" s="801">
        <f>SUM(B35:C35)</f>
        <v>1</v>
      </c>
      <c r="E35" s="797">
        <v>422.65</v>
      </c>
      <c r="F35" s="797">
        <v>464.56</v>
      </c>
      <c r="G35" s="753">
        <f t="shared" si="0"/>
        <v>5574.72</v>
      </c>
      <c r="H35" s="973">
        <v>377.55</v>
      </c>
    </row>
    <row r="36" spans="1:8" ht="14.25" customHeight="1">
      <c r="A36" s="799" t="s">
        <v>672</v>
      </c>
      <c r="B36" s="800"/>
      <c r="C36" s="800">
        <v>1</v>
      </c>
      <c r="D36" s="801">
        <f>SUM(B36:C36)</f>
        <v>1</v>
      </c>
      <c r="E36" s="797">
        <v>393.75</v>
      </c>
      <c r="F36" s="797">
        <f>E36*1.04</f>
        <v>409.5</v>
      </c>
      <c r="G36" s="753">
        <f t="shared" si="0"/>
        <v>4914</v>
      </c>
      <c r="H36" s="973">
        <v>377.55</v>
      </c>
    </row>
    <row r="37" spans="1:8" ht="14.25" customHeight="1">
      <c r="A37" s="799" t="s">
        <v>673</v>
      </c>
      <c r="B37" s="800"/>
      <c r="C37" s="800">
        <v>1</v>
      </c>
      <c r="D37" s="801">
        <f>SUM(B37:C37)</f>
        <v>1</v>
      </c>
      <c r="E37" s="797">
        <v>375</v>
      </c>
      <c r="F37" s="797">
        <f>E37*1.04</f>
        <v>390</v>
      </c>
      <c r="G37" s="753">
        <f t="shared" si="0"/>
        <v>4680</v>
      </c>
      <c r="H37" s="973">
        <v>377.55</v>
      </c>
    </row>
    <row r="38" spans="1:8" ht="14.25" customHeight="1">
      <c r="A38" s="799" t="s">
        <v>1216</v>
      </c>
      <c r="B38" s="800"/>
      <c r="C38" s="800">
        <v>1</v>
      </c>
      <c r="D38" s="801">
        <v>1</v>
      </c>
      <c r="E38" s="797"/>
      <c r="F38" s="797">
        <v>251.7</v>
      </c>
      <c r="G38" s="753">
        <f t="shared" si="0"/>
        <v>3020.3999999999996</v>
      </c>
      <c r="H38" s="973">
        <f>377.55</f>
        <v>377.55</v>
      </c>
    </row>
    <row r="39" spans="1:8" ht="14.25" customHeight="1">
      <c r="A39" s="799" t="s">
        <v>1216</v>
      </c>
      <c r="B39" s="800"/>
      <c r="C39" s="800">
        <v>1</v>
      </c>
      <c r="D39" s="801">
        <v>1</v>
      </c>
      <c r="E39" s="797"/>
      <c r="F39" s="797">
        <v>312</v>
      </c>
      <c r="G39" s="753">
        <f t="shared" si="0"/>
        <v>3744</v>
      </c>
      <c r="H39" s="973">
        <v>377.55</v>
      </c>
    </row>
    <row r="40" spans="1:8">
      <c r="A40" s="799"/>
      <c r="B40" s="800"/>
      <c r="C40" s="800"/>
      <c r="D40" s="801"/>
      <c r="E40" s="797"/>
      <c r="F40" s="797"/>
      <c r="G40" s="753"/>
      <c r="H40" s="977"/>
    </row>
    <row r="41" spans="1:8" ht="14.25" customHeight="1">
      <c r="A41" s="803" t="s">
        <v>614</v>
      </c>
      <c r="B41" s="804"/>
      <c r="C41" s="804"/>
      <c r="D41" s="801"/>
      <c r="E41" s="797"/>
      <c r="F41" s="797"/>
      <c r="G41" s="753"/>
      <c r="H41" s="977"/>
    </row>
    <row r="42" spans="1:8" ht="14.25" customHeight="1">
      <c r="A42" s="799" t="s">
        <v>615</v>
      </c>
      <c r="B42" s="1041">
        <v>1</v>
      </c>
      <c r="C42" s="800"/>
      <c r="D42" s="801">
        <f>SUM(B42:C42)</f>
        <v>1</v>
      </c>
      <c r="E42" s="797">
        <v>500</v>
      </c>
      <c r="F42" s="797">
        <f>E42*1.04</f>
        <v>520</v>
      </c>
      <c r="G42" s="753">
        <f>F42*12</f>
        <v>6240</v>
      </c>
      <c r="H42" s="808">
        <f>F42*0.8</f>
        <v>416</v>
      </c>
    </row>
    <row r="43" spans="1:8" ht="14.25" customHeight="1">
      <c r="A43" s="799" t="s">
        <v>616</v>
      </c>
      <c r="B43" s="800"/>
      <c r="C43" s="800">
        <v>2</v>
      </c>
      <c r="D43" s="801">
        <f>SUM(B43:C43)</f>
        <v>2</v>
      </c>
      <c r="E43" s="797">
        <v>300</v>
      </c>
      <c r="F43" s="797">
        <v>337</v>
      </c>
      <c r="G43" s="753">
        <f>F43*12*D43</f>
        <v>8088</v>
      </c>
      <c r="H43" s="973">
        <f>377.55*2</f>
        <v>755.1</v>
      </c>
    </row>
    <row r="44" spans="1:8" ht="14.25" customHeight="1">
      <c r="A44" s="806"/>
      <c r="B44" s="800"/>
      <c r="C44" s="800"/>
      <c r="D44" s="801"/>
      <c r="E44" s="797"/>
      <c r="F44" s="797"/>
      <c r="G44" s="753"/>
      <c r="H44" s="798"/>
    </row>
    <row r="45" spans="1:8" ht="14.25" customHeight="1">
      <c r="A45" s="806"/>
      <c r="B45" s="800"/>
      <c r="C45" s="800"/>
      <c r="D45" s="801"/>
      <c r="E45" s="797"/>
      <c r="F45" s="797"/>
      <c r="G45" s="753"/>
      <c r="H45" s="798"/>
    </row>
    <row r="46" spans="1:8" ht="14.25" customHeight="1">
      <c r="A46" s="807"/>
      <c r="B46" s="800"/>
      <c r="C46" s="800"/>
      <c r="D46" s="801"/>
      <c r="E46" s="797"/>
      <c r="F46" s="797"/>
      <c r="G46" s="753"/>
      <c r="H46" s="798"/>
    </row>
    <row r="47" spans="1:8" ht="14.25" customHeight="1">
      <c r="A47" s="806"/>
      <c r="B47" s="800"/>
      <c r="C47" s="800"/>
      <c r="D47" s="801"/>
      <c r="E47" s="797"/>
      <c r="F47" s="797"/>
      <c r="G47" s="753"/>
      <c r="H47" s="808"/>
    </row>
    <row r="48" spans="1:8" ht="14.25" customHeight="1" thickBot="1">
      <c r="A48" s="806"/>
      <c r="B48" s="800"/>
      <c r="C48" s="800"/>
      <c r="D48" s="801"/>
      <c r="E48" s="797"/>
      <c r="F48" s="797"/>
      <c r="G48" s="753"/>
      <c r="H48" s="808"/>
    </row>
    <row r="49" spans="1:8" ht="14.25" customHeight="1" thickBot="1">
      <c r="A49" s="809" t="s">
        <v>701</v>
      </c>
      <c r="B49" s="810">
        <f>SUM(B4:B46)</f>
        <v>10</v>
      </c>
      <c r="C49" s="811">
        <f>SUM(C4:C47)</f>
        <v>16</v>
      </c>
      <c r="D49" s="811">
        <f>SUM(D4:D47)</f>
        <v>26</v>
      </c>
      <c r="E49" s="812">
        <f>SUM(E4:E48)</f>
        <v>12733.199999999999</v>
      </c>
      <c r="F49" s="812">
        <f>SUM(F4:F48)</f>
        <v>18199.606</v>
      </c>
      <c r="G49" s="812">
        <f>SUM(G4:G48)</f>
        <v>222439.272</v>
      </c>
      <c r="H49" s="980">
        <f>SUM(H4:H48)</f>
        <v>14742.138999999996</v>
      </c>
    </row>
    <row r="50" spans="1:8" ht="14.25" customHeight="1">
      <c r="A50" s="813"/>
      <c r="B50" s="814"/>
      <c r="C50" s="814"/>
      <c r="D50" s="815"/>
      <c r="E50" s="612"/>
      <c r="F50" s="612"/>
      <c r="G50" s="612"/>
      <c r="H50" s="612"/>
    </row>
    <row r="51" spans="1:8" ht="14.25" customHeight="1">
      <c r="A51" s="813"/>
      <c r="B51" s="814"/>
      <c r="C51" s="814"/>
      <c r="D51" s="815"/>
      <c r="E51" s="612"/>
      <c r="F51" s="612"/>
      <c r="G51" s="612"/>
      <c r="H51" s="612"/>
    </row>
    <row r="52" spans="1:8" ht="14.25" customHeight="1">
      <c r="A52" s="813"/>
      <c r="B52" s="814"/>
      <c r="C52" s="814"/>
      <c r="D52" s="815"/>
      <c r="E52" s="612"/>
      <c r="F52" s="612"/>
      <c r="G52" s="612"/>
      <c r="H52" s="612"/>
    </row>
    <row r="53" spans="1:8" ht="15" customHeight="1">
      <c r="A53" s="813"/>
      <c r="B53" s="814"/>
      <c r="C53" s="814"/>
      <c r="D53" s="815"/>
      <c r="E53" s="612"/>
      <c r="F53" s="612"/>
      <c r="G53" s="612"/>
      <c r="H53" s="612"/>
    </row>
    <row r="54" spans="1:8" ht="14.25" customHeight="1">
      <c r="A54" s="813"/>
      <c r="B54" s="814"/>
      <c r="C54" s="814"/>
      <c r="D54" s="815"/>
      <c r="E54" s="612"/>
      <c r="F54" s="612"/>
      <c r="G54" s="612"/>
      <c r="H54" s="612"/>
    </row>
    <row r="55" spans="1:8" ht="14.25" customHeight="1">
      <c r="A55" s="813"/>
      <c r="B55" s="814"/>
      <c r="C55" s="814"/>
      <c r="D55" s="815"/>
      <c r="E55" s="612"/>
      <c r="F55" s="612"/>
      <c r="G55" s="612"/>
      <c r="H55" s="612"/>
    </row>
    <row r="56" spans="1:8" ht="14.25" customHeight="1" thickBot="1">
      <c r="A56" s="813"/>
      <c r="B56" s="814"/>
      <c r="C56" s="814"/>
      <c r="D56" s="815"/>
      <c r="E56" s="612"/>
      <c r="F56" s="612"/>
      <c r="G56" s="612"/>
      <c r="H56" s="612"/>
    </row>
    <row r="57" spans="1:8" ht="14.25" hidden="1" customHeight="1">
      <c r="A57" s="813"/>
      <c r="B57" s="814"/>
      <c r="C57" s="814"/>
      <c r="D57" s="815"/>
      <c r="E57" s="612"/>
      <c r="F57" s="612"/>
      <c r="G57" s="612"/>
      <c r="H57" s="612"/>
    </row>
    <row r="58" spans="1:8" ht="14.25" hidden="1" customHeight="1">
      <c r="A58" s="813"/>
      <c r="B58" s="814"/>
      <c r="C58" s="814"/>
      <c r="D58" s="815"/>
      <c r="E58" s="612"/>
      <c r="F58" s="612"/>
      <c r="G58" s="612"/>
      <c r="H58" s="612"/>
    </row>
    <row r="59" spans="1:8" ht="14.25" hidden="1" customHeight="1" thickBot="1">
      <c r="A59" s="813"/>
      <c r="B59" s="814"/>
      <c r="C59" s="814"/>
      <c r="D59" s="815"/>
      <c r="E59" s="612"/>
      <c r="F59" s="612"/>
      <c r="G59" s="612"/>
      <c r="H59" s="612"/>
    </row>
    <row r="60" spans="1:8" ht="26.25" customHeight="1" thickBot="1">
      <c r="A60" s="1320" t="str">
        <f>A1</f>
        <v>CUADRO DE SALARIOS  PARA EL AÑO 2017</v>
      </c>
      <c r="B60" s="1321"/>
      <c r="C60" s="1321"/>
      <c r="D60" s="1321"/>
      <c r="E60" s="1321"/>
      <c r="F60" s="1321"/>
      <c r="G60" s="1321"/>
      <c r="H60" s="1322"/>
    </row>
    <row r="61" spans="1:8" ht="14.25" hidden="1" customHeight="1">
      <c r="A61" s="1287" t="s">
        <v>602</v>
      </c>
      <c r="B61" s="1289" t="s">
        <v>667</v>
      </c>
      <c r="C61" s="1289"/>
      <c r="D61" s="1290" t="s">
        <v>670</v>
      </c>
      <c r="E61" s="1281" t="s">
        <v>603</v>
      </c>
      <c r="F61" s="1281" t="s">
        <v>1226</v>
      </c>
      <c r="G61" s="1289" t="s">
        <v>604</v>
      </c>
      <c r="H61" s="1293" t="s">
        <v>638</v>
      </c>
    </row>
    <row r="62" spans="1:8" ht="23.25" customHeight="1" thickBot="1">
      <c r="A62" s="1288"/>
      <c r="B62" s="330" t="s">
        <v>669</v>
      </c>
      <c r="C62" s="330" t="s">
        <v>668</v>
      </c>
      <c r="D62" s="1291"/>
      <c r="E62" s="1283"/>
      <c r="F62" s="1283"/>
      <c r="G62" s="1292"/>
      <c r="H62" s="1294"/>
    </row>
    <row r="63" spans="1:8" ht="20.25" customHeight="1">
      <c r="A63" s="1128" t="s">
        <v>457</v>
      </c>
      <c r="B63" s="816">
        <f t="shared" ref="B63:H63" si="1">B49</f>
        <v>10</v>
      </c>
      <c r="C63" s="816">
        <f t="shared" si="1"/>
        <v>16</v>
      </c>
      <c r="D63" s="816">
        <f t="shared" si="1"/>
        <v>26</v>
      </c>
      <c r="E63" s="817">
        <f t="shared" si="1"/>
        <v>12733.199999999999</v>
      </c>
      <c r="F63" s="817">
        <f t="shared" si="1"/>
        <v>18199.606</v>
      </c>
      <c r="G63" s="817">
        <f t="shared" si="1"/>
        <v>222439.272</v>
      </c>
      <c r="H63" s="818">
        <f t="shared" si="1"/>
        <v>14742.138999999996</v>
      </c>
    </row>
    <row r="64" spans="1:8" ht="14.25" customHeight="1">
      <c r="A64" s="819"/>
      <c r="B64" s="820"/>
      <c r="C64" s="820"/>
      <c r="D64" s="820"/>
      <c r="E64" s="821"/>
      <c r="F64" s="821"/>
      <c r="G64" s="821"/>
      <c r="H64" s="822"/>
    </row>
    <row r="65" spans="1:8">
      <c r="A65" s="807" t="s">
        <v>700</v>
      </c>
      <c r="B65" s="800"/>
      <c r="C65" s="800"/>
      <c r="D65" s="801"/>
      <c r="E65" s="797"/>
      <c r="F65" s="797"/>
      <c r="G65" s="753"/>
      <c r="H65" s="798"/>
    </row>
    <row r="66" spans="1:8">
      <c r="A66" s="1039" t="s">
        <v>1217</v>
      </c>
      <c r="B66" s="800"/>
      <c r="C66" s="800">
        <v>1</v>
      </c>
      <c r="D66" s="801">
        <f>SUM(B66:C66)</f>
        <v>1</v>
      </c>
      <c r="E66" s="797">
        <v>800</v>
      </c>
      <c r="F66" s="797">
        <v>600</v>
      </c>
      <c r="G66" s="753">
        <f>F66*12</f>
        <v>7200</v>
      </c>
      <c r="H66" s="808">
        <f>F66*0.7</f>
        <v>420</v>
      </c>
    </row>
    <row r="67" spans="1:8">
      <c r="A67" s="1039" t="s">
        <v>1197</v>
      </c>
      <c r="B67" s="800"/>
      <c r="C67" s="800">
        <v>1</v>
      </c>
      <c r="D67" s="801">
        <v>1</v>
      </c>
      <c r="E67" s="797">
        <v>300</v>
      </c>
      <c r="F67" s="797">
        <f>E67*1.04</f>
        <v>312</v>
      </c>
      <c r="G67" s="753">
        <f>F67*12</f>
        <v>3744</v>
      </c>
      <c r="H67" s="973">
        <v>377.55</v>
      </c>
    </row>
    <row r="68" spans="1:8">
      <c r="A68" s="806" t="s">
        <v>1198</v>
      </c>
      <c r="B68" s="800"/>
      <c r="C68" s="800">
        <v>1</v>
      </c>
      <c r="D68" s="801">
        <v>1</v>
      </c>
      <c r="E68" s="797">
        <v>325</v>
      </c>
      <c r="F68" s="797">
        <v>375</v>
      </c>
      <c r="G68" s="753">
        <f>F68*12</f>
        <v>4500</v>
      </c>
      <c r="H68" s="973">
        <v>377.55</v>
      </c>
    </row>
    <row r="69" spans="1:8">
      <c r="A69" s="823" t="s">
        <v>1218</v>
      </c>
      <c r="B69" s="800">
        <v>1</v>
      </c>
      <c r="C69" s="800"/>
      <c r="D69" s="824">
        <f>SUM(B69:C69)</f>
        <v>1</v>
      </c>
      <c r="E69" s="365">
        <v>345</v>
      </c>
      <c r="F69" s="797">
        <f>E69*1.04</f>
        <v>358.8</v>
      </c>
      <c r="G69" s="753">
        <f>F69*12</f>
        <v>4305.6000000000004</v>
      </c>
      <c r="H69" s="973">
        <v>377.55</v>
      </c>
    </row>
    <row r="70" spans="1:8">
      <c r="A70" s="823" t="s">
        <v>1220</v>
      </c>
      <c r="B70" s="800"/>
      <c r="C70" s="800">
        <v>1</v>
      </c>
      <c r="D70" s="824">
        <v>1</v>
      </c>
      <c r="E70" s="365">
        <v>275</v>
      </c>
      <c r="F70" s="797">
        <v>312</v>
      </c>
      <c r="G70" s="753">
        <f t="shared" ref="G70:G75" si="2">F70*12</f>
        <v>3744</v>
      </c>
      <c r="H70" s="973">
        <v>377.55</v>
      </c>
    </row>
    <row r="71" spans="1:8">
      <c r="A71" s="823" t="s">
        <v>1232</v>
      </c>
      <c r="B71" s="800"/>
      <c r="C71" s="800">
        <v>1</v>
      </c>
      <c r="D71" s="824">
        <f>SUM(B71:C71)</f>
        <v>1</v>
      </c>
      <c r="E71" s="365">
        <v>242.42</v>
      </c>
      <c r="F71" s="797">
        <v>286</v>
      </c>
      <c r="G71" s="753">
        <f t="shared" si="2"/>
        <v>3432</v>
      </c>
      <c r="H71" s="973">
        <v>377.55</v>
      </c>
    </row>
    <row r="72" spans="1:8">
      <c r="A72" s="823" t="s">
        <v>1240</v>
      </c>
      <c r="B72" s="800"/>
      <c r="C72" s="800">
        <v>1</v>
      </c>
      <c r="D72" s="824">
        <v>1</v>
      </c>
      <c r="E72" s="365"/>
      <c r="F72" s="797">
        <v>312</v>
      </c>
      <c r="G72" s="753">
        <f t="shared" si="2"/>
        <v>3744</v>
      </c>
      <c r="H72" s="973">
        <v>377.55</v>
      </c>
    </row>
    <row r="73" spans="1:8">
      <c r="A73" s="823" t="s">
        <v>1242</v>
      </c>
      <c r="B73" s="800"/>
      <c r="C73" s="800">
        <v>1</v>
      </c>
      <c r="D73" s="824">
        <v>1</v>
      </c>
      <c r="E73" s="365"/>
      <c r="F73" s="797">
        <v>286</v>
      </c>
      <c r="G73" s="753">
        <f t="shared" si="2"/>
        <v>3432</v>
      </c>
      <c r="H73" s="973">
        <v>377.55</v>
      </c>
    </row>
    <row r="74" spans="1:8">
      <c r="A74" s="823" t="s">
        <v>1219</v>
      </c>
      <c r="B74" s="800"/>
      <c r="C74" s="800">
        <v>1</v>
      </c>
      <c r="D74" s="824">
        <f>SUM(B74:C74)</f>
        <v>1</v>
      </c>
      <c r="E74" s="365">
        <v>275</v>
      </c>
      <c r="F74" s="797">
        <f>E74*1.04</f>
        <v>286</v>
      </c>
      <c r="G74" s="753">
        <f t="shared" si="2"/>
        <v>3432</v>
      </c>
      <c r="H74" s="973">
        <v>377.55</v>
      </c>
    </row>
    <row r="75" spans="1:8">
      <c r="A75" s="823" t="s">
        <v>1062</v>
      </c>
      <c r="B75" s="800"/>
      <c r="C75" s="800">
        <v>1</v>
      </c>
      <c r="D75" s="824">
        <f>SUM(B75:C75)</f>
        <v>1</v>
      </c>
      <c r="E75" s="365">
        <v>150</v>
      </c>
      <c r="F75" s="797">
        <f>E75*1.04</f>
        <v>156</v>
      </c>
      <c r="G75" s="753">
        <f t="shared" si="2"/>
        <v>1872</v>
      </c>
      <c r="H75" s="973">
        <v>377.55</v>
      </c>
    </row>
    <row r="76" spans="1:8">
      <c r="A76" s="823" t="s">
        <v>1258</v>
      </c>
      <c r="B76" s="800"/>
      <c r="C76" s="800">
        <v>1</v>
      </c>
      <c r="D76" s="824">
        <v>1</v>
      </c>
      <c r="E76" s="365"/>
      <c r="F76" s="797">
        <v>312</v>
      </c>
      <c r="G76" s="753">
        <f>F76*12</f>
        <v>3744</v>
      </c>
      <c r="H76" s="973">
        <v>378.55</v>
      </c>
    </row>
    <row r="77" spans="1:8">
      <c r="A77" s="806"/>
      <c r="B77" s="800"/>
      <c r="C77" s="800"/>
      <c r="D77" s="801"/>
      <c r="E77" s="797"/>
      <c r="F77" s="797"/>
      <c r="G77" s="753"/>
      <c r="H77" s="808"/>
    </row>
    <row r="78" spans="1:8">
      <c r="A78" s="802" t="s">
        <v>1143</v>
      </c>
      <c r="B78" s="800"/>
      <c r="C78" s="800"/>
      <c r="D78" s="801"/>
      <c r="E78" s="797"/>
      <c r="F78" s="797"/>
      <c r="G78" s="753"/>
      <c r="H78" s="808"/>
    </row>
    <row r="79" spans="1:8">
      <c r="A79" s="806" t="s">
        <v>1199</v>
      </c>
      <c r="B79" s="800"/>
      <c r="C79" s="800">
        <v>1</v>
      </c>
      <c r="D79" s="801">
        <v>1</v>
      </c>
      <c r="E79" s="797">
        <v>400</v>
      </c>
      <c r="F79" s="797">
        <f>E79*1.04</f>
        <v>416</v>
      </c>
      <c r="G79" s="753">
        <f>F79*12</f>
        <v>4992</v>
      </c>
      <c r="H79" s="973">
        <v>377.55</v>
      </c>
    </row>
    <row r="80" spans="1:8">
      <c r="A80" s="823" t="s">
        <v>1201</v>
      </c>
      <c r="B80" s="800"/>
      <c r="C80" s="800">
        <v>1</v>
      </c>
      <c r="D80" s="824">
        <v>1</v>
      </c>
      <c r="E80" s="365">
        <v>300</v>
      </c>
      <c r="F80" s="797">
        <f>E80*1.04</f>
        <v>312</v>
      </c>
      <c r="G80" s="753">
        <f>F80*12</f>
        <v>3744</v>
      </c>
      <c r="H80" s="973">
        <v>377.55</v>
      </c>
    </row>
    <row r="81" spans="1:8">
      <c r="A81" s="823" t="s">
        <v>1200</v>
      </c>
      <c r="B81" s="800"/>
      <c r="C81" s="800">
        <v>1</v>
      </c>
      <c r="D81" s="824">
        <v>1</v>
      </c>
      <c r="E81" s="365"/>
      <c r="F81" s="797">
        <v>251.7</v>
      </c>
      <c r="G81" s="753">
        <f>F81*12</f>
        <v>3020.3999999999996</v>
      </c>
      <c r="H81" s="973">
        <v>377.55</v>
      </c>
    </row>
    <row r="82" spans="1:8">
      <c r="A82" s="823" t="s">
        <v>1128</v>
      </c>
      <c r="B82" s="800"/>
      <c r="C82" s="800">
        <v>1</v>
      </c>
      <c r="D82" s="824">
        <v>1</v>
      </c>
      <c r="E82" s="365">
        <v>242.42</v>
      </c>
      <c r="F82" s="797">
        <v>251.7</v>
      </c>
      <c r="G82" s="753">
        <f>F82*12</f>
        <v>3020.3999999999996</v>
      </c>
      <c r="H82" s="973">
        <v>377.55</v>
      </c>
    </row>
    <row r="83" spans="1:8">
      <c r="A83" s="823" t="s">
        <v>1129</v>
      </c>
      <c r="B83" s="800"/>
      <c r="C83" s="800">
        <v>1</v>
      </c>
      <c r="D83" s="824">
        <v>1</v>
      </c>
      <c r="E83" s="365">
        <v>242.42</v>
      </c>
      <c r="F83" s="797">
        <v>286</v>
      </c>
      <c r="G83" s="753">
        <f>F83*12</f>
        <v>3432</v>
      </c>
      <c r="H83" s="973">
        <v>377.55</v>
      </c>
    </row>
    <row r="84" spans="1:8">
      <c r="A84" s="823"/>
      <c r="B84" s="800"/>
      <c r="C84" s="800"/>
      <c r="D84" s="824"/>
      <c r="E84" s="365"/>
      <c r="F84" s="797"/>
      <c r="G84" s="753"/>
      <c r="H84" s="973"/>
    </row>
    <row r="85" spans="1:8">
      <c r="A85" s="806"/>
      <c r="B85" s="800"/>
      <c r="C85" s="800"/>
      <c r="D85" s="801"/>
      <c r="E85" s="797"/>
      <c r="F85" s="797"/>
      <c r="G85" s="753"/>
      <c r="H85" s="808"/>
    </row>
    <row r="86" spans="1:8">
      <c r="A86" s="825" t="s">
        <v>1044</v>
      </c>
      <c r="B86" s="804"/>
      <c r="C86" s="804"/>
      <c r="D86" s="801"/>
      <c r="E86" s="797"/>
      <c r="F86" s="797"/>
      <c r="G86" s="753"/>
      <c r="H86" s="808"/>
    </row>
    <row r="87" spans="1:8">
      <c r="A87" s="806" t="s">
        <v>1065</v>
      </c>
      <c r="B87" s="813"/>
      <c r="C87" s="827">
        <v>1</v>
      </c>
      <c r="D87" s="801">
        <v>1</v>
      </c>
      <c r="E87" s="828"/>
      <c r="F87" s="797">
        <v>312</v>
      </c>
      <c r="G87" s="753">
        <f>F87*12</f>
        <v>3744</v>
      </c>
      <c r="H87" s="973">
        <v>377.55</v>
      </c>
    </row>
    <row r="88" spans="1:8">
      <c r="A88" s="806" t="s">
        <v>1225</v>
      </c>
      <c r="B88" s="813"/>
      <c r="C88" s="827">
        <v>1</v>
      </c>
      <c r="D88" s="801">
        <f>SUM(B88:C88)</f>
        <v>1</v>
      </c>
      <c r="E88" s="828">
        <v>300</v>
      </c>
      <c r="F88" s="797">
        <f>E88*1.04</f>
        <v>312</v>
      </c>
      <c r="G88" s="753">
        <f>F88*12</f>
        <v>3744</v>
      </c>
      <c r="H88" s="973">
        <v>377.55</v>
      </c>
    </row>
    <row r="89" spans="1:8">
      <c r="A89" s="806"/>
      <c r="B89" s="829"/>
      <c r="C89" s="830"/>
      <c r="D89" s="801"/>
      <c r="E89" s="828"/>
      <c r="F89" s="828"/>
      <c r="G89" s="753"/>
      <c r="H89" s="808"/>
    </row>
    <row r="90" spans="1:8">
      <c r="A90" s="805" t="s">
        <v>702</v>
      </c>
      <c r="B90" s="831"/>
      <c r="C90" s="832"/>
      <c r="D90" s="801"/>
      <c r="E90" s="828"/>
      <c r="F90" s="828"/>
      <c r="G90" s="753"/>
      <c r="H90" s="808"/>
    </row>
    <row r="91" spans="1:8">
      <c r="A91" s="806" t="s">
        <v>618</v>
      </c>
      <c r="B91" s="830">
        <v>1</v>
      </c>
      <c r="C91" s="827"/>
      <c r="D91" s="801">
        <f>SUM(B91:C91)</f>
        <v>1</v>
      </c>
      <c r="E91" s="828">
        <v>375</v>
      </c>
      <c r="F91" s="797">
        <f>E91*1.04</f>
        <v>390</v>
      </c>
      <c r="G91" s="753">
        <f>F91*12</f>
        <v>4680</v>
      </c>
      <c r="H91" s="973">
        <v>377.55</v>
      </c>
    </row>
    <row r="92" spans="1:8">
      <c r="A92" s="833" t="s">
        <v>326</v>
      </c>
      <c r="B92" s="827"/>
      <c r="C92" s="827">
        <v>1</v>
      </c>
      <c r="D92" s="834">
        <v>1</v>
      </c>
      <c r="E92" s="828">
        <v>275</v>
      </c>
      <c r="F92" s="797">
        <f>E92*1.04</f>
        <v>286</v>
      </c>
      <c r="G92" s="753">
        <f>F92*12</f>
        <v>3432</v>
      </c>
      <c r="H92" s="973">
        <v>377.55</v>
      </c>
    </row>
    <row r="93" spans="1:8">
      <c r="A93" s="806" t="s">
        <v>674</v>
      </c>
      <c r="B93" s="827"/>
      <c r="C93" s="827">
        <v>1</v>
      </c>
      <c r="D93" s="824">
        <f>SUM(B93:C93)</f>
        <v>1</v>
      </c>
      <c r="E93" s="365">
        <v>275</v>
      </c>
      <c r="F93" s="797">
        <f>E93*1.04</f>
        <v>286</v>
      </c>
      <c r="G93" s="753">
        <f>F93*12</f>
        <v>3432</v>
      </c>
      <c r="H93" s="973">
        <v>377.55</v>
      </c>
    </row>
    <row r="94" spans="1:8">
      <c r="A94" s="833"/>
      <c r="B94" s="827"/>
      <c r="C94" s="827"/>
      <c r="D94" s="834"/>
      <c r="E94" s="828"/>
      <c r="F94" s="828"/>
      <c r="G94" s="753"/>
      <c r="H94" s="808"/>
    </row>
    <row r="95" spans="1:8">
      <c r="A95" s="825" t="s">
        <v>623</v>
      </c>
      <c r="B95" s="827"/>
      <c r="C95" s="827"/>
      <c r="D95" s="801"/>
      <c r="E95" s="828"/>
      <c r="F95" s="828"/>
      <c r="G95" s="753"/>
      <c r="H95" s="808"/>
    </row>
    <row r="96" spans="1:8">
      <c r="A96" s="806" t="s">
        <v>1204</v>
      </c>
      <c r="B96" s="827"/>
      <c r="C96" s="827">
        <v>1</v>
      </c>
      <c r="D96" s="801">
        <f>SUM(B96:C96)</f>
        <v>1</v>
      </c>
      <c r="E96" s="828">
        <v>400</v>
      </c>
      <c r="F96" s="1129">
        <v>600</v>
      </c>
      <c r="G96" s="753">
        <f t="shared" ref="G96:G101" si="3">F96*12</f>
        <v>7200</v>
      </c>
      <c r="H96" s="973">
        <f>F96*0.8</f>
        <v>480</v>
      </c>
    </row>
    <row r="97" spans="1:11">
      <c r="A97" s="806" t="s">
        <v>729</v>
      </c>
      <c r="B97" s="827"/>
      <c r="C97" s="827">
        <v>1</v>
      </c>
      <c r="D97" s="801">
        <v>1</v>
      </c>
      <c r="E97" s="828"/>
      <c r="F97" s="797">
        <v>441</v>
      </c>
      <c r="G97" s="753">
        <f t="shared" si="3"/>
        <v>5292</v>
      </c>
      <c r="H97" s="973">
        <v>377.55</v>
      </c>
    </row>
    <row r="98" spans="1:11">
      <c r="A98" s="806" t="s">
        <v>729</v>
      </c>
      <c r="B98" s="827"/>
      <c r="C98" s="827">
        <v>1</v>
      </c>
      <c r="D98" s="801">
        <f>SUM(B98:C98)</f>
        <v>1</v>
      </c>
      <c r="E98" s="828">
        <v>325</v>
      </c>
      <c r="F98" s="797">
        <v>363</v>
      </c>
      <c r="G98" s="753">
        <f t="shared" si="3"/>
        <v>4356</v>
      </c>
      <c r="H98" s="973">
        <v>377.55</v>
      </c>
    </row>
    <row r="99" spans="1:11">
      <c r="A99" s="806" t="s">
        <v>729</v>
      </c>
      <c r="B99" s="827"/>
      <c r="C99" s="827">
        <v>1</v>
      </c>
      <c r="D99" s="801">
        <v>1</v>
      </c>
      <c r="E99" s="828"/>
      <c r="F99" s="828">
        <v>251.7</v>
      </c>
      <c r="G99" s="753">
        <f t="shared" si="3"/>
        <v>3020.3999999999996</v>
      </c>
      <c r="H99" s="973">
        <v>377.55</v>
      </c>
    </row>
    <row r="100" spans="1:11">
      <c r="A100" s="806" t="s">
        <v>729</v>
      </c>
      <c r="B100" s="827" t="s">
        <v>1205</v>
      </c>
      <c r="C100" s="827">
        <v>1</v>
      </c>
      <c r="D100" s="801">
        <v>1</v>
      </c>
      <c r="E100" s="828"/>
      <c r="F100" s="828">
        <v>251.7</v>
      </c>
      <c r="G100" s="753">
        <f t="shared" si="3"/>
        <v>3020.3999999999996</v>
      </c>
      <c r="H100" s="973">
        <v>377.55</v>
      </c>
    </row>
    <row r="101" spans="1:11">
      <c r="A101" s="823" t="s">
        <v>1206</v>
      </c>
      <c r="B101" s="827"/>
      <c r="C101" s="827">
        <v>1</v>
      </c>
      <c r="D101" s="801">
        <v>1</v>
      </c>
      <c r="E101" s="828"/>
      <c r="F101" s="828">
        <v>286</v>
      </c>
      <c r="G101" s="753">
        <f t="shared" si="3"/>
        <v>3432</v>
      </c>
      <c r="H101" s="973">
        <v>377.55</v>
      </c>
    </row>
    <row r="102" spans="1:11">
      <c r="A102" s="806"/>
      <c r="B102" s="827"/>
      <c r="C102" s="827"/>
      <c r="D102" s="801"/>
      <c r="E102" s="828"/>
      <c r="F102" s="828"/>
      <c r="G102" s="753"/>
      <c r="H102" s="973"/>
    </row>
    <row r="103" spans="1:11" hidden="1">
      <c r="A103" s="806"/>
      <c r="B103" s="827"/>
      <c r="C103" s="827"/>
      <c r="D103" s="801"/>
      <c r="E103" s="828"/>
      <c r="F103" s="828"/>
      <c r="G103" s="753"/>
      <c r="H103" s="973"/>
    </row>
    <row r="104" spans="1:11" hidden="1">
      <c r="A104" s="806"/>
      <c r="B104" s="827"/>
      <c r="C104" s="827"/>
      <c r="D104" s="801"/>
      <c r="E104" s="828"/>
      <c r="F104" s="828"/>
      <c r="G104" s="753"/>
      <c r="H104" s="808"/>
    </row>
    <row r="105" spans="1:11">
      <c r="A105" s="835" t="s">
        <v>1045</v>
      </c>
      <c r="B105" s="827"/>
      <c r="C105" s="827"/>
      <c r="D105" s="801"/>
      <c r="E105" s="828"/>
      <c r="F105" s="828"/>
      <c r="G105" s="753"/>
      <c r="H105" s="808"/>
    </row>
    <row r="106" spans="1:11">
      <c r="A106" s="806" t="s">
        <v>1264</v>
      </c>
      <c r="B106" s="827"/>
      <c r="C106" s="827">
        <v>1</v>
      </c>
      <c r="D106" s="801">
        <f>SUM(B106:C106)</f>
        <v>1</v>
      </c>
      <c r="E106" s="797">
        <v>450</v>
      </c>
      <c r="F106" s="797">
        <v>520</v>
      </c>
      <c r="G106" s="753">
        <f>F106*12</f>
        <v>6240</v>
      </c>
      <c r="H106" s="973">
        <f>F106*0.8</f>
        <v>416</v>
      </c>
      <c r="J106" s="1013"/>
      <c r="K106" s="1013"/>
    </row>
    <row r="107" spans="1:11">
      <c r="A107" s="806" t="s">
        <v>1064</v>
      </c>
      <c r="B107" s="827"/>
      <c r="C107" s="827">
        <v>1</v>
      </c>
      <c r="D107" s="801">
        <v>1</v>
      </c>
      <c r="E107" s="828">
        <v>375</v>
      </c>
      <c r="F107" s="797">
        <f>E107*1.04</f>
        <v>390</v>
      </c>
      <c r="G107" s="753">
        <f>F107*12</f>
        <v>4680</v>
      </c>
      <c r="H107" s="973">
        <v>377.55</v>
      </c>
    </row>
    <row r="108" spans="1:11">
      <c r="A108" s="806"/>
      <c r="B108" s="827"/>
      <c r="C108" s="827"/>
      <c r="D108" s="801"/>
      <c r="E108" s="828"/>
      <c r="F108" s="828"/>
      <c r="G108" s="753"/>
      <c r="H108" s="808"/>
    </row>
    <row r="109" spans="1:11">
      <c r="A109" s="825" t="s">
        <v>1050</v>
      </c>
      <c r="B109" s="827"/>
      <c r="C109" s="827"/>
      <c r="D109" s="801"/>
      <c r="E109" s="828"/>
      <c r="F109" s="828"/>
      <c r="G109" s="753"/>
      <c r="H109" s="808"/>
    </row>
    <row r="110" spans="1:11">
      <c r="A110" s="823" t="s">
        <v>1144</v>
      </c>
      <c r="B110" s="827"/>
      <c r="C110" s="827">
        <v>1</v>
      </c>
      <c r="D110" s="801">
        <v>1</v>
      </c>
      <c r="E110" s="828">
        <v>450</v>
      </c>
      <c r="F110" s="797">
        <f>E110*1.04</f>
        <v>468</v>
      </c>
      <c r="G110" s="753">
        <f>F110*12</f>
        <v>5616</v>
      </c>
      <c r="H110" s="973">
        <v>377.55</v>
      </c>
    </row>
    <row r="111" spans="1:11">
      <c r="A111" s="823" t="s">
        <v>1051</v>
      </c>
      <c r="B111" s="827"/>
      <c r="C111" s="827">
        <v>1</v>
      </c>
      <c r="D111" s="801">
        <v>1</v>
      </c>
      <c r="E111" s="828">
        <v>575.65</v>
      </c>
      <c r="F111" s="797">
        <f>E111*1.04</f>
        <v>598.67600000000004</v>
      </c>
      <c r="G111" s="753">
        <f>F111*12</f>
        <v>7184.112000000001</v>
      </c>
      <c r="H111" s="808">
        <f>F111*0.8</f>
        <v>478.94080000000008</v>
      </c>
    </row>
    <row r="112" spans="1:11">
      <c r="A112" s="823"/>
      <c r="B112" s="800"/>
      <c r="C112" s="800"/>
      <c r="D112" s="801"/>
      <c r="E112" s="543"/>
      <c r="F112" s="543"/>
      <c r="G112" s="753"/>
      <c r="H112" s="808"/>
    </row>
    <row r="113" spans="1:9">
      <c r="A113" s="836" t="s">
        <v>297</v>
      </c>
      <c r="B113" s="800"/>
      <c r="C113" s="800"/>
      <c r="D113" s="801"/>
      <c r="E113" s="543"/>
      <c r="F113" s="543"/>
      <c r="G113" s="753"/>
      <c r="H113" s="808"/>
      <c r="I113" s="132"/>
    </row>
    <row r="114" spans="1:9" ht="12" thickBot="1">
      <c r="A114" s="1042" t="s">
        <v>624</v>
      </c>
      <c r="B114" s="800"/>
      <c r="C114" s="800">
        <v>1</v>
      </c>
      <c r="D114" s="801">
        <f>SUM(B114:C114)</f>
        <v>1</v>
      </c>
      <c r="E114" s="543">
        <v>275</v>
      </c>
      <c r="F114" s="797">
        <f>E114*1.04</f>
        <v>286</v>
      </c>
      <c r="G114" s="753">
        <f>F114*12</f>
        <v>3432</v>
      </c>
      <c r="H114" s="973">
        <v>377.55</v>
      </c>
      <c r="I114" s="132"/>
    </row>
    <row r="115" spans="1:9">
      <c r="A115" s="837" t="s">
        <v>704</v>
      </c>
      <c r="B115" s="838">
        <f>SUM(B63:B114)</f>
        <v>12</v>
      </c>
      <c r="C115" s="838">
        <f>SUM(C63:C114)</f>
        <v>46</v>
      </c>
      <c r="D115" s="838">
        <f>SUM(D63:D114)</f>
        <v>58</v>
      </c>
      <c r="E115" s="839">
        <f>SUM(E63:E113)</f>
        <v>20431.109999999997</v>
      </c>
      <c r="F115" s="839">
        <f>SUM(F63:F113)</f>
        <v>29068.882000000001</v>
      </c>
      <c r="G115" s="839">
        <f>SUM(G63:G114)</f>
        <v>356302.58400000009</v>
      </c>
      <c r="H115" s="840">
        <f>SUM(H63:H113)</f>
        <v>26731.929799999976</v>
      </c>
      <c r="I115" s="132"/>
    </row>
    <row r="116" spans="1:9" ht="12" thickBot="1">
      <c r="A116" s="841"/>
      <c r="B116" s="842"/>
      <c r="C116" s="842"/>
      <c r="D116" s="843"/>
      <c r="E116" s="844"/>
      <c r="F116" s="844"/>
      <c r="G116" s="845"/>
      <c r="H116" s="846"/>
    </row>
    <row r="117" spans="1:9" ht="14.25" customHeight="1">
      <c r="A117" s="781"/>
      <c r="B117" s="847"/>
      <c r="C117" s="847"/>
      <c r="D117" s="848"/>
      <c r="E117" s="543"/>
      <c r="F117" s="543"/>
      <c r="G117" s="849"/>
      <c r="H117" s="850"/>
    </row>
    <row r="118" spans="1:9" ht="24.75" customHeight="1">
      <c r="A118" s="781"/>
      <c r="B118" s="847"/>
      <c r="C118" s="847"/>
      <c r="D118" s="848"/>
      <c r="E118" s="543"/>
      <c r="F118" s="543"/>
      <c r="G118" s="849"/>
      <c r="H118" s="850"/>
    </row>
    <row r="119" spans="1:9" ht="14.25" customHeight="1" thickBot="1">
      <c r="A119" s="781"/>
      <c r="B119" s="847"/>
      <c r="C119" s="847"/>
      <c r="D119" s="848"/>
      <c r="E119" s="543"/>
      <c r="F119" s="543"/>
      <c r="G119" s="849"/>
      <c r="H119" s="850"/>
    </row>
    <row r="120" spans="1:9" ht="16.5" thickBot="1">
      <c r="A120" s="1284" t="str">
        <f>A60</f>
        <v>CUADRO DE SALARIOS  PARA EL AÑO 2017</v>
      </c>
      <c r="B120" s="1285"/>
      <c r="C120" s="1285"/>
      <c r="D120" s="1285"/>
      <c r="E120" s="1285"/>
      <c r="F120" s="1285"/>
      <c r="G120" s="1285"/>
      <c r="H120" s="1286"/>
    </row>
    <row r="121" spans="1:9" ht="14.25" customHeight="1">
      <c r="A121" s="1287" t="s">
        <v>602</v>
      </c>
      <c r="B121" s="1289" t="s">
        <v>667</v>
      </c>
      <c r="C121" s="1289"/>
      <c r="D121" s="1290" t="s">
        <v>670</v>
      </c>
      <c r="E121" s="1281" t="s">
        <v>603</v>
      </c>
      <c r="F121" s="1281" t="s">
        <v>1226</v>
      </c>
      <c r="G121" s="1289" t="s">
        <v>604</v>
      </c>
      <c r="H121" s="1293" t="s">
        <v>638</v>
      </c>
    </row>
    <row r="122" spans="1:9" ht="28.5" customHeight="1" thickBot="1">
      <c r="A122" s="1288"/>
      <c r="B122" s="330" t="s">
        <v>669</v>
      </c>
      <c r="C122" s="330" t="s">
        <v>668</v>
      </c>
      <c r="D122" s="1291"/>
      <c r="E122" s="1282"/>
      <c r="F122" s="1282"/>
      <c r="G122" s="1292"/>
      <c r="H122" s="1294"/>
    </row>
    <row r="123" spans="1:9" ht="14.25" customHeight="1">
      <c r="A123" s="1127" t="s">
        <v>457</v>
      </c>
      <c r="B123" s="963">
        <f>B115</f>
        <v>12</v>
      </c>
      <c r="C123" s="967">
        <f t="shared" ref="C123:H123" si="4">C115</f>
        <v>46</v>
      </c>
      <c r="D123" s="961">
        <f t="shared" si="4"/>
        <v>58</v>
      </c>
      <c r="E123" s="968">
        <f t="shared" si="4"/>
        <v>20431.109999999997</v>
      </c>
      <c r="F123" s="970">
        <f t="shared" si="4"/>
        <v>29068.882000000001</v>
      </c>
      <c r="G123" s="971">
        <f t="shared" si="4"/>
        <v>356302.58400000009</v>
      </c>
      <c r="H123" s="974">
        <f t="shared" si="4"/>
        <v>26731.929799999976</v>
      </c>
    </row>
    <row r="124" spans="1:9" ht="14.25" customHeight="1">
      <c r="A124" s="819"/>
      <c r="B124" s="964"/>
      <c r="C124" s="851"/>
      <c r="D124" s="962"/>
      <c r="E124" s="852"/>
      <c r="F124" s="853"/>
      <c r="G124" s="852"/>
      <c r="H124" s="975"/>
    </row>
    <row r="125" spans="1:9" ht="14.25" customHeight="1">
      <c r="A125" s="825" t="s">
        <v>1058</v>
      </c>
      <c r="B125" s="847"/>
      <c r="C125" s="800"/>
      <c r="D125" s="965"/>
      <c r="E125" s="543"/>
      <c r="F125" s="797"/>
      <c r="G125" s="849"/>
      <c r="H125" s="808"/>
    </row>
    <row r="126" spans="1:9" s="329" customFormat="1" ht="14.25" customHeight="1">
      <c r="A126" s="823" t="s">
        <v>1057</v>
      </c>
      <c r="B126" s="847"/>
      <c r="C126" s="800">
        <v>1</v>
      </c>
      <c r="D126" s="965">
        <f>SUM(B126:C126)</f>
        <v>1</v>
      </c>
      <c r="E126" s="543">
        <v>900</v>
      </c>
      <c r="F126" s="797">
        <f>E126*1.04</f>
        <v>936</v>
      </c>
      <c r="G126" s="849">
        <f>F126*12</f>
        <v>11232</v>
      </c>
      <c r="H126" s="808">
        <f>F126*0.7</f>
        <v>655.19999999999993</v>
      </c>
    </row>
    <row r="127" spans="1:9" ht="14.25" customHeight="1">
      <c r="A127" s="823" t="s">
        <v>1059</v>
      </c>
      <c r="B127" s="847"/>
      <c r="C127" s="800">
        <v>1</v>
      </c>
      <c r="D127" s="965">
        <v>1</v>
      </c>
      <c r="E127" s="543">
        <v>400</v>
      </c>
      <c r="F127" s="797">
        <v>350</v>
      </c>
      <c r="G127" s="849">
        <f>F127*12</f>
        <v>4200</v>
      </c>
      <c r="H127" s="973">
        <v>377.55</v>
      </c>
    </row>
    <row r="128" spans="1:9" ht="14.25" customHeight="1">
      <c r="A128" s="823"/>
      <c r="B128" s="847"/>
      <c r="C128" s="800"/>
      <c r="D128" s="965"/>
      <c r="E128" s="543"/>
      <c r="F128" s="797"/>
      <c r="G128" s="849"/>
      <c r="H128" s="808"/>
    </row>
    <row r="129" spans="1:12" ht="14.25" customHeight="1">
      <c r="A129" s="1022"/>
      <c r="B129" s="1014"/>
      <c r="C129" s="1015"/>
      <c r="D129" s="1016"/>
      <c r="E129" s="1017"/>
      <c r="F129" s="1018"/>
      <c r="G129" s="1019"/>
      <c r="H129" s="1020"/>
    </row>
    <row r="130" spans="1:12" ht="14.25" customHeight="1">
      <c r="A130" s="825" t="s">
        <v>625</v>
      </c>
      <c r="B130" s="847"/>
      <c r="C130" s="800"/>
      <c r="D130" s="966"/>
      <c r="E130" s="969"/>
      <c r="F130" s="365"/>
      <c r="G130" s="972"/>
      <c r="H130" s="855"/>
    </row>
    <row r="131" spans="1:12" ht="14.25" customHeight="1">
      <c r="A131" s="823" t="s">
        <v>1221</v>
      </c>
      <c r="B131" s="847"/>
      <c r="C131" s="800">
        <v>1</v>
      </c>
      <c r="D131" s="966">
        <f>SUM(B131:C131)</f>
        <v>1</v>
      </c>
      <c r="E131" s="969">
        <v>300</v>
      </c>
      <c r="F131" s="797">
        <v>312</v>
      </c>
      <c r="G131" s="849">
        <f>F131*12</f>
        <v>3744</v>
      </c>
      <c r="H131" s="973">
        <v>377.55</v>
      </c>
      <c r="L131" s="517">
        <v>251.7</v>
      </c>
    </row>
    <row r="132" spans="1:12" ht="14.25" customHeight="1">
      <c r="A132" s="806" t="s">
        <v>1202</v>
      </c>
      <c r="B132" s="826"/>
      <c r="C132" s="827">
        <v>1</v>
      </c>
      <c r="D132" s="801">
        <f>SUM(B132:C132)</f>
        <v>1</v>
      </c>
      <c r="E132" s="797">
        <v>325</v>
      </c>
      <c r="F132" s="797">
        <f>E132*1.04</f>
        <v>338</v>
      </c>
      <c r="G132" s="753">
        <f>F132*12</f>
        <v>4056</v>
      </c>
      <c r="H132" s="973">
        <v>377.55</v>
      </c>
      <c r="L132" s="517">
        <f>L131*1.5</f>
        <v>377.54999999999995</v>
      </c>
    </row>
    <row r="133" spans="1:12" s="1021" customFormat="1" ht="14.25" customHeight="1">
      <c r="A133" s="823" t="s">
        <v>1203</v>
      </c>
      <c r="B133" s="847"/>
      <c r="C133" s="800">
        <v>1</v>
      </c>
      <c r="D133" s="966">
        <v>1</v>
      </c>
      <c r="E133" s="969">
        <v>275</v>
      </c>
      <c r="F133" s="797">
        <f>E133*1.04</f>
        <v>286</v>
      </c>
      <c r="G133" s="849">
        <f>F133*12</f>
        <v>3432</v>
      </c>
      <c r="H133" s="973">
        <v>377.55</v>
      </c>
    </row>
    <row r="134" spans="1:12" ht="14.25" customHeight="1">
      <c r="A134" s="823" t="s">
        <v>1063</v>
      </c>
      <c r="B134" s="847"/>
      <c r="C134" s="800">
        <v>1</v>
      </c>
      <c r="D134" s="966">
        <f>SUM(B134:C134)</f>
        <v>1</v>
      </c>
      <c r="E134" s="969">
        <v>300</v>
      </c>
      <c r="F134" s="797">
        <f>E134*1.04</f>
        <v>312</v>
      </c>
      <c r="G134" s="849">
        <f>F134*12</f>
        <v>3744</v>
      </c>
      <c r="H134" s="973">
        <v>377.55</v>
      </c>
    </row>
    <row r="135" spans="1:12" ht="14.25" customHeight="1">
      <c r="A135" s="976"/>
      <c r="B135" s="132"/>
      <c r="C135" s="104"/>
      <c r="D135" s="132"/>
      <c r="E135" s="132"/>
      <c r="F135" s="104"/>
      <c r="G135" s="132"/>
      <c r="H135" s="977"/>
    </row>
    <row r="136" spans="1:12" ht="14.25" customHeight="1">
      <c r="A136" s="823"/>
      <c r="B136" s="847"/>
      <c r="C136" s="800"/>
      <c r="D136" s="966"/>
      <c r="E136" s="969"/>
      <c r="F136" s="365"/>
      <c r="G136" s="972"/>
      <c r="H136" s="855"/>
    </row>
    <row r="137" spans="1:12" ht="14.25" customHeight="1">
      <c r="A137" s="825" t="s">
        <v>522</v>
      </c>
      <c r="B137" s="847"/>
      <c r="C137" s="800"/>
      <c r="D137" s="966"/>
      <c r="E137" s="969"/>
      <c r="F137" s="365"/>
      <c r="G137" s="972"/>
      <c r="H137" s="855"/>
    </row>
    <row r="138" spans="1:12" ht="14.25" customHeight="1">
      <c r="A138" s="823" t="s">
        <v>523</v>
      </c>
      <c r="B138" s="847">
        <v>1</v>
      </c>
      <c r="C138" s="800"/>
      <c r="D138" s="966">
        <f>SUM(B138:C138)</f>
        <v>1</v>
      </c>
      <c r="E138" s="969">
        <v>308.57</v>
      </c>
      <c r="F138" s="797">
        <f>(E138*1.04)+25</f>
        <v>345.9128</v>
      </c>
      <c r="G138" s="849">
        <f>F138*12</f>
        <v>4150.9535999999998</v>
      </c>
      <c r="H138" s="973">
        <v>377.55</v>
      </c>
    </row>
    <row r="139" spans="1:12" ht="14.25" customHeight="1">
      <c r="A139" s="823"/>
      <c r="B139" s="847"/>
      <c r="C139" s="800"/>
      <c r="D139" s="966"/>
      <c r="E139" s="969"/>
      <c r="F139" s="797"/>
      <c r="G139" s="849"/>
      <c r="H139" s="973"/>
    </row>
    <row r="140" spans="1:12" ht="14.25" customHeight="1">
      <c r="A140" s="825" t="s">
        <v>1043</v>
      </c>
      <c r="B140" s="847"/>
      <c r="C140" s="800"/>
      <c r="D140" s="966"/>
      <c r="E140" s="969"/>
      <c r="F140" s="365"/>
      <c r="G140" s="972"/>
      <c r="H140" s="855"/>
    </row>
    <row r="141" spans="1:12" ht="14.25" customHeight="1">
      <c r="A141" s="823" t="s">
        <v>1263</v>
      </c>
      <c r="B141" s="847"/>
      <c r="C141" s="800">
        <v>1</v>
      </c>
      <c r="D141" s="966">
        <v>1</v>
      </c>
      <c r="E141" s="969"/>
      <c r="F141" s="365">
        <v>700</v>
      </c>
      <c r="G141" s="972">
        <f>F141*12</f>
        <v>8400</v>
      </c>
      <c r="H141" s="855">
        <f>F141*0.7</f>
        <v>489.99999999999994</v>
      </c>
    </row>
    <row r="142" spans="1:12">
      <c r="A142" s="823" t="s">
        <v>687</v>
      </c>
      <c r="B142" s="847"/>
      <c r="C142" s="800">
        <v>2</v>
      </c>
      <c r="D142" s="966">
        <f>SUM(B142:C142)</f>
        <v>2</v>
      </c>
      <c r="E142" s="969">
        <v>275</v>
      </c>
      <c r="F142" s="797">
        <f>E142*1.04</f>
        <v>286</v>
      </c>
      <c r="G142" s="849">
        <f>F142*12*D142</f>
        <v>6864</v>
      </c>
      <c r="H142" s="973">
        <f>377.55*2</f>
        <v>755.1</v>
      </c>
    </row>
    <row r="143" spans="1:12" ht="14.25" customHeight="1">
      <c r="A143" s="823" t="s">
        <v>525</v>
      </c>
      <c r="B143" s="847"/>
      <c r="C143" s="800">
        <v>1</v>
      </c>
      <c r="D143" s="966">
        <f>SUM(B143:C143)</f>
        <v>1</v>
      </c>
      <c r="E143" s="969">
        <v>150</v>
      </c>
      <c r="F143" s="797">
        <f>E143*1.04</f>
        <v>156</v>
      </c>
      <c r="G143" s="849">
        <f>F143*12</f>
        <v>1872</v>
      </c>
      <c r="H143" s="973">
        <v>377.55</v>
      </c>
    </row>
    <row r="144" spans="1:12" ht="14.25" customHeight="1">
      <c r="A144" s="823" t="s">
        <v>705</v>
      </c>
      <c r="B144" s="847"/>
      <c r="C144" s="800">
        <v>1</v>
      </c>
      <c r="D144" s="966">
        <f>SUM(B144:C144)</f>
        <v>1</v>
      </c>
      <c r="E144" s="969">
        <v>350</v>
      </c>
      <c r="F144" s="797">
        <v>251.7</v>
      </c>
      <c r="G144" s="849">
        <f>F144*12</f>
        <v>3020.3999999999996</v>
      </c>
      <c r="H144" s="973">
        <v>377.55</v>
      </c>
    </row>
    <row r="145" spans="1:8" ht="14.25" customHeight="1">
      <c r="A145" s="823" t="s">
        <v>1207</v>
      </c>
      <c r="B145" s="847"/>
      <c r="C145" s="800">
        <v>1</v>
      </c>
      <c r="D145" s="966">
        <f>SUM(B145:C145)</f>
        <v>1</v>
      </c>
      <c r="E145" s="969">
        <v>325</v>
      </c>
      <c r="F145" s="797">
        <f>E145*1.04</f>
        <v>338</v>
      </c>
      <c r="G145" s="849">
        <f>F145*12</f>
        <v>4056</v>
      </c>
      <c r="H145" s="973">
        <v>377.55</v>
      </c>
    </row>
    <row r="146" spans="1:8" ht="14.25" customHeight="1">
      <c r="A146" s="823" t="s">
        <v>706</v>
      </c>
      <c r="B146" s="847"/>
      <c r="C146" s="800">
        <v>1</v>
      </c>
      <c r="D146" s="966">
        <v>1</v>
      </c>
      <c r="E146" s="969"/>
      <c r="F146" s="797">
        <v>1000</v>
      </c>
      <c r="G146" s="849">
        <f>F146*12</f>
        <v>12000</v>
      </c>
      <c r="H146" s="973">
        <f>F146*0.7</f>
        <v>700</v>
      </c>
    </row>
    <row r="147" spans="1:8" ht="14.25" customHeight="1">
      <c r="A147" s="825" t="s">
        <v>1052</v>
      </c>
      <c r="B147" s="847"/>
      <c r="C147" s="800"/>
      <c r="D147" s="965"/>
      <c r="E147" s="543"/>
      <c r="F147" s="797"/>
      <c r="G147" s="849"/>
      <c r="H147" s="808"/>
    </row>
    <row r="148" spans="1:8">
      <c r="A148" s="823" t="s">
        <v>1053</v>
      </c>
      <c r="B148" s="847"/>
      <c r="C148" s="800">
        <v>1</v>
      </c>
      <c r="D148" s="965">
        <v>1</v>
      </c>
      <c r="E148" s="543">
        <v>653.35</v>
      </c>
      <c r="F148" s="797">
        <v>412</v>
      </c>
      <c r="G148" s="849">
        <f>F148*12</f>
        <v>4944</v>
      </c>
      <c r="H148" s="973">
        <v>377.55</v>
      </c>
    </row>
    <row r="149" spans="1:8" ht="14.25" customHeight="1">
      <c r="A149" s="823" t="s">
        <v>1054</v>
      </c>
      <c r="B149" s="847"/>
      <c r="C149" s="800">
        <v>7</v>
      </c>
      <c r="D149" s="965">
        <v>7</v>
      </c>
      <c r="E149" s="543">
        <v>300</v>
      </c>
      <c r="F149" s="797">
        <f>E149*1.04</f>
        <v>312</v>
      </c>
      <c r="G149" s="849">
        <f>F149*12*D149</f>
        <v>26208</v>
      </c>
      <c r="H149" s="973">
        <f>377.55*C149</f>
        <v>2642.85</v>
      </c>
    </row>
    <row r="150" spans="1:8" ht="14.25" customHeight="1">
      <c r="A150" s="823" t="s">
        <v>1054</v>
      </c>
      <c r="B150" s="847"/>
      <c r="C150" s="800">
        <v>1</v>
      </c>
      <c r="D150" s="965">
        <v>1</v>
      </c>
      <c r="E150" s="543"/>
      <c r="F150" s="797">
        <v>342</v>
      </c>
      <c r="G150" s="849">
        <f>F150*12</f>
        <v>4104</v>
      </c>
      <c r="H150" s="973">
        <v>377.55</v>
      </c>
    </row>
    <row r="151" spans="1:8" ht="14.25" customHeight="1">
      <c r="A151" s="823"/>
      <c r="B151" s="847"/>
      <c r="C151" s="800"/>
      <c r="D151" s="966"/>
      <c r="E151" s="969"/>
      <c r="F151" s="365"/>
      <c r="G151" s="972"/>
      <c r="H151" s="855"/>
    </row>
    <row r="152" spans="1:8" ht="14.25" customHeight="1">
      <c r="A152" s="856" t="s">
        <v>619</v>
      </c>
      <c r="B152" s="857">
        <f t="shared" ref="B152:H152" si="5">SUM(B123:B151)</f>
        <v>13</v>
      </c>
      <c r="C152" s="857">
        <f t="shared" si="5"/>
        <v>68</v>
      </c>
      <c r="D152" s="857">
        <f t="shared" si="5"/>
        <v>81</v>
      </c>
      <c r="E152" s="858">
        <f t="shared" si="5"/>
        <v>25293.029999999995</v>
      </c>
      <c r="F152" s="858">
        <f t="shared" si="5"/>
        <v>35746.4948</v>
      </c>
      <c r="G152" s="858">
        <f t="shared" si="5"/>
        <v>462329.93760000012</v>
      </c>
      <c r="H152" s="978">
        <f t="shared" si="5"/>
        <v>36128.129799999973</v>
      </c>
    </row>
    <row r="153" spans="1:8" ht="27.75" customHeight="1" thickBot="1">
      <c r="A153" s="780"/>
      <c r="B153" s="367"/>
      <c r="C153" s="367"/>
      <c r="D153" s="367"/>
      <c r="E153" s="366"/>
      <c r="F153" s="366"/>
      <c r="G153" s="367"/>
      <c r="H153" s="368"/>
    </row>
    <row r="154" spans="1:8" ht="14.25" customHeight="1">
      <c r="A154" s="781"/>
      <c r="B154" s="781"/>
      <c r="C154" s="781"/>
      <c r="D154" s="781"/>
      <c r="E154" s="859"/>
      <c r="F154" s="859"/>
      <c r="G154" s="781"/>
      <c r="H154" s="860"/>
    </row>
    <row r="155" spans="1:8" ht="21" customHeight="1">
      <c r="A155" s="781"/>
      <c r="B155" s="781"/>
      <c r="C155" s="781"/>
      <c r="D155" s="781"/>
      <c r="E155" s="859"/>
      <c r="F155" s="859"/>
      <c r="G155" s="781"/>
      <c r="H155" s="860"/>
    </row>
    <row r="156" spans="1:8" ht="14.25" hidden="1" customHeight="1" thickBot="1">
      <c r="A156" s="1309" t="s">
        <v>875</v>
      </c>
      <c r="B156" s="1309"/>
      <c r="C156" s="1309"/>
      <c r="D156" s="1309"/>
      <c r="E156" s="1309"/>
      <c r="F156" s="1309"/>
      <c r="G156" s="1309"/>
      <c r="H156" s="1309"/>
    </row>
    <row r="157" spans="1:8" ht="14.25" hidden="1" customHeight="1">
      <c r="A157" s="1310" t="s">
        <v>602</v>
      </c>
      <c r="B157" s="1312" t="s">
        <v>667</v>
      </c>
      <c r="C157" s="1313"/>
      <c r="D157" s="1314" t="s">
        <v>670</v>
      </c>
      <c r="E157" s="1316" t="s">
        <v>603</v>
      </c>
      <c r="F157" s="1023"/>
      <c r="G157" s="1318" t="s">
        <v>604</v>
      </c>
      <c r="H157" s="1303" t="s">
        <v>638</v>
      </c>
    </row>
    <row r="158" spans="1:8" ht="14.25" hidden="1" customHeight="1">
      <c r="A158" s="1311"/>
      <c r="B158" s="333" t="s">
        <v>669</v>
      </c>
      <c r="C158" s="333" t="s">
        <v>668</v>
      </c>
      <c r="D158" s="1315"/>
      <c r="E158" s="1317"/>
      <c r="F158" s="1024"/>
      <c r="G158" s="1319"/>
      <c r="H158" s="1304"/>
    </row>
    <row r="159" spans="1:8" ht="14.25" hidden="1" customHeight="1">
      <c r="A159" s="1025"/>
      <c r="B159" s="334"/>
      <c r="C159" s="334"/>
      <c r="D159" s="782"/>
      <c r="E159" s="861"/>
      <c r="F159" s="861"/>
      <c r="G159" s="862"/>
      <c r="H159" s="863"/>
    </row>
    <row r="160" spans="1:8" ht="14.25" hidden="1" customHeight="1">
      <c r="A160" s="836"/>
      <c r="B160" s="831"/>
      <c r="C160" s="832"/>
      <c r="D160" s="824"/>
      <c r="E160" s="365"/>
      <c r="F160" s="365"/>
      <c r="G160" s="854"/>
      <c r="H160" s="855"/>
    </row>
    <row r="161" spans="1:8" ht="14.25" hidden="1" customHeight="1">
      <c r="A161" s="833"/>
      <c r="B161" s="827"/>
      <c r="C161" s="827"/>
      <c r="D161" s="864"/>
      <c r="E161" s="365"/>
      <c r="F161" s="365"/>
      <c r="G161" s="854"/>
      <c r="H161" s="863"/>
    </row>
    <row r="162" spans="1:8" ht="14.25" hidden="1" customHeight="1">
      <c r="A162" s="825" t="s">
        <v>524</v>
      </c>
      <c r="B162" s="800"/>
      <c r="C162" s="800"/>
      <c r="D162" s="824"/>
      <c r="E162" s="365"/>
      <c r="F162" s="365"/>
      <c r="G162" s="854"/>
      <c r="H162" s="863"/>
    </row>
    <row r="163" spans="1:8" ht="14.25" hidden="1" customHeight="1">
      <c r="A163" s="823"/>
      <c r="B163" s="800"/>
      <c r="C163" s="800"/>
      <c r="D163" s="824"/>
      <c r="E163" s="365"/>
      <c r="F163" s="365"/>
      <c r="G163" s="854"/>
      <c r="H163" s="863"/>
    </row>
    <row r="164" spans="1:8" ht="14.25" hidden="1" customHeight="1">
      <c r="A164" s="823" t="s">
        <v>706</v>
      </c>
      <c r="B164" s="800"/>
      <c r="C164" s="800"/>
      <c r="D164" s="824"/>
      <c r="E164" s="365"/>
      <c r="F164" s="365"/>
      <c r="G164" s="854"/>
      <c r="H164" s="863"/>
    </row>
    <row r="165" spans="1:8" ht="14.25" hidden="1" customHeight="1">
      <c r="A165" s="823"/>
      <c r="B165" s="800"/>
      <c r="C165" s="800"/>
      <c r="D165" s="824"/>
      <c r="E165" s="365"/>
      <c r="F165" s="365"/>
      <c r="G165" s="854"/>
      <c r="H165" s="863"/>
    </row>
    <row r="166" spans="1:8" ht="14.25" hidden="1" customHeight="1">
      <c r="A166" s="823"/>
      <c r="B166" s="800"/>
      <c r="C166" s="800"/>
      <c r="D166" s="824"/>
      <c r="E166" s="365"/>
      <c r="F166" s="365"/>
      <c r="G166" s="854"/>
      <c r="H166" s="863"/>
    </row>
    <row r="167" spans="1:8" ht="14.25" hidden="1" customHeight="1">
      <c r="A167" s="856" t="s">
        <v>619</v>
      </c>
      <c r="B167" s="865">
        <f t="shared" ref="B167:H167" si="6">SUM(B163:B164)</f>
        <v>0</v>
      </c>
      <c r="C167" s="865">
        <f t="shared" si="6"/>
        <v>0</v>
      </c>
      <c r="D167" s="865">
        <f t="shared" si="6"/>
        <v>0</v>
      </c>
      <c r="E167" s="858">
        <f t="shared" si="6"/>
        <v>0</v>
      </c>
      <c r="F167" s="858"/>
      <c r="G167" s="858">
        <f t="shared" si="6"/>
        <v>0</v>
      </c>
      <c r="H167" s="858">
        <f t="shared" si="6"/>
        <v>0</v>
      </c>
    </row>
    <row r="168" spans="1:8" ht="14.25" hidden="1" customHeight="1">
      <c r="A168" s="783"/>
      <c r="B168" s="784"/>
      <c r="C168" s="784"/>
      <c r="D168" s="784"/>
      <c r="E168" s="866"/>
      <c r="F168" s="866"/>
      <c r="G168" s="784"/>
      <c r="H168" s="867"/>
    </row>
    <row r="169" spans="1:8" ht="14.25" hidden="1" customHeight="1">
      <c r="A169" s="868" t="s">
        <v>707</v>
      </c>
      <c r="B169" s="785">
        <f t="shared" ref="B169:H169" si="7">SUM(B123:B151)</f>
        <v>13</v>
      </c>
      <c r="C169" s="785">
        <f t="shared" si="7"/>
        <v>68</v>
      </c>
      <c r="D169" s="785">
        <f t="shared" si="7"/>
        <v>81</v>
      </c>
      <c r="E169" s="786">
        <f t="shared" si="7"/>
        <v>25293.029999999995</v>
      </c>
      <c r="F169" s="786">
        <f t="shared" si="7"/>
        <v>35746.4948</v>
      </c>
      <c r="G169" s="786">
        <f t="shared" si="7"/>
        <v>462329.93760000012</v>
      </c>
      <c r="H169" s="786">
        <f t="shared" si="7"/>
        <v>36128.129799999973</v>
      </c>
    </row>
    <row r="170" spans="1:8" ht="14.25" hidden="1" customHeight="1" thickBot="1">
      <c r="A170" s="787"/>
      <c r="B170" s="367"/>
      <c r="C170" s="788"/>
      <c r="D170" s="367"/>
      <c r="E170" s="366"/>
      <c r="F170" s="366"/>
      <c r="G170" s="367"/>
      <c r="H170" s="368"/>
    </row>
    <row r="171" spans="1:8" ht="14.25" hidden="1" customHeight="1">
      <c r="A171" s="517" t="s">
        <v>642</v>
      </c>
      <c r="E171" s="516"/>
      <c r="F171" s="516"/>
      <c r="G171" s="517">
        <f>(G205+G169)*1%</f>
        <v>5185.8793760000017</v>
      </c>
    </row>
    <row r="172" spans="1:8" ht="14.25" customHeight="1">
      <c r="E172" s="516"/>
      <c r="F172" s="516"/>
    </row>
    <row r="173" spans="1:8" ht="44.25" customHeight="1">
      <c r="E173" s="516"/>
      <c r="F173" s="516"/>
    </row>
    <row r="174" spans="1:8" ht="14.25" customHeight="1">
      <c r="E174" s="516"/>
      <c r="F174" s="516"/>
    </row>
    <row r="175" spans="1:8" ht="14.25" customHeight="1">
      <c r="E175" s="516"/>
      <c r="F175" s="516"/>
    </row>
    <row r="176" spans="1:8" ht="14.25" customHeight="1">
      <c r="E176" s="516"/>
      <c r="F176" s="516"/>
    </row>
    <row r="177" spans="1:9" ht="14.25" customHeight="1">
      <c r="E177" s="516"/>
      <c r="F177" s="516"/>
    </row>
    <row r="178" spans="1:9" ht="14.25" customHeight="1">
      <c r="E178" s="516"/>
      <c r="F178" s="516"/>
    </row>
    <row r="179" spans="1:9" ht="14.25" customHeight="1">
      <c r="E179" s="516"/>
      <c r="F179" s="516"/>
    </row>
    <row r="180" spans="1:9" ht="14.25" customHeight="1">
      <c r="E180" s="516"/>
      <c r="F180" s="516"/>
    </row>
    <row r="181" spans="1:9" ht="14.25" customHeight="1"/>
    <row r="182" spans="1:9">
      <c r="I182" s="789">
        <f>G169+H169+G205+H205</f>
        <v>560834.31740000006</v>
      </c>
    </row>
    <row r="184" spans="1:9" ht="36" hidden="1" customHeight="1"/>
    <row r="185" spans="1:9" ht="54.75" customHeight="1" thickBot="1">
      <c r="A185" s="1295" t="s">
        <v>1256</v>
      </c>
      <c r="B185" s="1295"/>
      <c r="C185" s="1295"/>
      <c r="D185" s="1295"/>
      <c r="E185" s="1295"/>
      <c r="F185" s="1295"/>
      <c r="G185" s="1295"/>
      <c r="H185" s="1295"/>
    </row>
    <row r="186" spans="1:9" ht="26.25" customHeight="1">
      <c r="A186" s="1287" t="s">
        <v>602</v>
      </c>
      <c r="B186" s="1307" t="s">
        <v>667</v>
      </c>
      <c r="C186" s="1308"/>
      <c r="D186" s="1298" t="s">
        <v>670</v>
      </c>
      <c r="E186" s="1300" t="s">
        <v>603</v>
      </c>
      <c r="F186" s="1281" t="s">
        <v>1226</v>
      </c>
      <c r="G186" s="1297" t="s">
        <v>604</v>
      </c>
      <c r="H186" s="1303" t="s">
        <v>638</v>
      </c>
    </row>
    <row r="187" spans="1:9" ht="26.25" customHeight="1" thickBot="1">
      <c r="A187" s="1296"/>
      <c r="B187" s="333" t="s">
        <v>669</v>
      </c>
      <c r="C187" s="333" t="s">
        <v>668</v>
      </c>
      <c r="D187" s="1299"/>
      <c r="E187" s="1301"/>
      <c r="F187" s="1283"/>
      <c r="G187" s="1302"/>
      <c r="H187" s="1304"/>
    </row>
    <row r="188" spans="1:9" ht="14.25" customHeight="1">
      <c r="A188" s="1025"/>
      <c r="B188" s="334"/>
      <c r="C188" s="334"/>
      <c r="D188" s="782"/>
      <c r="E188" s="861"/>
      <c r="F188" s="861"/>
      <c r="G188" s="862"/>
      <c r="H188" s="863"/>
    </row>
    <row r="189" spans="1:9" ht="14.25" customHeight="1">
      <c r="A189" s="869" t="s">
        <v>1046</v>
      </c>
      <c r="B189" s="831"/>
      <c r="C189" s="832"/>
      <c r="D189" s="824"/>
      <c r="E189" s="365"/>
      <c r="F189" s="365"/>
      <c r="G189" s="854"/>
      <c r="H189" s="855"/>
    </row>
    <row r="190" spans="1:9" ht="14.25" customHeight="1">
      <c r="A190" s="1043" t="s">
        <v>1047</v>
      </c>
      <c r="B190" s="830"/>
      <c r="C190" s="1044">
        <v>1</v>
      </c>
      <c r="D190" s="864">
        <f>SUM(B190:C190)</f>
        <v>1</v>
      </c>
      <c r="E190" s="365">
        <v>375</v>
      </c>
      <c r="F190" s="797">
        <f>E190*1.04</f>
        <v>390</v>
      </c>
      <c r="G190" s="753">
        <f>F190*12</f>
        <v>4680</v>
      </c>
      <c r="H190" s="1064">
        <v>377.55</v>
      </c>
    </row>
    <row r="191" spans="1:9" ht="14.25" customHeight="1">
      <c r="A191" s="1043" t="s">
        <v>1048</v>
      </c>
      <c r="B191" s="830">
        <v>1</v>
      </c>
      <c r="C191" s="1044">
        <v>1</v>
      </c>
      <c r="D191" s="864">
        <f>SUM(B191:C191)</f>
        <v>2</v>
      </c>
      <c r="E191" s="365">
        <v>345</v>
      </c>
      <c r="F191" s="797">
        <f>E191*1.04</f>
        <v>358.8</v>
      </c>
      <c r="G191" s="753">
        <f>F191*12</f>
        <v>4305.6000000000004</v>
      </c>
      <c r="H191" s="1065">
        <f>377.55*D191</f>
        <v>755.1</v>
      </c>
    </row>
    <row r="192" spans="1:9" ht="14.25" customHeight="1">
      <c r="A192" s="870"/>
      <c r="B192" s="831"/>
      <c r="C192" s="832"/>
      <c r="D192" s="864"/>
      <c r="E192" s="365"/>
      <c r="F192" s="365"/>
      <c r="G192" s="854"/>
      <c r="H192" s="863"/>
    </row>
    <row r="193" spans="1:8" s="329" customFormat="1" ht="14.25" customHeight="1">
      <c r="A193" s="869" t="s">
        <v>1049</v>
      </c>
      <c r="B193" s="831"/>
      <c r="C193" s="832"/>
      <c r="D193" s="864"/>
      <c r="E193" s="365"/>
      <c r="F193" s="365"/>
      <c r="G193" s="854"/>
      <c r="H193" s="863"/>
    </row>
    <row r="194" spans="1:8" ht="14.25" customHeight="1">
      <c r="A194" s="833" t="s">
        <v>675</v>
      </c>
      <c r="B194" s="830"/>
      <c r="C194" s="1044">
        <v>10</v>
      </c>
      <c r="D194" s="864">
        <f>SUM(B194:C194)</f>
        <v>10</v>
      </c>
      <c r="E194" s="365">
        <v>275</v>
      </c>
      <c r="F194" s="797">
        <f>E194*1.04</f>
        <v>286</v>
      </c>
      <c r="G194" s="753">
        <f>F194*12*D194</f>
        <v>34320</v>
      </c>
      <c r="H194" s="1065">
        <f>377.55*D194</f>
        <v>3775.5</v>
      </c>
    </row>
    <row r="195" spans="1:8" ht="14.25" customHeight="1">
      <c r="A195" s="870"/>
      <c r="B195" s="831"/>
      <c r="C195" s="832"/>
      <c r="D195" s="864"/>
      <c r="E195" s="365"/>
      <c r="F195" s="365"/>
      <c r="G195" s="854"/>
      <c r="H195" s="863"/>
    </row>
    <row r="196" spans="1:8" ht="14.25" customHeight="1">
      <c r="A196" s="869" t="s">
        <v>703</v>
      </c>
      <c r="B196" s="826"/>
      <c r="C196" s="826"/>
      <c r="D196" s="871"/>
      <c r="E196" s="872"/>
      <c r="F196" s="872"/>
      <c r="G196" s="873"/>
      <c r="H196" s="874"/>
    </row>
    <row r="197" spans="1:8" ht="14.25" customHeight="1">
      <c r="A197" s="823" t="s">
        <v>800</v>
      </c>
      <c r="B197" s="800"/>
      <c r="C197" s="800">
        <v>1</v>
      </c>
      <c r="D197" s="824">
        <f>C197</f>
        <v>1</v>
      </c>
      <c r="E197" s="365">
        <v>275</v>
      </c>
      <c r="F197" s="797">
        <f>E197*1.04</f>
        <v>286</v>
      </c>
      <c r="G197" s="753">
        <f>F197*12</f>
        <v>3432</v>
      </c>
      <c r="H197" s="1064">
        <v>377.55</v>
      </c>
    </row>
    <row r="198" spans="1:8" ht="14.25" customHeight="1">
      <c r="A198" s="823" t="s">
        <v>1142</v>
      </c>
      <c r="B198" s="800"/>
      <c r="C198" s="800">
        <v>1</v>
      </c>
      <c r="D198" s="824">
        <v>1</v>
      </c>
      <c r="E198" s="365"/>
      <c r="F198" s="365">
        <v>251.7</v>
      </c>
      <c r="G198" s="753">
        <f>F198*12</f>
        <v>3020.3999999999996</v>
      </c>
      <c r="H198" s="1064">
        <v>377.55</v>
      </c>
    </row>
    <row r="199" spans="1:8" ht="14.25" customHeight="1">
      <c r="A199" s="823"/>
      <c r="B199" s="800"/>
      <c r="C199" s="800"/>
      <c r="D199" s="824"/>
      <c r="E199" s="365"/>
      <c r="F199" s="365"/>
      <c r="G199" s="753"/>
      <c r="H199" s="1086"/>
    </row>
    <row r="200" spans="1:8" ht="14.25" customHeight="1">
      <c r="A200" s="869" t="s">
        <v>1253</v>
      </c>
      <c r="B200" s="826"/>
      <c r="C200" s="826"/>
      <c r="D200" s="871"/>
      <c r="E200" s="872"/>
      <c r="F200" s="872"/>
      <c r="G200" s="873"/>
      <c r="H200" s="874"/>
    </row>
    <row r="201" spans="1:8" ht="14.25" customHeight="1">
      <c r="A201" s="823" t="s">
        <v>1254</v>
      </c>
      <c r="B201" s="800"/>
      <c r="C201" s="800">
        <v>1</v>
      </c>
      <c r="D201" s="824">
        <v>1</v>
      </c>
      <c r="E201" s="365">
        <v>252</v>
      </c>
      <c r="F201" s="365">
        <v>650</v>
      </c>
      <c r="G201" s="854">
        <f>F201*D201*10</f>
        <v>6500</v>
      </c>
      <c r="H201" s="1065">
        <f>F201*0.7</f>
        <v>454.99999999999994</v>
      </c>
    </row>
    <row r="202" spans="1:8" ht="14.25" customHeight="1">
      <c r="A202" s="823"/>
      <c r="B202" s="800"/>
      <c r="C202" s="800"/>
      <c r="D202" s="824"/>
      <c r="E202" s="365"/>
      <c r="F202" s="365"/>
      <c r="G202" s="854"/>
      <c r="H202" s="863"/>
    </row>
    <row r="203" spans="1:8" ht="14.25" customHeight="1">
      <c r="A203" s="856" t="s">
        <v>619</v>
      </c>
      <c r="B203" s="865"/>
      <c r="C203" s="865">
        <f>SUM(C201:C201)</f>
        <v>1</v>
      </c>
      <c r="D203" s="865">
        <f>SUM(D199:D201)</f>
        <v>1</v>
      </c>
      <c r="E203" s="858">
        <f>SUM(E199:E201)</f>
        <v>252</v>
      </c>
      <c r="F203" s="858"/>
      <c r="G203" s="858">
        <f>SUM(G190:G201)</f>
        <v>56258</v>
      </c>
      <c r="H203" s="858">
        <f>SUM(H190:H201)</f>
        <v>6118.25</v>
      </c>
    </row>
    <row r="204" spans="1:8" ht="14.25" customHeight="1">
      <c r="A204" s="783"/>
      <c r="B204" s="784"/>
      <c r="C204" s="784"/>
      <c r="D204" s="784"/>
      <c r="E204" s="866"/>
      <c r="F204" s="866"/>
      <c r="G204" s="784"/>
      <c r="H204" s="867"/>
    </row>
    <row r="205" spans="1:8" ht="14.25" customHeight="1">
      <c r="A205" s="868" t="s">
        <v>707</v>
      </c>
      <c r="B205" s="790">
        <f t="shared" ref="B205:H205" si="8">B181+B203</f>
        <v>0</v>
      </c>
      <c r="C205" s="791">
        <f t="shared" si="8"/>
        <v>1</v>
      </c>
      <c r="D205" s="791">
        <f t="shared" si="8"/>
        <v>1</v>
      </c>
      <c r="E205" s="792">
        <f t="shared" si="8"/>
        <v>252</v>
      </c>
      <c r="F205" s="792">
        <f t="shared" si="8"/>
        <v>0</v>
      </c>
      <c r="G205" s="875">
        <f t="shared" si="8"/>
        <v>56258</v>
      </c>
      <c r="H205" s="876">
        <f t="shared" si="8"/>
        <v>6118.25</v>
      </c>
    </row>
    <row r="206" spans="1:8" ht="31.5" customHeight="1" thickBot="1">
      <c r="A206" s="787"/>
      <c r="B206" s="367"/>
      <c r="C206" s="788"/>
      <c r="D206" s="367"/>
      <c r="E206" s="366"/>
      <c r="F206" s="366"/>
      <c r="G206" s="367"/>
      <c r="H206" s="368"/>
    </row>
    <row r="207" spans="1:8" ht="14.25" customHeight="1"/>
    <row r="208" spans="1:8" ht="14.25" customHeight="1"/>
    <row r="209" spans="1:8" ht="52.5" customHeight="1" thickBot="1">
      <c r="A209" s="1295" t="s">
        <v>1257</v>
      </c>
      <c r="B209" s="1295"/>
      <c r="C209" s="1295"/>
      <c r="D209" s="1295"/>
      <c r="E209" s="1295"/>
      <c r="F209" s="1295"/>
      <c r="G209" s="1295"/>
      <c r="H209" s="1295"/>
    </row>
    <row r="210" spans="1:8" ht="14.25" customHeight="1">
      <c r="A210" s="1287" t="s">
        <v>602</v>
      </c>
      <c r="B210" s="1297" t="s">
        <v>667</v>
      </c>
      <c r="C210" s="1297"/>
      <c r="D210" s="1298" t="s">
        <v>670</v>
      </c>
      <c r="E210" s="1300" t="s">
        <v>603</v>
      </c>
      <c r="F210" s="1281" t="s">
        <v>1226</v>
      </c>
      <c r="G210" s="1297" t="s">
        <v>604</v>
      </c>
      <c r="H210" s="1303" t="s">
        <v>638</v>
      </c>
    </row>
    <row r="211" spans="1:8" ht="14.25" customHeight="1" thickBot="1">
      <c r="A211" s="1296"/>
      <c r="B211" s="1305" t="s">
        <v>1060</v>
      </c>
      <c r="C211" s="1306"/>
      <c r="D211" s="1299"/>
      <c r="E211" s="1301"/>
      <c r="F211" s="1283"/>
      <c r="G211" s="1302"/>
      <c r="H211" s="1304"/>
    </row>
    <row r="212" spans="1:8" ht="14.25" customHeight="1">
      <c r="A212" s="870"/>
      <c r="B212" s="831"/>
      <c r="C212" s="832"/>
      <c r="D212" s="864"/>
      <c r="E212" s="365"/>
      <c r="F212" s="365"/>
      <c r="G212" s="854"/>
      <c r="H212" s="863"/>
    </row>
    <row r="213" spans="1:8" ht="14.25" customHeight="1">
      <c r="A213" s="869" t="s">
        <v>703</v>
      </c>
      <c r="B213" s="826"/>
      <c r="C213" s="826"/>
      <c r="D213" s="871"/>
      <c r="E213" s="872"/>
      <c r="F213" s="872"/>
      <c r="G213" s="873"/>
      <c r="H213" s="874"/>
    </row>
    <row r="214" spans="1:8" ht="14.25" customHeight="1">
      <c r="A214" s="823" t="s">
        <v>1061</v>
      </c>
      <c r="B214" s="800"/>
      <c r="C214" s="800">
        <v>18</v>
      </c>
      <c r="D214" s="824">
        <v>18</v>
      </c>
      <c r="E214" s="365">
        <v>252</v>
      </c>
      <c r="F214" s="365">
        <v>252</v>
      </c>
      <c r="G214" s="854">
        <f>F214*D214*12</f>
        <v>54432</v>
      </c>
      <c r="H214" s="863">
        <v>0</v>
      </c>
    </row>
    <row r="215" spans="1:8" ht="14.25" customHeight="1">
      <c r="A215" s="823"/>
      <c r="B215" s="800"/>
      <c r="C215" s="800"/>
      <c r="D215" s="824"/>
      <c r="E215" s="365"/>
      <c r="F215" s="365"/>
      <c r="G215" s="854"/>
      <c r="H215" s="863"/>
    </row>
    <row r="216" spans="1:8" ht="14.25" customHeight="1">
      <c r="A216" s="856" t="s">
        <v>619</v>
      </c>
      <c r="B216" s="865"/>
      <c r="C216" s="865">
        <f>SUM(C214:C214)</f>
        <v>18</v>
      </c>
      <c r="D216" s="865">
        <f>SUM(D212:D214)</f>
        <v>18</v>
      </c>
      <c r="E216" s="858">
        <f>SUM(E212:E214)</f>
        <v>252</v>
      </c>
      <c r="F216" s="858"/>
      <c r="G216" s="858">
        <f>SUM(G212:G214)</f>
        <v>54432</v>
      </c>
      <c r="H216" s="858">
        <f>SUM(H212:H214)</f>
        <v>0</v>
      </c>
    </row>
    <row r="217" spans="1:8" ht="14.25" customHeight="1">
      <c r="A217" s="783"/>
      <c r="B217" s="784"/>
      <c r="C217" s="784"/>
      <c r="D217" s="784"/>
      <c r="E217" s="866"/>
      <c r="F217" s="866"/>
      <c r="G217" s="784"/>
      <c r="H217" s="867"/>
    </row>
    <row r="218" spans="1:8" ht="14.25" customHeight="1">
      <c r="A218" s="868" t="s">
        <v>707</v>
      </c>
      <c r="B218" s="790"/>
      <c r="C218" s="793">
        <f>C214</f>
        <v>18</v>
      </c>
      <c r="D218" s="794">
        <f>D214</f>
        <v>18</v>
      </c>
      <c r="E218" s="792"/>
      <c r="F218" s="792"/>
      <c r="G218" s="875">
        <f>G214</f>
        <v>54432</v>
      </c>
      <c r="H218" s="876"/>
    </row>
    <row r="219" spans="1:8" ht="14.25" customHeight="1" thickBot="1">
      <c r="A219" s="787"/>
      <c r="B219" s="367"/>
      <c r="C219" s="788"/>
      <c r="D219" s="367"/>
      <c r="E219" s="366"/>
      <c r="F219" s="366"/>
      <c r="G219" s="367"/>
      <c r="H219" s="368"/>
    </row>
    <row r="220" spans="1:8" ht="14.25" customHeight="1"/>
    <row r="221" spans="1:8" ht="14.25" hidden="1" customHeight="1"/>
    <row r="222" spans="1:8" ht="14.25" hidden="1" customHeight="1"/>
    <row r="224" spans="1:8" ht="43.5" customHeight="1" thickBot="1">
      <c r="A224" s="1295" t="s">
        <v>1224</v>
      </c>
      <c r="B224" s="1295"/>
      <c r="C224" s="1295"/>
      <c r="D224" s="1295"/>
      <c r="E224" s="1295"/>
      <c r="F224" s="1295"/>
      <c r="G224" s="1295"/>
      <c r="H224" s="1295"/>
    </row>
    <row r="225" spans="1:8">
      <c r="A225" s="1287" t="s">
        <v>602</v>
      </c>
      <c r="B225" s="1297" t="s">
        <v>667</v>
      </c>
      <c r="C225" s="1297"/>
      <c r="D225" s="1298" t="s">
        <v>670</v>
      </c>
      <c r="E225" s="1300" t="s">
        <v>603</v>
      </c>
      <c r="F225" s="1281" t="s">
        <v>1226</v>
      </c>
      <c r="G225" s="1297" t="s">
        <v>604</v>
      </c>
      <c r="H225" s="1303" t="s">
        <v>638</v>
      </c>
    </row>
    <row r="226" spans="1:8" ht="12" thickBot="1">
      <c r="A226" s="1296"/>
      <c r="B226" s="1305" t="s">
        <v>1060</v>
      </c>
      <c r="C226" s="1306"/>
      <c r="D226" s="1299"/>
      <c r="E226" s="1301"/>
      <c r="F226" s="1283"/>
      <c r="G226" s="1302"/>
      <c r="H226" s="1304"/>
    </row>
    <row r="227" spans="1:8">
      <c r="A227" s="870"/>
      <c r="B227" s="831"/>
      <c r="C227" s="832"/>
      <c r="D227" s="864"/>
      <c r="E227" s="365"/>
      <c r="F227" s="365"/>
      <c r="G227" s="854"/>
      <c r="H227" s="863"/>
    </row>
    <row r="228" spans="1:8">
      <c r="A228" s="869" t="s">
        <v>1222</v>
      </c>
      <c r="B228" s="826"/>
      <c r="C228" s="826"/>
      <c r="D228" s="871"/>
      <c r="E228" s="872"/>
      <c r="F228" s="872"/>
      <c r="G228" s="873"/>
      <c r="H228" s="874"/>
    </row>
    <row r="229" spans="1:8">
      <c r="A229" s="823" t="s">
        <v>1223</v>
      </c>
      <c r="B229" s="800"/>
      <c r="C229" s="800">
        <v>1</v>
      </c>
      <c r="D229" s="824">
        <v>1</v>
      </c>
      <c r="E229" s="365">
        <v>252</v>
      </c>
      <c r="F229" s="365">
        <v>500</v>
      </c>
      <c r="G229" s="854">
        <f>F229*D229*12</f>
        <v>6000</v>
      </c>
      <c r="H229" s="1065">
        <f>F229*0.8</f>
        <v>400</v>
      </c>
    </row>
    <row r="230" spans="1:8">
      <c r="A230" s="823"/>
      <c r="B230" s="800"/>
      <c r="C230" s="800"/>
      <c r="D230" s="824"/>
      <c r="E230" s="365"/>
      <c r="F230" s="365"/>
      <c r="G230" s="854"/>
      <c r="H230" s="863"/>
    </row>
    <row r="231" spans="1:8">
      <c r="A231" s="856" t="s">
        <v>619</v>
      </c>
      <c r="B231" s="865"/>
      <c r="C231" s="865">
        <f>SUM(C229:C229)</f>
        <v>1</v>
      </c>
      <c r="D231" s="865">
        <f>SUM(D227:D229)</f>
        <v>1</v>
      </c>
      <c r="E231" s="858">
        <f>SUM(E227:E229)</f>
        <v>252</v>
      </c>
      <c r="F231" s="858"/>
      <c r="G231" s="858">
        <f>SUM(G227:G229)</f>
        <v>6000</v>
      </c>
      <c r="H231" s="858">
        <f>SUM(H227:H229)</f>
        <v>400</v>
      </c>
    </row>
    <row r="232" spans="1:8">
      <c r="A232" s="783"/>
      <c r="B232" s="784"/>
      <c r="C232" s="784"/>
      <c r="D232" s="784"/>
      <c r="E232" s="866"/>
      <c r="F232" s="866"/>
      <c r="G232" s="784"/>
      <c r="H232" s="867"/>
    </row>
    <row r="233" spans="1:8">
      <c r="A233" s="868" t="s">
        <v>707</v>
      </c>
      <c r="B233" s="790"/>
      <c r="C233" s="793">
        <f>C229</f>
        <v>1</v>
      </c>
      <c r="D233" s="794">
        <f>D229</f>
        <v>1</v>
      </c>
      <c r="E233" s="792"/>
      <c r="F233" s="792"/>
      <c r="G233" s="875">
        <f>G229</f>
        <v>6000</v>
      </c>
      <c r="H233" s="876"/>
    </row>
    <row r="234" spans="1:8" ht="12" thickBot="1">
      <c r="A234" s="787"/>
      <c r="B234" s="367"/>
      <c r="C234" s="788"/>
      <c r="D234" s="367"/>
      <c r="E234" s="366"/>
      <c r="F234" s="366"/>
      <c r="G234" s="367"/>
      <c r="H234" s="368"/>
    </row>
  </sheetData>
  <autoFilter ref="H1:H222"/>
  <mergeCells count="58">
    <mergeCell ref="A224:H224"/>
    <mergeCell ref="A225:A226"/>
    <mergeCell ref="B225:C225"/>
    <mergeCell ref="D225:D226"/>
    <mergeCell ref="E225:E226"/>
    <mergeCell ref="F225:F226"/>
    <mergeCell ref="G225:G226"/>
    <mergeCell ref="H225:H226"/>
    <mergeCell ref="B226:C226"/>
    <mergeCell ref="A1:H1"/>
    <mergeCell ref="A2:A3"/>
    <mergeCell ref="B2:C2"/>
    <mergeCell ref="D2:D3"/>
    <mergeCell ref="E2:E3"/>
    <mergeCell ref="G2:G3"/>
    <mergeCell ref="H2:H3"/>
    <mergeCell ref="F2:F3"/>
    <mergeCell ref="A60:H60"/>
    <mergeCell ref="A61:A62"/>
    <mergeCell ref="B61:C61"/>
    <mergeCell ref="D61:D62"/>
    <mergeCell ref="E61:E62"/>
    <mergeCell ref="G61:G62"/>
    <mergeCell ref="H61:H62"/>
    <mergeCell ref="F61:F62"/>
    <mergeCell ref="A156:H156"/>
    <mergeCell ref="A157:A158"/>
    <mergeCell ref="B157:C157"/>
    <mergeCell ref="D157:D158"/>
    <mergeCell ref="E157:E158"/>
    <mergeCell ref="G157:G158"/>
    <mergeCell ref="H157:H158"/>
    <mergeCell ref="G210:G211"/>
    <mergeCell ref="H210:H211"/>
    <mergeCell ref="B211:C211"/>
    <mergeCell ref="A185:H185"/>
    <mergeCell ref="A186:A187"/>
    <mergeCell ref="B186:C186"/>
    <mergeCell ref="D186:D187"/>
    <mergeCell ref="E186:E187"/>
    <mergeCell ref="G186:G187"/>
    <mergeCell ref="H186:H187"/>
    <mergeCell ref="A27:D27"/>
    <mergeCell ref="F121:F122"/>
    <mergeCell ref="F186:F187"/>
    <mergeCell ref="F210:F211"/>
    <mergeCell ref="A120:H120"/>
    <mergeCell ref="A121:A122"/>
    <mergeCell ref="B121:C121"/>
    <mergeCell ref="D121:D122"/>
    <mergeCell ref="E121:E122"/>
    <mergeCell ref="G121:G122"/>
    <mergeCell ref="H121:H122"/>
    <mergeCell ref="A209:H209"/>
    <mergeCell ref="A210:A211"/>
    <mergeCell ref="B210:C210"/>
    <mergeCell ref="D210:D211"/>
    <mergeCell ref="E210:E211"/>
  </mergeCells>
  <phoneticPr fontId="5" type="noConversion"/>
  <pageMargins left="0.4" right="0.26" top="0.45" bottom="0.42" header="0" footer="0"/>
  <pageSetup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>
    <tabColor indexed="39"/>
  </sheetPr>
  <dimension ref="A1:U217"/>
  <sheetViews>
    <sheetView topLeftCell="A90" workbookViewId="0">
      <selection activeCell="H104" sqref="H104"/>
    </sheetView>
  </sheetViews>
  <sheetFormatPr baseColWidth="10" defaultColWidth="11.42578125" defaultRowHeight="12.75"/>
  <cols>
    <col min="1" max="1" width="2.85546875" style="92" customWidth="1"/>
    <col min="2" max="2" width="25.140625" bestFit="1" customWidth="1"/>
    <col min="3" max="3" width="12.42578125" style="264" customWidth="1"/>
    <col min="4" max="4" width="5.140625" style="264" customWidth="1"/>
    <col min="5" max="5" width="13" style="392" customWidth="1"/>
    <col min="6" max="6" width="10.7109375" style="92" customWidth="1"/>
    <col min="7" max="7" width="10.42578125" customWidth="1"/>
    <col min="8" max="8" width="10.28515625" customWidth="1"/>
    <col min="9" max="9" width="10" customWidth="1"/>
    <col min="10" max="10" width="0.28515625" hidden="1" customWidth="1"/>
    <col min="11" max="11" width="9" customWidth="1"/>
    <col min="12" max="12" width="11" customWidth="1"/>
    <col min="13" max="13" width="12.140625" style="503" customWidth="1"/>
    <col min="14" max="14" width="12.28515625" bestFit="1" customWidth="1"/>
    <col min="15" max="15" width="6.28515625" customWidth="1"/>
  </cols>
  <sheetData>
    <row r="1" spans="1:21" s="8" customFormat="1">
      <c r="A1" s="1329" t="s">
        <v>597</v>
      </c>
      <c r="B1" s="1329"/>
      <c r="C1" s="1329"/>
      <c r="D1" s="1329"/>
      <c r="E1" s="1329"/>
      <c r="F1" s="1329"/>
      <c r="G1" s="1329"/>
      <c r="H1" s="1329"/>
      <c r="I1" s="1329"/>
      <c r="J1" s="1329"/>
      <c r="K1" s="1329"/>
      <c r="L1" s="1329"/>
      <c r="M1" s="1329"/>
      <c r="N1" s="328"/>
    </row>
    <row r="2" spans="1:21" s="8" customFormat="1">
      <c r="A2" s="1329" t="s">
        <v>598</v>
      </c>
      <c r="B2" s="1329"/>
      <c r="C2" s="1329"/>
      <c r="D2" s="1329"/>
      <c r="E2" s="1329"/>
      <c r="F2" s="1329"/>
      <c r="G2" s="1329"/>
      <c r="H2" s="1329"/>
      <c r="I2" s="1329"/>
      <c r="J2" s="1329"/>
      <c r="K2" s="1329"/>
      <c r="L2" s="1329"/>
      <c r="M2" s="1329"/>
      <c r="N2" s="328"/>
    </row>
    <row r="3" spans="1:21" s="8" customFormat="1">
      <c r="A3" s="1329" t="s">
        <v>870</v>
      </c>
      <c r="B3" s="1329"/>
      <c r="C3" s="1329"/>
      <c r="D3" s="1329"/>
      <c r="E3" s="1329"/>
      <c r="F3" s="1329"/>
      <c r="G3" s="1329"/>
      <c r="H3" s="1329"/>
      <c r="I3" s="1329"/>
      <c r="J3" s="1329"/>
      <c r="K3" s="1329"/>
      <c r="L3" s="1329"/>
      <c r="M3" s="1329"/>
      <c r="N3" s="328"/>
    </row>
    <row r="4" spans="1:21" s="8" customFormat="1" ht="13.5" thickBot="1">
      <c r="A4" s="328"/>
      <c r="B4" s="328" t="s">
        <v>79</v>
      </c>
      <c r="C4" s="328"/>
      <c r="D4" s="328"/>
      <c r="E4" s="369"/>
      <c r="F4" s="328"/>
      <c r="G4" s="328"/>
      <c r="H4" s="328"/>
      <c r="I4" s="328"/>
      <c r="J4" s="328"/>
      <c r="K4" s="328"/>
      <c r="L4" s="446" t="s">
        <v>99</v>
      </c>
      <c r="M4" s="446"/>
      <c r="N4" s="328"/>
    </row>
    <row r="5" spans="1:21" s="8" customFormat="1" ht="13.5" customHeight="1" thickBot="1">
      <c r="A5" s="1339" t="s">
        <v>630</v>
      </c>
      <c r="B5" s="1351" t="s">
        <v>210</v>
      </c>
      <c r="C5" s="1355" t="s">
        <v>631</v>
      </c>
      <c r="D5" s="1363" t="s">
        <v>686</v>
      </c>
      <c r="E5" s="1366" t="s">
        <v>632</v>
      </c>
      <c r="F5" s="1367"/>
      <c r="G5" s="1344" t="s">
        <v>633</v>
      </c>
      <c r="H5" s="1345"/>
      <c r="I5" s="1345"/>
      <c r="J5" s="1345"/>
      <c r="K5" s="1345"/>
      <c r="L5" s="1346"/>
      <c r="M5" s="450" t="s">
        <v>635</v>
      </c>
      <c r="N5" s="328"/>
    </row>
    <row r="6" spans="1:21" s="8" customFormat="1" ht="13.5" customHeight="1">
      <c r="A6" s="1340"/>
      <c r="B6" s="1352"/>
      <c r="C6" s="1356"/>
      <c r="D6" s="1364"/>
      <c r="E6" s="1368"/>
      <c r="F6" s="1331"/>
      <c r="G6" s="1347" t="s">
        <v>638</v>
      </c>
      <c r="H6" s="1342" t="s">
        <v>634</v>
      </c>
      <c r="I6" s="1343"/>
      <c r="J6" s="1343"/>
      <c r="K6" s="1343"/>
      <c r="L6" s="1361" t="s">
        <v>415</v>
      </c>
      <c r="M6" s="335"/>
      <c r="N6" s="328"/>
    </row>
    <row r="7" spans="1:21" s="8" customFormat="1" ht="21" customHeight="1">
      <c r="A7" s="1340"/>
      <c r="B7" s="1352"/>
      <c r="C7" s="1356"/>
      <c r="D7" s="1364"/>
      <c r="E7" s="1368"/>
      <c r="F7" s="1331"/>
      <c r="G7" s="1347"/>
      <c r="H7" s="280" t="s">
        <v>293</v>
      </c>
      <c r="I7" s="1348" t="s">
        <v>292</v>
      </c>
      <c r="J7" s="1349"/>
      <c r="K7" s="1349"/>
      <c r="L7" s="1361"/>
      <c r="M7" s="335"/>
      <c r="N7" s="328"/>
    </row>
    <row r="8" spans="1:21" s="8" customFormat="1" ht="13.5" customHeight="1">
      <c r="A8" s="1341"/>
      <c r="B8" s="1352"/>
      <c r="C8" s="1356"/>
      <c r="D8" s="1370"/>
      <c r="E8" s="370" t="s">
        <v>636</v>
      </c>
      <c r="F8" s="371" t="s">
        <v>637</v>
      </c>
      <c r="G8" s="1347"/>
      <c r="H8" s="372" t="s">
        <v>639</v>
      </c>
      <c r="I8" s="373" t="s">
        <v>640</v>
      </c>
      <c r="J8" s="374" t="s">
        <v>296</v>
      </c>
      <c r="K8" s="374" t="s">
        <v>641</v>
      </c>
      <c r="L8" s="1361"/>
      <c r="M8" s="375" t="s">
        <v>643</v>
      </c>
      <c r="N8" s="376"/>
      <c r="P8" s="8" t="s">
        <v>81</v>
      </c>
      <c r="Q8" s="8" t="s">
        <v>82</v>
      </c>
      <c r="R8" s="8" t="s">
        <v>83</v>
      </c>
      <c r="S8" s="8" t="s">
        <v>84</v>
      </c>
    </row>
    <row r="9" spans="1:21" s="92" customFormat="1" ht="17.25" customHeight="1">
      <c r="A9" s="465">
        <v>1</v>
      </c>
      <c r="B9" s="490" t="s">
        <v>708</v>
      </c>
      <c r="C9" s="490" t="s">
        <v>709</v>
      </c>
      <c r="D9" s="467" t="s">
        <v>541</v>
      </c>
      <c r="E9" s="491">
        <v>2560</v>
      </c>
      <c r="F9" s="89">
        <f t="shared" ref="F9:F26" si="0">E9*12</f>
        <v>30720</v>
      </c>
      <c r="G9" s="469">
        <f>'SUELDOS '!H5</f>
        <v>1863.6799999999998</v>
      </c>
      <c r="H9" s="469">
        <f t="shared" ref="H9:H26" si="1">F9*6.75%</f>
        <v>2073.6000000000004</v>
      </c>
      <c r="I9" s="89">
        <f>51.43*12</f>
        <v>617.16</v>
      </c>
      <c r="J9" s="89"/>
      <c r="K9" s="469"/>
      <c r="L9" s="470">
        <f t="shared" ref="L9:L26" si="2">SUM(G9:K9)</f>
        <v>4554.4400000000005</v>
      </c>
      <c r="M9" s="498">
        <f t="shared" ref="M9:M26" si="3">L9+F9</f>
        <v>35274.44</v>
      </c>
      <c r="N9" s="338"/>
      <c r="O9" s="300" t="s">
        <v>432</v>
      </c>
      <c r="P9" s="300">
        <f>SUM(F9:F12)</f>
        <v>66300</v>
      </c>
      <c r="Q9" s="300" t="e">
        <f>SUM(G9:G15)</f>
        <v>#REF!</v>
      </c>
      <c r="R9" s="300">
        <f>SUM(H9:H15)</f>
        <v>5771.2500000000009</v>
      </c>
      <c r="S9" s="300">
        <f>SUM(I9:I15)</f>
        <v>3751.14</v>
      </c>
      <c r="T9" s="300">
        <f>SUM(J9:J15)</f>
        <v>0</v>
      </c>
      <c r="U9" s="300">
        <f>SUM(K9:K15)</f>
        <v>0</v>
      </c>
    </row>
    <row r="10" spans="1:21" s="480" customFormat="1" ht="17.25" customHeight="1">
      <c r="A10" s="465">
        <f>A9+1</f>
        <v>2</v>
      </c>
      <c r="B10" s="490" t="s">
        <v>710</v>
      </c>
      <c r="C10" s="490" t="s">
        <v>601</v>
      </c>
      <c r="D10" s="487" t="s">
        <v>541</v>
      </c>
      <c r="E10" s="492">
        <v>1240</v>
      </c>
      <c r="F10" s="89">
        <f t="shared" si="0"/>
        <v>14880</v>
      </c>
      <c r="G10" s="469" t="e">
        <f>'SUELDOS '!#REF!</f>
        <v>#REF!</v>
      </c>
      <c r="H10" s="469">
        <f t="shared" si="1"/>
        <v>1004.4000000000001</v>
      </c>
      <c r="I10" s="89">
        <f>51.43*12</f>
        <v>617.16</v>
      </c>
      <c r="J10" s="89"/>
      <c r="K10" s="469"/>
      <c r="L10" s="470" t="e">
        <f t="shared" si="2"/>
        <v>#REF!</v>
      </c>
      <c r="M10" s="498" t="e">
        <f t="shared" si="3"/>
        <v>#REF!</v>
      </c>
      <c r="N10" s="338"/>
      <c r="O10" s="300" t="s">
        <v>433</v>
      </c>
      <c r="P10" s="493">
        <f>SUM(F13:F20)</f>
        <v>58344</v>
      </c>
      <c r="Q10" s="493" t="e">
        <f>SUM(G16:G20)</f>
        <v>#REF!</v>
      </c>
      <c r="R10" s="493">
        <f>SUM(H16:H20)</f>
        <v>2642.2200000000003</v>
      </c>
      <c r="S10" s="493">
        <f>SUM(I16:I20)</f>
        <v>2537.2799999999997</v>
      </c>
      <c r="T10" s="493">
        <f>SUM(J16:J20)</f>
        <v>0</v>
      </c>
      <c r="U10" s="493">
        <f>SUM(K16:K20)</f>
        <v>0</v>
      </c>
    </row>
    <row r="11" spans="1:21" s="92" customFormat="1" ht="17.25" customHeight="1">
      <c r="A11" s="465">
        <f t="shared" ref="A11:A26" si="4">A10+1</f>
        <v>3</v>
      </c>
      <c r="B11" s="466" t="s">
        <v>711</v>
      </c>
      <c r="C11" s="466" t="s">
        <v>489</v>
      </c>
      <c r="D11" s="467" t="s">
        <v>541</v>
      </c>
      <c r="E11" s="492">
        <v>1100</v>
      </c>
      <c r="F11" s="89">
        <f t="shared" si="0"/>
        <v>13200</v>
      </c>
      <c r="G11" s="469">
        <f>'SUELDOS '!H19</f>
        <v>800.8</v>
      </c>
      <c r="H11" s="469">
        <f t="shared" si="1"/>
        <v>891.00000000000011</v>
      </c>
      <c r="I11" s="89">
        <f>51.43*12</f>
        <v>617.16</v>
      </c>
      <c r="J11" s="89"/>
      <c r="K11" s="469"/>
      <c r="L11" s="470">
        <f t="shared" si="2"/>
        <v>2308.96</v>
      </c>
      <c r="M11" s="498">
        <f t="shared" si="3"/>
        <v>15508.96</v>
      </c>
      <c r="N11" s="338"/>
      <c r="O11" s="300" t="s">
        <v>434</v>
      </c>
      <c r="P11" s="300">
        <f>SUM(F21:F55,F56:F70)</f>
        <v>282295.19999999995</v>
      </c>
      <c r="Q11" s="300" t="e">
        <f>SUM(G21:G55,G56:G70)</f>
        <v>#REF!</v>
      </c>
      <c r="R11" s="300">
        <f>SUM(H21:H55,H56:H70)</f>
        <v>18791.675999999999</v>
      </c>
      <c r="S11" s="300">
        <f>SUM(I21:I55,I56:I70)</f>
        <v>17874.419999999998</v>
      </c>
      <c r="T11" s="300">
        <f>SUM(J21:J55,J56:J65)</f>
        <v>0</v>
      </c>
      <c r="U11" s="300">
        <f>SUM(K21:K55,K56:K65)</f>
        <v>234</v>
      </c>
    </row>
    <row r="12" spans="1:21" s="92" customFormat="1" ht="17.25" customHeight="1">
      <c r="A12" s="465">
        <f t="shared" si="4"/>
        <v>4</v>
      </c>
      <c r="B12" s="494" t="s">
        <v>85</v>
      </c>
      <c r="C12" s="466" t="s">
        <v>739</v>
      </c>
      <c r="D12" s="487" t="s">
        <v>541</v>
      </c>
      <c r="E12" s="492">
        <v>625</v>
      </c>
      <c r="F12" s="89">
        <f t="shared" si="0"/>
        <v>7500</v>
      </c>
      <c r="G12" s="469">
        <f>'SUELDOS '!H11</f>
        <v>744.24699999999996</v>
      </c>
      <c r="H12" s="469">
        <f t="shared" si="1"/>
        <v>506.25000000000006</v>
      </c>
      <c r="I12" s="89">
        <f>F12*7.5%</f>
        <v>562.5</v>
      </c>
      <c r="J12" s="89"/>
      <c r="K12" s="469"/>
      <c r="L12" s="470">
        <f t="shared" si="2"/>
        <v>1812.9970000000001</v>
      </c>
      <c r="M12" s="498">
        <f t="shared" si="3"/>
        <v>9312.9969999999994</v>
      </c>
      <c r="N12" s="338"/>
      <c r="O12" s="300"/>
      <c r="P12" s="300">
        <f t="shared" ref="P12:U12" si="5">SUM(P9:P11)</f>
        <v>406939.19999999995</v>
      </c>
      <c r="Q12" s="300" t="e">
        <f t="shared" si="5"/>
        <v>#REF!</v>
      </c>
      <c r="R12" s="300">
        <f t="shared" si="5"/>
        <v>27205.146000000001</v>
      </c>
      <c r="S12" s="300">
        <f t="shared" si="5"/>
        <v>24162.839999999997</v>
      </c>
      <c r="T12" s="300">
        <f t="shared" si="5"/>
        <v>0</v>
      </c>
      <c r="U12" s="300">
        <f t="shared" si="5"/>
        <v>234</v>
      </c>
    </row>
    <row r="13" spans="1:21" s="92" customFormat="1" ht="17.25" customHeight="1">
      <c r="A13" s="465">
        <f t="shared" si="4"/>
        <v>5</v>
      </c>
      <c r="B13" s="466" t="s">
        <v>712</v>
      </c>
      <c r="C13" s="466" t="s">
        <v>713</v>
      </c>
      <c r="D13" s="467" t="s">
        <v>552</v>
      </c>
      <c r="E13" s="492">
        <v>800</v>
      </c>
      <c r="F13" s="89">
        <f t="shared" si="0"/>
        <v>9600</v>
      </c>
      <c r="G13" s="469">
        <f>'SUELDOS '!H14</f>
        <v>655.19999999999993</v>
      </c>
      <c r="H13" s="469">
        <f t="shared" si="1"/>
        <v>648</v>
      </c>
      <c r="I13" s="89">
        <f>51.43*12</f>
        <v>617.16</v>
      </c>
      <c r="J13" s="89"/>
      <c r="K13" s="469"/>
      <c r="L13" s="470">
        <f t="shared" si="2"/>
        <v>1920.3599999999997</v>
      </c>
      <c r="M13" s="498">
        <f t="shared" si="3"/>
        <v>11520.36</v>
      </c>
      <c r="N13" s="338"/>
      <c r="Q13" s="92" t="s">
        <v>86</v>
      </c>
    </row>
    <row r="14" spans="1:21" s="92" customFormat="1" ht="17.25" customHeight="1">
      <c r="A14" s="465">
        <f t="shared" si="4"/>
        <v>6</v>
      </c>
      <c r="B14" s="466" t="s">
        <v>771</v>
      </c>
      <c r="C14" s="466" t="s">
        <v>772</v>
      </c>
      <c r="D14" s="467" t="s">
        <v>552</v>
      </c>
      <c r="E14" s="492">
        <v>300</v>
      </c>
      <c r="F14" s="89">
        <f t="shared" si="0"/>
        <v>3600</v>
      </c>
      <c r="G14" s="469">
        <f>'SUELDOS '!H15</f>
        <v>377.55</v>
      </c>
      <c r="H14" s="469">
        <f t="shared" si="1"/>
        <v>243.00000000000003</v>
      </c>
      <c r="I14" s="89">
        <f>F14*7.5%</f>
        <v>270</v>
      </c>
      <c r="J14" s="89"/>
      <c r="K14" s="469"/>
      <c r="L14" s="470">
        <f>SUM(G14:K14)</f>
        <v>890.55000000000007</v>
      </c>
      <c r="M14" s="498">
        <f>L14+F14</f>
        <v>4490.55</v>
      </c>
      <c r="N14" s="338"/>
    </row>
    <row r="15" spans="1:21" s="92" customFormat="1" ht="17.25" customHeight="1">
      <c r="A15" s="465">
        <f t="shared" si="4"/>
        <v>7</v>
      </c>
      <c r="B15" s="466" t="s">
        <v>274</v>
      </c>
      <c r="C15" s="466" t="s">
        <v>655</v>
      </c>
      <c r="D15" s="467" t="s">
        <v>552</v>
      </c>
      <c r="E15" s="492">
        <v>500</v>
      </c>
      <c r="F15" s="89">
        <f t="shared" si="0"/>
        <v>6000</v>
      </c>
      <c r="G15" s="469">
        <f>'SUELDOS '!H16</f>
        <v>436</v>
      </c>
      <c r="H15" s="469">
        <f t="shared" si="1"/>
        <v>405</v>
      </c>
      <c r="I15" s="89">
        <f>F15*7.5%</f>
        <v>450</v>
      </c>
      <c r="J15" s="89"/>
      <c r="K15" s="469"/>
      <c r="L15" s="470">
        <f t="shared" si="2"/>
        <v>1291</v>
      </c>
      <c r="M15" s="498">
        <f t="shared" si="3"/>
        <v>7291</v>
      </c>
      <c r="N15" s="338"/>
      <c r="O15" s="300" t="s">
        <v>432</v>
      </c>
      <c r="P15" s="300"/>
      <c r="Q15" s="300"/>
      <c r="R15" s="300"/>
    </row>
    <row r="16" spans="1:21" s="92" customFormat="1" ht="17.25" customHeight="1">
      <c r="A16" s="465">
        <f t="shared" si="4"/>
        <v>8</v>
      </c>
      <c r="B16" s="466" t="s">
        <v>768</v>
      </c>
      <c r="C16" s="466" t="s">
        <v>24</v>
      </c>
      <c r="D16" s="467" t="s">
        <v>552</v>
      </c>
      <c r="E16" s="492">
        <v>900</v>
      </c>
      <c r="F16" s="89">
        <f t="shared" si="0"/>
        <v>10800</v>
      </c>
      <c r="G16" s="469">
        <f>'SUELDOS '!H28</f>
        <v>700</v>
      </c>
      <c r="H16" s="469">
        <f t="shared" si="1"/>
        <v>729</v>
      </c>
      <c r="I16" s="89">
        <f>51.43*12</f>
        <v>617.16</v>
      </c>
      <c r="J16" s="89"/>
      <c r="K16" s="469"/>
      <c r="L16" s="470">
        <f t="shared" si="2"/>
        <v>2046.1599999999999</v>
      </c>
      <c r="M16" s="498">
        <f t="shared" si="3"/>
        <v>12846.16</v>
      </c>
      <c r="N16" s="338"/>
      <c r="O16" s="300" t="s">
        <v>433</v>
      </c>
      <c r="P16" s="300"/>
      <c r="Q16" s="300"/>
      <c r="R16" s="493"/>
    </row>
    <row r="17" spans="1:18" s="92" customFormat="1" ht="17.25" customHeight="1">
      <c r="A17" s="465">
        <f t="shared" si="4"/>
        <v>9</v>
      </c>
      <c r="B17" s="466" t="s">
        <v>873</v>
      </c>
      <c r="C17" s="466" t="s">
        <v>770</v>
      </c>
      <c r="D17" s="467" t="s">
        <v>552</v>
      </c>
      <c r="E17" s="492">
        <v>800</v>
      </c>
      <c r="F17" s="89">
        <f t="shared" si="0"/>
        <v>9600</v>
      </c>
      <c r="G17" s="469" t="e">
        <f>'SUELDOS '!#REF!</f>
        <v>#REF!</v>
      </c>
      <c r="H17" s="469">
        <f t="shared" si="1"/>
        <v>648</v>
      </c>
      <c r="I17" s="89">
        <f>51.43*12</f>
        <v>617.16</v>
      </c>
      <c r="J17" s="89"/>
      <c r="K17" s="469"/>
      <c r="L17" s="470" t="e">
        <f>SUM(G17:K17)</f>
        <v>#REF!</v>
      </c>
      <c r="M17" s="498" t="e">
        <f>L17+F17</f>
        <v>#REF!</v>
      </c>
      <c r="N17" s="338"/>
      <c r="O17" s="300"/>
      <c r="P17" s="300"/>
      <c r="Q17" s="300"/>
      <c r="R17" s="493"/>
    </row>
    <row r="18" spans="1:18" s="92" customFormat="1" ht="17.25" customHeight="1">
      <c r="A18" s="465">
        <f t="shared" si="4"/>
        <v>10</v>
      </c>
      <c r="B18" s="466" t="s">
        <v>276</v>
      </c>
      <c r="C18" s="466" t="s">
        <v>187</v>
      </c>
      <c r="D18" s="467" t="s">
        <v>552</v>
      </c>
      <c r="E18" s="492">
        <v>462</v>
      </c>
      <c r="F18" s="89">
        <f t="shared" si="0"/>
        <v>5544</v>
      </c>
      <c r="G18" s="469">
        <f>'SUELDOS '!H29</f>
        <v>429.6</v>
      </c>
      <c r="H18" s="469">
        <f t="shared" si="1"/>
        <v>374.22</v>
      </c>
      <c r="I18" s="89">
        <f>F18*7.5%</f>
        <v>415.8</v>
      </c>
      <c r="J18" s="89"/>
      <c r="K18" s="469"/>
      <c r="L18" s="470">
        <f t="shared" si="2"/>
        <v>1219.6200000000001</v>
      </c>
      <c r="M18" s="498">
        <f t="shared" si="3"/>
        <v>6763.62</v>
      </c>
      <c r="N18" s="338"/>
      <c r="O18" s="300" t="s">
        <v>434</v>
      </c>
      <c r="P18" s="300"/>
      <c r="Q18" s="300"/>
      <c r="R18" s="300"/>
    </row>
    <row r="19" spans="1:18" s="92" customFormat="1" ht="17.25" customHeight="1">
      <c r="A19" s="465">
        <f t="shared" si="4"/>
        <v>11</v>
      </c>
      <c r="B19" s="466" t="s">
        <v>714</v>
      </c>
      <c r="C19" s="466" t="s">
        <v>656</v>
      </c>
      <c r="D19" s="467" t="s">
        <v>552</v>
      </c>
      <c r="E19" s="492">
        <v>800</v>
      </c>
      <c r="F19" s="89">
        <f t="shared" si="0"/>
        <v>9600</v>
      </c>
      <c r="G19" s="469">
        <f>'SUELDOS '!H24</f>
        <v>655.19999999999993</v>
      </c>
      <c r="H19" s="469">
        <f t="shared" si="1"/>
        <v>648</v>
      </c>
      <c r="I19" s="89">
        <f>51.43*12</f>
        <v>617.16</v>
      </c>
      <c r="J19" s="89"/>
      <c r="K19" s="469"/>
      <c r="L19" s="470">
        <f t="shared" si="2"/>
        <v>1920.3599999999997</v>
      </c>
      <c r="M19" s="498">
        <f t="shared" si="3"/>
        <v>11520.36</v>
      </c>
      <c r="N19" s="338"/>
    </row>
    <row r="20" spans="1:18" s="92" customFormat="1" ht="17.25" customHeight="1">
      <c r="A20" s="465">
        <f t="shared" si="4"/>
        <v>12</v>
      </c>
      <c r="B20" s="495" t="s">
        <v>872</v>
      </c>
      <c r="C20" s="466" t="s">
        <v>188</v>
      </c>
      <c r="D20" s="467" t="s">
        <v>552</v>
      </c>
      <c r="E20" s="492">
        <v>300</v>
      </c>
      <c r="F20" s="89">
        <f t="shared" si="0"/>
        <v>3600</v>
      </c>
      <c r="G20" s="469">
        <f>'SUELDOS '!H25</f>
        <v>377.55</v>
      </c>
      <c r="H20" s="469">
        <f t="shared" si="1"/>
        <v>243.00000000000003</v>
      </c>
      <c r="I20" s="89">
        <f t="shared" ref="I20:I26" si="6">F20*7.5%</f>
        <v>270</v>
      </c>
      <c r="J20" s="89"/>
      <c r="K20" s="469"/>
      <c r="L20" s="470">
        <f t="shared" si="2"/>
        <v>890.55000000000007</v>
      </c>
      <c r="M20" s="498">
        <f t="shared" si="3"/>
        <v>4490.55</v>
      </c>
      <c r="N20" s="338"/>
      <c r="O20" s="300"/>
    </row>
    <row r="21" spans="1:18" s="92" customFormat="1" ht="17.25" customHeight="1">
      <c r="A21" s="465">
        <f t="shared" si="4"/>
        <v>13</v>
      </c>
      <c r="B21" s="466" t="s">
        <v>657</v>
      </c>
      <c r="C21" s="466" t="s">
        <v>275</v>
      </c>
      <c r="D21" s="467" t="s">
        <v>558</v>
      </c>
      <c r="E21" s="468">
        <v>410</v>
      </c>
      <c r="F21" s="89">
        <f t="shared" si="0"/>
        <v>4920</v>
      </c>
      <c r="G21" s="469">
        <f>'SUELDOS '!H42</f>
        <v>416</v>
      </c>
      <c r="H21" s="469">
        <f t="shared" si="1"/>
        <v>332.1</v>
      </c>
      <c r="I21" s="89">
        <f t="shared" si="6"/>
        <v>369</v>
      </c>
      <c r="J21" s="89"/>
      <c r="K21" s="469"/>
      <c r="L21" s="470">
        <f t="shared" si="2"/>
        <v>1117.0999999999999</v>
      </c>
      <c r="M21" s="498">
        <f t="shared" si="3"/>
        <v>6037.1</v>
      </c>
      <c r="N21" s="338"/>
      <c r="O21" s="300"/>
    </row>
    <row r="22" spans="1:18" s="92" customFormat="1" ht="17.25" customHeight="1">
      <c r="A22" s="465">
        <f t="shared" si="4"/>
        <v>14</v>
      </c>
      <c r="B22" s="466" t="s">
        <v>683</v>
      </c>
      <c r="C22" s="466" t="s">
        <v>189</v>
      </c>
      <c r="D22" s="467" t="s">
        <v>558</v>
      </c>
      <c r="E22" s="468">
        <v>350</v>
      </c>
      <c r="F22" s="89">
        <f t="shared" si="0"/>
        <v>4200</v>
      </c>
      <c r="G22" s="469">
        <f>'SUELDOS '!H43</f>
        <v>755.1</v>
      </c>
      <c r="H22" s="469">
        <f t="shared" si="1"/>
        <v>283.5</v>
      </c>
      <c r="I22" s="89">
        <f t="shared" si="6"/>
        <v>315</v>
      </c>
      <c r="J22" s="89"/>
      <c r="K22" s="469"/>
      <c r="L22" s="470">
        <f t="shared" si="2"/>
        <v>1353.6</v>
      </c>
      <c r="M22" s="498">
        <f t="shared" si="3"/>
        <v>5553.6</v>
      </c>
      <c r="N22" s="338"/>
      <c r="O22" s="300"/>
    </row>
    <row r="23" spans="1:18" s="92" customFormat="1" ht="17.25" customHeight="1">
      <c r="A23" s="465">
        <f t="shared" si="4"/>
        <v>15</v>
      </c>
      <c r="B23" s="496" t="s">
        <v>87</v>
      </c>
      <c r="C23" s="466" t="s">
        <v>189</v>
      </c>
      <c r="D23" s="467" t="s">
        <v>558</v>
      </c>
      <c r="E23" s="468">
        <v>300</v>
      </c>
      <c r="F23" s="89">
        <f t="shared" si="0"/>
        <v>3600</v>
      </c>
      <c r="G23" s="469">
        <f>'SUELDOS '!H45</f>
        <v>0</v>
      </c>
      <c r="H23" s="469">
        <f t="shared" si="1"/>
        <v>243.00000000000003</v>
      </c>
      <c r="I23" s="89">
        <f t="shared" si="6"/>
        <v>270</v>
      </c>
      <c r="J23" s="89"/>
      <c r="K23" s="469"/>
      <c r="L23" s="470">
        <f t="shared" si="2"/>
        <v>513</v>
      </c>
      <c r="M23" s="498">
        <f t="shared" si="3"/>
        <v>4113</v>
      </c>
      <c r="N23" s="338"/>
      <c r="O23" s="300"/>
    </row>
    <row r="24" spans="1:18" s="92" customFormat="1" ht="17.25" customHeight="1">
      <c r="A24" s="465">
        <f t="shared" si="4"/>
        <v>16</v>
      </c>
      <c r="B24" s="466" t="s">
        <v>659</v>
      </c>
      <c r="C24" s="466" t="s">
        <v>277</v>
      </c>
      <c r="D24" s="467" t="s">
        <v>558</v>
      </c>
      <c r="E24" s="468">
        <v>442.4</v>
      </c>
      <c r="F24" s="89">
        <f t="shared" si="0"/>
        <v>5308.7999999999993</v>
      </c>
      <c r="G24" s="469">
        <f>'SUELDOS '!H34</f>
        <v>377.55</v>
      </c>
      <c r="H24" s="469">
        <f t="shared" si="1"/>
        <v>358.34399999999999</v>
      </c>
      <c r="I24" s="89">
        <f t="shared" si="6"/>
        <v>398.15999999999991</v>
      </c>
      <c r="J24" s="89"/>
      <c r="K24" s="469"/>
      <c r="L24" s="470">
        <f t="shared" si="2"/>
        <v>1134.0539999999999</v>
      </c>
      <c r="M24" s="498">
        <f t="shared" si="3"/>
        <v>6442.8539999999994</v>
      </c>
      <c r="N24" s="338"/>
    </row>
    <row r="25" spans="1:18" s="92" customFormat="1" ht="17.25" customHeight="1">
      <c r="A25" s="465">
        <f t="shared" si="4"/>
        <v>17</v>
      </c>
      <c r="B25" s="466" t="s">
        <v>658</v>
      </c>
      <c r="C25" s="497" t="s">
        <v>715</v>
      </c>
      <c r="D25" s="467" t="s">
        <v>558</v>
      </c>
      <c r="E25" s="468">
        <v>422.65</v>
      </c>
      <c r="F25" s="89">
        <f t="shared" si="0"/>
        <v>5071.7999999999993</v>
      </c>
      <c r="G25" s="469">
        <f>'SUELDOS '!H35</f>
        <v>377.55</v>
      </c>
      <c r="H25" s="469">
        <f t="shared" si="1"/>
        <v>342.34649999999999</v>
      </c>
      <c r="I25" s="89">
        <f t="shared" si="6"/>
        <v>380.38499999999993</v>
      </c>
      <c r="J25" s="89"/>
      <c r="K25" s="469"/>
      <c r="L25" s="470">
        <f t="shared" si="2"/>
        <v>1100.2815000000001</v>
      </c>
      <c r="M25" s="498">
        <f t="shared" si="3"/>
        <v>6172.0814999999993</v>
      </c>
      <c r="N25" s="338"/>
    </row>
    <row r="26" spans="1:18" s="92" customFormat="1" ht="17.25" customHeight="1">
      <c r="A26" s="465">
        <f t="shared" si="4"/>
        <v>18</v>
      </c>
      <c r="B26" s="466" t="s">
        <v>684</v>
      </c>
      <c r="C26" s="466" t="s">
        <v>280</v>
      </c>
      <c r="D26" s="467" t="s">
        <v>558</v>
      </c>
      <c r="E26" s="468">
        <v>393.75</v>
      </c>
      <c r="F26" s="89">
        <f t="shared" si="0"/>
        <v>4725</v>
      </c>
      <c r="G26" s="469">
        <f>'SUELDOS '!H36</f>
        <v>377.55</v>
      </c>
      <c r="H26" s="469">
        <f t="shared" si="1"/>
        <v>318.9375</v>
      </c>
      <c r="I26" s="89">
        <f t="shared" si="6"/>
        <v>354.375</v>
      </c>
      <c r="J26" s="89"/>
      <c r="K26" s="469"/>
      <c r="L26" s="470">
        <f t="shared" si="2"/>
        <v>1050.8625</v>
      </c>
      <c r="M26" s="498">
        <f t="shared" si="3"/>
        <v>5775.8625000000002</v>
      </c>
      <c r="N26" s="338" t="e">
        <f>SUM(M9:M26)</f>
        <v>#REF!</v>
      </c>
    </row>
    <row r="27" spans="1:18" s="379" customFormat="1" ht="18" customHeight="1">
      <c r="A27" s="1369" t="s">
        <v>415</v>
      </c>
      <c r="B27" s="1369"/>
      <c r="C27" s="1369"/>
      <c r="D27" s="1369"/>
      <c r="E27" s="377">
        <f>SUM(E9:E26)</f>
        <v>12705.8</v>
      </c>
      <c r="F27" s="468">
        <f t="shared" ref="F27:M27" si="7">SUM(F9:F26)</f>
        <v>152469.59999999998</v>
      </c>
      <c r="G27" s="468" t="e">
        <f t="shared" si="7"/>
        <v>#REF!</v>
      </c>
      <c r="H27" s="468">
        <f t="shared" si="7"/>
        <v>10291.698</v>
      </c>
      <c r="I27" s="468">
        <f t="shared" si="7"/>
        <v>8375.34</v>
      </c>
      <c r="J27" s="468">
        <f t="shared" si="7"/>
        <v>0</v>
      </c>
      <c r="K27" s="468">
        <f t="shared" si="7"/>
        <v>0</v>
      </c>
      <c r="L27" s="377" t="e">
        <f t="shared" si="7"/>
        <v>#REF!</v>
      </c>
      <c r="M27" s="377" t="e">
        <f t="shared" si="7"/>
        <v>#REF!</v>
      </c>
      <c r="N27" s="378"/>
      <c r="O27" s="329" t="s">
        <v>793</v>
      </c>
      <c r="P27" s="464" t="e">
        <f>SUM(M48:M55,M56:M70,M105)</f>
        <v>#REF!</v>
      </c>
    </row>
    <row r="28" spans="1:18" s="379" customFormat="1" ht="18" hidden="1" customHeight="1">
      <c r="A28" s="380"/>
      <c r="B28" s="380"/>
      <c r="C28" s="380"/>
      <c r="D28" s="380"/>
      <c r="E28" s="361"/>
      <c r="F28" s="378"/>
      <c r="G28" s="378"/>
      <c r="H28" s="378"/>
      <c r="I28" s="378"/>
      <c r="J28" s="378"/>
      <c r="K28" s="378"/>
      <c r="L28" s="378"/>
      <c r="M28" s="378"/>
      <c r="N28" s="378"/>
    </row>
    <row r="29" spans="1:18" s="379" customFormat="1" ht="18" hidden="1" customHeight="1">
      <c r="A29" s="380"/>
      <c r="B29" s="380"/>
      <c r="C29" s="380"/>
      <c r="D29" s="380"/>
      <c r="E29" s="361"/>
      <c r="F29" s="378"/>
      <c r="G29" s="378"/>
      <c r="H29" s="378"/>
      <c r="I29" s="378"/>
      <c r="J29" s="378"/>
      <c r="K29" s="378"/>
      <c r="L29" s="378"/>
      <c r="M29" s="378"/>
      <c r="N29" s="378"/>
    </row>
    <row r="30" spans="1:18" s="379" customFormat="1" ht="18" hidden="1" customHeight="1">
      <c r="A30" s="380"/>
      <c r="B30" s="380"/>
      <c r="C30" s="380"/>
      <c r="D30" s="380"/>
      <c r="E30" s="361"/>
      <c r="F30" s="378"/>
      <c r="G30" s="378"/>
      <c r="H30" s="378"/>
      <c r="I30" s="378"/>
      <c r="J30" s="378"/>
      <c r="K30" s="378"/>
      <c r="L30" s="378"/>
      <c r="M30" s="378"/>
      <c r="N30" s="378"/>
    </row>
    <row r="31" spans="1:18" s="379" customFormat="1" ht="18" hidden="1" customHeight="1">
      <c r="A31" s="380"/>
      <c r="B31" s="380"/>
      <c r="C31" s="380"/>
      <c r="D31" s="380"/>
      <c r="E31" s="361"/>
      <c r="F31" s="378"/>
      <c r="G31" s="378"/>
      <c r="H31" s="378"/>
      <c r="I31" s="378"/>
      <c r="J31" s="378"/>
      <c r="K31" s="378"/>
      <c r="L31" s="378"/>
      <c r="M31" s="378"/>
      <c r="N31" s="378"/>
    </row>
    <row r="32" spans="1:18" s="379" customFormat="1" ht="18" customHeight="1">
      <c r="A32" s="380"/>
      <c r="B32" s="380"/>
      <c r="C32" s="380"/>
      <c r="D32" s="380"/>
      <c r="E32" s="361"/>
      <c r="F32" s="378"/>
      <c r="G32" s="378"/>
      <c r="H32" s="378"/>
      <c r="I32" s="378"/>
      <c r="J32" s="378"/>
      <c r="K32" s="378"/>
      <c r="L32" s="378"/>
      <c r="M32" s="378"/>
      <c r="N32" s="378"/>
    </row>
    <row r="33" spans="1:16" s="379" customFormat="1" ht="18" customHeight="1">
      <c r="A33" s="380"/>
      <c r="B33" s="380"/>
      <c r="C33" s="380"/>
      <c r="D33" s="380"/>
      <c r="E33" s="361"/>
      <c r="F33" s="378"/>
      <c r="G33" s="378"/>
      <c r="H33" s="378"/>
      <c r="I33" s="378"/>
      <c r="J33" s="378"/>
      <c r="K33" s="378"/>
      <c r="L33" s="378"/>
      <c r="M33" s="378"/>
      <c r="N33" s="378"/>
    </row>
    <row r="34" spans="1:16" s="379" customFormat="1" ht="18" customHeight="1">
      <c r="A34" s="380"/>
      <c r="B34" s="380"/>
      <c r="C34" s="380"/>
      <c r="D34" s="380"/>
      <c r="E34" s="361"/>
      <c r="F34" s="378"/>
      <c r="G34" s="378"/>
      <c r="H34" s="378"/>
      <c r="I34" s="378"/>
      <c r="J34" s="378"/>
      <c r="K34" s="378"/>
      <c r="L34" s="378"/>
      <c r="M34" s="378"/>
      <c r="N34" s="378"/>
    </row>
    <row r="35" spans="1:16" s="379" customFormat="1" ht="18" customHeight="1">
      <c r="A35" s="380"/>
      <c r="B35" s="380"/>
      <c r="C35" s="380"/>
      <c r="D35" s="380"/>
      <c r="E35" s="361"/>
      <c r="F35" s="378"/>
      <c r="G35" s="378"/>
      <c r="H35" s="378"/>
      <c r="I35" s="378"/>
      <c r="J35" s="378"/>
      <c r="K35" s="378"/>
      <c r="L35" s="378"/>
      <c r="M35" s="378"/>
      <c r="N35" s="378"/>
    </row>
    <row r="36" spans="1:16" s="379" customFormat="1" ht="18" customHeight="1">
      <c r="A36" s="380"/>
      <c r="B36" s="380"/>
      <c r="C36" s="380"/>
      <c r="D36" s="380"/>
      <c r="E36" s="361"/>
      <c r="F36" s="378"/>
      <c r="G36" s="378"/>
      <c r="H36" s="378"/>
      <c r="I36" s="378"/>
      <c r="J36" s="378"/>
      <c r="K36" s="378"/>
      <c r="L36" s="378"/>
      <c r="M36" s="378"/>
      <c r="N36" s="378"/>
    </row>
    <row r="37" spans="1:16" s="379" customFormat="1" ht="18" customHeight="1">
      <c r="A37" s="380"/>
      <c r="B37" s="380"/>
      <c r="C37" s="380"/>
      <c r="D37" s="380"/>
      <c r="E37" s="361"/>
      <c r="F37" s="378"/>
      <c r="G37" s="378"/>
      <c r="H37" s="378"/>
      <c r="I37" s="378"/>
      <c r="J37" s="378"/>
      <c r="K37" s="378"/>
      <c r="L37" s="378"/>
      <c r="M37" s="378"/>
      <c r="N37" s="378"/>
    </row>
    <row r="38" spans="1:16" s="379" customFormat="1" ht="18" customHeight="1">
      <c r="A38" s="380"/>
      <c r="B38" s="380"/>
      <c r="C38" s="380"/>
      <c r="D38" s="380"/>
      <c r="E38" s="361"/>
      <c r="F38" s="378"/>
      <c r="G38" s="378"/>
      <c r="H38" s="378"/>
      <c r="I38" s="378"/>
      <c r="J38" s="378"/>
      <c r="K38" s="378"/>
      <c r="L38" s="378"/>
      <c r="M38" s="378"/>
      <c r="N38" s="378"/>
    </row>
    <row r="39" spans="1:16" s="379" customFormat="1" ht="12.75" customHeight="1">
      <c r="A39" s="380"/>
      <c r="B39" s="380"/>
      <c r="C39" s="380"/>
      <c r="D39" s="380"/>
      <c r="E39" s="361"/>
      <c r="F39" s="378"/>
      <c r="G39" s="378"/>
      <c r="H39" s="378"/>
      <c r="I39" s="378"/>
      <c r="J39" s="378"/>
      <c r="K39" s="378"/>
      <c r="L39" s="378"/>
      <c r="M39" s="378"/>
      <c r="N39" s="378"/>
    </row>
    <row r="40" spans="1:16" s="92" customFormat="1" ht="16.5" customHeight="1">
      <c r="A40" s="1329" t="s">
        <v>597</v>
      </c>
      <c r="B40" s="1329"/>
      <c r="C40" s="1329"/>
      <c r="D40" s="1329"/>
      <c r="E40" s="1329"/>
      <c r="F40" s="1329"/>
      <c r="G40" s="1329"/>
      <c r="H40" s="1329"/>
      <c r="I40" s="1329"/>
      <c r="J40" s="1329"/>
      <c r="K40" s="1329"/>
      <c r="L40" s="1329"/>
      <c r="M40" s="1329"/>
      <c r="N40" s="328"/>
      <c r="O40" s="451" t="s">
        <v>415</v>
      </c>
      <c r="P40" s="300" t="e">
        <f>SUM(P27:P31)</f>
        <v>#REF!</v>
      </c>
    </row>
    <row r="41" spans="1:16" s="92" customFormat="1" ht="13.5" customHeight="1">
      <c r="A41" s="1329" t="s">
        <v>598</v>
      </c>
      <c r="B41" s="1329"/>
      <c r="C41" s="1329"/>
      <c r="D41" s="1329"/>
      <c r="E41" s="1329"/>
      <c r="F41" s="1329"/>
      <c r="G41" s="1329"/>
      <c r="H41" s="1329"/>
      <c r="I41" s="1329"/>
      <c r="J41" s="1329"/>
      <c r="K41" s="1329"/>
      <c r="L41" s="1329"/>
      <c r="M41" s="1329"/>
      <c r="N41" s="328"/>
    </row>
    <row r="42" spans="1:16" s="92" customFormat="1" ht="13.5" customHeight="1">
      <c r="A42" s="1329" t="s">
        <v>870</v>
      </c>
      <c r="B42" s="1329"/>
      <c r="C42" s="1329"/>
      <c r="D42" s="1329"/>
      <c r="E42" s="1329"/>
      <c r="F42" s="1329"/>
      <c r="G42" s="1329"/>
      <c r="H42" s="1329"/>
      <c r="I42" s="1329"/>
      <c r="J42" s="1329"/>
      <c r="K42" s="1329"/>
      <c r="L42" s="1329"/>
      <c r="M42" s="1329"/>
      <c r="N42" s="328"/>
    </row>
    <row r="43" spans="1:16" s="92" customFormat="1" ht="13.5" customHeight="1" thickBot="1">
      <c r="A43" s="288"/>
      <c r="B43" s="463" t="s">
        <v>794</v>
      </c>
      <c r="C43" s="328"/>
      <c r="D43" s="328"/>
      <c r="E43" s="369"/>
      <c r="F43" s="328"/>
      <c r="G43" s="328"/>
      <c r="H43" s="328"/>
      <c r="I43" s="328"/>
      <c r="J43" s="328"/>
      <c r="K43" s="328"/>
      <c r="L43" s="446" t="s">
        <v>80</v>
      </c>
      <c r="M43" s="446"/>
      <c r="N43" s="328"/>
    </row>
    <row r="44" spans="1:16" s="92" customFormat="1" ht="14.25" customHeight="1" thickBot="1">
      <c r="A44" s="1339" t="s">
        <v>630</v>
      </c>
      <c r="B44" s="1351" t="s">
        <v>210</v>
      </c>
      <c r="C44" s="1355" t="s">
        <v>631</v>
      </c>
      <c r="D44" s="1363" t="s">
        <v>686</v>
      </c>
      <c r="E44" s="1366" t="s">
        <v>632</v>
      </c>
      <c r="F44" s="1367"/>
      <c r="G44" s="1344" t="s">
        <v>633</v>
      </c>
      <c r="H44" s="1345"/>
      <c r="I44" s="1345"/>
      <c r="J44" s="1345"/>
      <c r="K44" s="1345"/>
      <c r="L44" s="1346"/>
      <c r="M44" s="450" t="s">
        <v>635</v>
      </c>
      <c r="N44" s="328"/>
    </row>
    <row r="45" spans="1:16" s="92" customFormat="1" ht="21" customHeight="1">
      <c r="A45" s="1340"/>
      <c r="B45" s="1352"/>
      <c r="C45" s="1356"/>
      <c r="D45" s="1364"/>
      <c r="E45" s="1368"/>
      <c r="F45" s="1331"/>
      <c r="G45" s="1347" t="s">
        <v>638</v>
      </c>
      <c r="H45" s="1342" t="s">
        <v>634</v>
      </c>
      <c r="I45" s="1343"/>
      <c r="J45" s="1343"/>
      <c r="K45" s="1343"/>
      <c r="L45" s="1361" t="s">
        <v>415</v>
      </c>
      <c r="M45" s="335"/>
      <c r="N45" s="328"/>
    </row>
    <row r="46" spans="1:16" s="92" customFormat="1" ht="17.25" customHeight="1">
      <c r="A46" s="1340"/>
      <c r="B46" s="1352"/>
      <c r="C46" s="1356"/>
      <c r="D46" s="1364"/>
      <c r="E46" s="1368"/>
      <c r="F46" s="1331"/>
      <c r="G46" s="1347"/>
      <c r="H46" s="280" t="s">
        <v>293</v>
      </c>
      <c r="I46" s="1348" t="s">
        <v>292</v>
      </c>
      <c r="J46" s="1349"/>
      <c r="K46" s="1349"/>
      <c r="L46" s="1361"/>
      <c r="M46" s="335"/>
      <c r="N46" s="328"/>
    </row>
    <row r="47" spans="1:16" s="92" customFormat="1" ht="13.5" customHeight="1">
      <c r="A47" s="1341"/>
      <c r="B47" s="1352"/>
      <c r="C47" s="1356"/>
      <c r="D47" s="1365"/>
      <c r="E47" s="370" t="s">
        <v>636</v>
      </c>
      <c r="F47" s="371" t="s">
        <v>637</v>
      </c>
      <c r="G47" s="1347"/>
      <c r="H47" s="372" t="s">
        <v>639</v>
      </c>
      <c r="I47" s="373" t="s">
        <v>640</v>
      </c>
      <c r="J47" s="374" t="s">
        <v>296</v>
      </c>
      <c r="K47" s="374" t="s">
        <v>641</v>
      </c>
      <c r="L47" s="1361"/>
      <c r="M47" s="375" t="s">
        <v>643</v>
      </c>
      <c r="N47" s="376"/>
    </row>
    <row r="48" spans="1:16" s="92" customFormat="1" ht="18" customHeight="1">
      <c r="A48" s="465">
        <v>1</v>
      </c>
      <c r="B48" s="466" t="s">
        <v>88</v>
      </c>
      <c r="C48" s="466" t="s">
        <v>716</v>
      </c>
      <c r="D48" s="467" t="s">
        <v>558</v>
      </c>
      <c r="E48" s="468">
        <v>375</v>
      </c>
      <c r="F48" s="498">
        <f t="shared" ref="F48:F55" si="8">E48*12</f>
        <v>4500</v>
      </c>
      <c r="G48" s="499">
        <f>'SUELDOS '!H37</f>
        <v>377.55</v>
      </c>
      <c r="H48" s="499">
        <f t="shared" ref="H48:H56" si="9">F48*6.75%</f>
        <v>303.75</v>
      </c>
      <c r="I48" s="498">
        <f t="shared" ref="I48:I54" si="10">F48*7.5%</f>
        <v>337.5</v>
      </c>
      <c r="J48" s="498"/>
      <c r="K48" s="499"/>
      <c r="L48" s="470">
        <f t="shared" ref="L48:L55" si="11">SUM(G48:K48)</f>
        <v>1018.8</v>
      </c>
      <c r="M48" s="498">
        <f t="shared" ref="M48:M55" si="12">L48+F48</f>
        <v>5518.8</v>
      </c>
      <c r="N48" s="382"/>
    </row>
    <row r="49" spans="1:15" s="92" customFormat="1" ht="18" customHeight="1">
      <c r="A49" s="465">
        <v>2</v>
      </c>
      <c r="B49" s="466"/>
      <c r="C49" s="466" t="s">
        <v>769</v>
      </c>
      <c r="D49" s="467" t="s">
        <v>558</v>
      </c>
      <c r="E49" s="468">
        <v>600</v>
      </c>
      <c r="F49" s="498">
        <f t="shared" si="8"/>
        <v>7200</v>
      </c>
      <c r="G49" s="499">
        <f>'SUELDOS '!H40</f>
        <v>0</v>
      </c>
      <c r="H49" s="499">
        <f t="shared" si="9"/>
        <v>486.00000000000006</v>
      </c>
      <c r="I49" s="498">
        <f t="shared" si="10"/>
        <v>540</v>
      </c>
      <c r="J49" s="498"/>
      <c r="K49" s="499"/>
      <c r="L49" s="470">
        <f t="shared" si="11"/>
        <v>1026</v>
      </c>
      <c r="M49" s="498">
        <f t="shared" si="12"/>
        <v>8226</v>
      </c>
      <c r="N49" s="382"/>
    </row>
    <row r="50" spans="1:15" s="92" customFormat="1" ht="18" customHeight="1">
      <c r="A50" s="465">
        <f t="shared" ref="A50:A58" si="13">A49+1</f>
        <v>3</v>
      </c>
      <c r="B50" s="466" t="s">
        <v>717</v>
      </c>
      <c r="C50" s="466" t="s">
        <v>726</v>
      </c>
      <c r="D50" s="467" t="s">
        <v>558</v>
      </c>
      <c r="E50" s="468">
        <v>300</v>
      </c>
      <c r="F50" s="498">
        <f t="shared" si="8"/>
        <v>3600</v>
      </c>
      <c r="G50" s="499">
        <f>'SUELDOS '!H21</f>
        <v>377.55</v>
      </c>
      <c r="H50" s="499">
        <f t="shared" si="9"/>
        <v>243.00000000000003</v>
      </c>
      <c r="I50" s="498">
        <f t="shared" si="10"/>
        <v>270</v>
      </c>
      <c r="J50" s="498"/>
      <c r="K50" s="499"/>
      <c r="L50" s="470">
        <f t="shared" si="11"/>
        <v>890.55000000000007</v>
      </c>
      <c r="M50" s="498">
        <f t="shared" si="12"/>
        <v>4490.55</v>
      </c>
      <c r="N50" s="382"/>
    </row>
    <row r="51" spans="1:15" s="92" customFormat="1" ht="18" customHeight="1">
      <c r="A51" s="465">
        <f t="shared" si="13"/>
        <v>4</v>
      </c>
      <c r="B51" s="494" t="s">
        <v>89</v>
      </c>
      <c r="C51" s="466" t="s">
        <v>190</v>
      </c>
      <c r="D51" s="467" t="s">
        <v>558</v>
      </c>
      <c r="E51" s="468">
        <v>400</v>
      </c>
      <c r="F51" s="498">
        <f t="shared" si="8"/>
        <v>4800</v>
      </c>
      <c r="G51" s="499">
        <f>'SUELDOS '!H96</f>
        <v>480</v>
      </c>
      <c r="H51" s="499">
        <f t="shared" si="9"/>
        <v>324</v>
      </c>
      <c r="I51" s="498">
        <f t="shared" si="10"/>
        <v>360</v>
      </c>
      <c r="J51" s="498"/>
      <c r="K51" s="499"/>
      <c r="L51" s="470">
        <f t="shared" si="11"/>
        <v>1164</v>
      </c>
      <c r="M51" s="498">
        <f t="shared" si="12"/>
        <v>5964</v>
      </c>
      <c r="N51" s="382"/>
    </row>
    <row r="52" spans="1:15" s="92" customFormat="1" ht="18" customHeight="1">
      <c r="A52" s="465">
        <f t="shared" si="13"/>
        <v>5</v>
      </c>
      <c r="B52" s="495" t="s">
        <v>90</v>
      </c>
      <c r="C52" s="466" t="s">
        <v>727</v>
      </c>
      <c r="D52" s="467" t="s">
        <v>558</v>
      </c>
      <c r="E52" s="468">
        <v>325</v>
      </c>
      <c r="F52" s="498">
        <f t="shared" si="8"/>
        <v>3900</v>
      </c>
      <c r="G52" s="499">
        <v>300</v>
      </c>
      <c r="H52" s="499">
        <f t="shared" si="9"/>
        <v>263.25</v>
      </c>
      <c r="I52" s="498">
        <f t="shared" si="10"/>
        <v>292.5</v>
      </c>
      <c r="J52" s="498"/>
      <c r="K52" s="499"/>
      <c r="L52" s="470">
        <f t="shared" si="11"/>
        <v>855.75</v>
      </c>
      <c r="M52" s="498">
        <f t="shared" si="12"/>
        <v>4755.75</v>
      </c>
      <c r="N52" s="382"/>
    </row>
    <row r="53" spans="1:15" s="92" customFormat="1" ht="18" customHeight="1">
      <c r="A53" s="465">
        <f t="shared" si="13"/>
        <v>6</v>
      </c>
      <c r="B53" s="495"/>
      <c r="C53" s="466" t="s">
        <v>727</v>
      </c>
      <c r="D53" s="467" t="s">
        <v>558</v>
      </c>
      <c r="E53" s="468">
        <v>300</v>
      </c>
      <c r="F53" s="498">
        <f t="shared" si="8"/>
        <v>3600</v>
      </c>
      <c r="G53" s="499">
        <v>300</v>
      </c>
      <c r="H53" s="499">
        <f t="shared" si="9"/>
        <v>243.00000000000003</v>
      </c>
      <c r="I53" s="498">
        <f t="shared" si="10"/>
        <v>270</v>
      </c>
      <c r="J53" s="498"/>
      <c r="K53" s="499"/>
      <c r="L53" s="470">
        <f t="shared" si="11"/>
        <v>813</v>
      </c>
      <c r="M53" s="498">
        <f t="shared" si="12"/>
        <v>4413</v>
      </c>
      <c r="N53" s="382"/>
    </row>
    <row r="54" spans="1:15" s="92" customFormat="1" ht="18" customHeight="1">
      <c r="A54" s="465">
        <f t="shared" si="13"/>
        <v>7</v>
      </c>
      <c r="B54" s="500"/>
      <c r="C54" s="466" t="s">
        <v>727</v>
      </c>
      <c r="D54" s="467" t="s">
        <v>558</v>
      </c>
      <c r="E54" s="468">
        <v>300</v>
      </c>
      <c r="F54" s="498">
        <f t="shared" si="8"/>
        <v>3600</v>
      </c>
      <c r="G54" s="499">
        <v>300</v>
      </c>
      <c r="H54" s="499">
        <f t="shared" si="9"/>
        <v>243.00000000000003</v>
      </c>
      <c r="I54" s="498">
        <f t="shared" si="10"/>
        <v>270</v>
      </c>
      <c r="J54" s="498"/>
      <c r="K54" s="499"/>
      <c r="L54" s="470">
        <f t="shared" si="11"/>
        <v>813</v>
      </c>
      <c r="M54" s="498">
        <f t="shared" si="12"/>
        <v>4413</v>
      </c>
      <c r="N54" s="382"/>
    </row>
    <row r="55" spans="1:15" s="92" customFormat="1" ht="18" customHeight="1">
      <c r="A55" s="465">
        <f t="shared" si="13"/>
        <v>8</v>
      </c>
      <c r="B55" s="466" t="s">
        <v>718</v>
      </c>
      <c r="C55" s="466" t="s">
        <v>728</v>
      </c>
      <c r="D55" s="467" t="s">
        <v>558</v>
      </c>
      <c r="E55" s="468">
        <v>950</v>
      </c>
      <c r="F55" s="498">
        <f t="shared" si="8"/>
        <v>11400</v>
      </c>
      <c r="G55" s="499">
        <f>'SUELDOS '!H126</f>
        <v>655.19999999999993</v>
      </c>
      <c r="H55" s="499">
        <f t="shared" si="9"/>
        <v>769.5</v>
      </c>
      <c r="I55" s="498">
        <f>51.43*12</f>
        <v>617.16</v>
      </c>
      <c r="J55" s="498"/>
      <c r="K55" s="499"/>
      <c r="L55" s="470">
        <f t="shared" si="11"/>
        <v>2041.8599999999997</v>
      </c>
      <c r="M55" s="498">
        <f t="shared" si="12"/>
        <v>13441.86</v>
      </c>
      <c r="N55" s="382"/>
    </row>
    <row r="56" spans="1:15" s="92" customFormat="1" ht="18" customHeight="1">
      <c r="A56" s="465">
        <f t="shared" si="13"/>
        <v>9</v>
      </c>
      <c r="B56" s="495" t="s">
        <v>92</v>
      </c>
      <c r="C56" s="504" t="s">
        <v>730</v>
      </c>
      <c r="D56" s="467" t="s">
        <v>558</v>
      </c>
      <c r="E56" s="342">
        <v>450</v>
      </c>
      <c r="F56" s="89">
        <f t="shared" ref="F56:F70" si="14">E56*12</f>
        <v>5400</v>
      </c>
      <c r="G56" s="469">
        <f>'SUELDOS '!H47</f>
        <v>0</v>
      </c>
      <c r="H56" s="469">
        <f t="shared" si="9"/>
        <v>364.5</v>
      </c>
      <c r="I56" s="89">
        <f t="shared" ref="I56:I70" si="15">F56*7.5%</f>
        <v>405</v>
      </c>
      <c r="J56" s="89"/>
      <c r="K56" s="469"/>
      <c r="L56" s="470">
        <f t="shared" ref="L56:L70" si="16">SUM(G56:K56)</f>
        <v>769.5</v>
      </c>
      <c r="M56" s="498">
        <f t="shared" ref="M56:M70" si="17">L56+F56</f>
        <v>6169.5</v>
      </c>
      <c r="N56" s="338"/>
    </row>
    <row r="57" spans="1:15" s="92" customFormat="1" ht="18" customHeight="1">
      <c r="A57" s="465">
        <f t="shared" si="13"/>
        <v>10</v>
      </c>
      <c r="B57" s="504" t="s">
        <v>685</v>
      </c>
      <c r="C57" s="504" t="s">
        <v>773</v>
      </c>
      <c r="D57" s="467" t="s">
        <v>558</v>
      </c>
      <c r="E57" s="468">
        <v>325</v>
      </c>
      <c r="F57" s="89">
        <f t="shared" si="14"/>
        <v>3900</v>
      </c>
      <c r="G57" s="469">
        <f>'SUELDOS '!H134</f>
        <v>377.55</v>
      </c>
      <c r="H57" s="469"/>
      <c r="I57" s="89">
        <f t="shared" si="15"/>
        <v>292.5</v>
      </c>
      <c r="J57" s="89"/>
      <c r="K57" s="469">
        <f>F57*6%</f>
        <v>234</v>
      </c>
      <c r="L57" s="470">
        <f t="shared" si="16"/>
        <v>904.05</v>
      </c>
      <c r="M57" s="498">
        <f t="shared" si="17"/>
        <v>4804.05</v>
      </c>
      <c r="N57" s="338"/>
    </row>
    <row r="58" spans="1:15" s="92" customFormat="1" ht="18" customHeight="1">
      <c r="A58" s="465">
        <f t="shared" si="13"/>
        <v>11</v>
      </c>
      <c r="B58" s="504" t="s">
        <v>719</v>
      </c>
      <c r="C58" s="504" t="s">
        <v>278</v>
      </c>
      <c r="D58" s="467" t="s">
        <v>558</v>
      </c>
      <c r="E58" s="468">
        <v>325</v>
      </c>
      <c r="F58" s="89">
        <f t="shared" si="14"/>
        <v>3900</v>
      </c>
      <c r="G58" s="469">
        <f>'SUELDOS '!H88</f>
        <v>377.55</v>
      </c>
      <c r="H58" s="469">
        <f t="shared" ref="H58:H70" si="18">F58*6.75%</f>
        <v>263.25</v>
      </c>
      <c r="I58" s="89">
        <f t="shared" si="15"/>
        <v>292.5</v>
      </c>
      <c r="J58" s="89"/>
      <c r="K58" s="469"/>
      <c r="L58" s="470">
        <f t="shared" si="16"/>
        <v>933.3</v>
      </c>
      <c r="M58" s="498">
        <f t="shared" si="17"/>
        <v>4833.3</v>
      </c>
      <c r="N58" s="338"/>
    </row>
    <row r="59" spans="1:15" s="92" customFormat="1" ht="18" customHeight="1">
      <c r="A59" s="465">
        <f t="shared" ref="A59:A70" si="19">A58+1</f>
        <v>12</v>
      </c>
      <c r="B59" s="504" t="s">
        <v>720</v>
      </c>
      <c r="C59" s="504" t="s">
        <v>278</v>
      </c>
      <c r="D59" s="467" t="s">
        <v>558</v>
      </c>
      <c r="E59" s="468">
        <v>325</v>
      </c>
      <c r="F59" s="89">
        <f t="shared" si="14"/>
        <v>3900</v>
      </c>
      <c r="G59" s="469">
        <v>300</v>
      </c>
      <c r="H59" s="469">
        <f t="shared" si="18"/>
        <v>263.25</v>
      </c>
      <c r="I59" s="89">
        <f t="shared" si="15"/>
        <v>292.5</v>
      </c>
      <c r="J59" s="89"/>
      <c r="K59" s="469"/>
      <c r="L59" s="470">
        <f t="shared" si="16"/>
        <v>855.75</v>
      </c>
      <c r="M59" s="498">
        <f t="shared" si="17"/>
        <v>4755.75</v>
      </c>
      <c r="N59" s="338"/>
      <c r="O59" s="300"/>
    </row>
    <row r="60" spans="1:15" s="92" customFormat="1" ht="18" customHeight="1">
      <c r="A60" s="465">
        <f t="shared" si="19"/>
        <v>13</v>
      </c>
      <c r="B60" s="504" t="s">
        <v>723</v>
      </c>
      <c r="C60" s="504" t="s">
        <v>278</v>
      </c>
      <c r="D60" s="467" t="s">
        <v>558</v>
      </c>
      <c r="E60" s="468">
        <v>325</v>
      </c>
      <c r="F60" s="89">
        <f t="shared" si="14"/>
        <v>3900</v>
      </c>
      <c r="G60" s="469">
        <v>300</v>
      </c>
      <c r="H60" s="469">
        <f t="shared" si="18"/>
        <v>263.25</v>
      </c>
      <c r="I60" s="89">
        <f t="shared" si="15"/>
        <v>292.5</v>
      </c>
      <c r="J60" s="89"/>
      <c r="K60" s="469"/>
      <c r="L60" s="470">
        <f t="shared" si="16"/>
        <v>855.75</v>
      </c>
      <c r="M60" s="498">
        <f t="shared" si="17"/>
        <v>4755.75</v>
      </c>
      <c r="N60" s="338"/>
      <c r="O60" s="300"/>
    </row>
    <row r="61" spans="1:15" s="92" customFormat="1" ht="18" customHeight="1">
      <c r="A61" s="465">
        <f t="shared" si="19"/>
        <v>14</v>
      </c>
      <c r="B61" s="504" t="s">
        <v>724</v>
      </c>
      <c r="C61" s="504" t="s">
        <v>278</v>
      </c>
      <c r="D61" s="467" t="s">
        <v>558</v>
      </c>
      <c r="E61" s="468">
        <v>325</v>
      </c>
      <c r="F61" s="89">
        <f t="shared" si="14"/>
        <v>3900</v>
      </c>
      <c r="G61" s="469">
        <v>300</v>
      </c>
      <c r="H61" s="469">
        <f t="shared" si="18"/>
        <v>263.25</v>
      </c>
      <c r="I61" s="89">
        <f t="shared" si="15"/>
        <v>292.5</v>
      </c>
      <c r="J61" s="89"/>
      <c r="K61" s="469"/>
      <c r="L61" s="470">
        <f t="shared" si="16"/>
        <v>855.75</v>
      </c>
      <c r="M61" s="498">
        <f t="shared" si="17"/>
        <v>4755.75</v>
      </c>
      <c r="N61" s="338"/>
      <c r="O61" s="300"/>
    </row>
    <row r="62" spans="1:15" s="92" customFormat="1" ht="18" customHeight="1">
      <c r="A62" s="465">
        <f t="shared" si="19"/>
        <v>15</v>
      </c>
      <c r="B62" s="495" t="s">
        <v>93</v>
      </c>
      <c r="C62" s="504" t="s">
        <v>278</v>
      </c>
      <c r="D62" s="467" t="s">
        <v>558</v>
      </c>
      <c r="E62" s="468">
        <v>325</v>
      </c>
      <c r="F62" s="89">
        <f t="shared" si="14"/>
        <v>3900</v>
      </c>
      <c r="G62" s="469">
        <v>300</v>
      </c>
      <c r="H62" s="469">
        <f t="shared" si="18"/>
        <v>263.25</v>
      </c>
      <c r="I62" s="89">
        <f t="shared" si="15"/>
        <v>292.5</v>
      </c>
      <c r="J62" s="89"/>
      <c r="K62" s="469"/>
      <c r="L62" s="470">
        <f t="shared" si="16"/>
        <v>855.75</v>
      </c>
      <c r="M62" s="498">
        <f t="shared" si="17"/>
        <v>4755.75</v>
      </c>
      <c r="N62" s="338"/>
      <c r="O62" s="300"/>
    </row>
    <row r="63" spans="1:15" s="92" customFormat="1" ht="18" customHeight="1">
      <c r="A63" s="465">
        <f t="shared" si="19"/>
        <v>16</v>
      </c>
      <c r="B63" s="495" t="s">
        <v>94</v>
      </c>
      <c r="C63" s="504" t="s">
        <v>278</v>
      </c>
      <c r="D63" s="467" t="s">
        <v>558</v>
      </c>
      <c r="E63" s="468">
        <v>325</v>
      </c>
      <c r="F63" s="89">
        <f t="shared" si="14"/>
        <v>3900</v>
      </c>
      <c r="G63" s="469">
        <v>300</v>
      </c>
      <c r="H63" s="469">
        <f t="shared" si="18"/>
        <v>263.25</v>
      </c>
      <c r="I63" s="89">
        <f t="shared" si="15"/>
        <v>292.5</v>
      </c>
      <c r="J63" s="89"/>
      <c r="K63" s="469"/>
      <c r="L63" s="470">
        <f t="shared" si="16"/>
        <v>855.75</v>
      </c>
      <c r="M63" s="498">
        <f t="shared" si="17"/>
        <v>4755.75</v>
      </c>
      <c r="N63" s="338"/>
      <c r="O63" s="300"/>
    </row>
    <row r="64" spans="1:15" s="92" customFormat="1" ht="18" customHeight="1">
      <c r="A64" s="465">
        <f t="shared" si="19"/>
        <v>17</v>
      </c>
      <c r="B64" s="495" t="s">
        <v>95</v>
      </c>
      <c r="C64" s="504" t="s">
        <v>278</v>
      </c>
      <c r="D64" s="467" t="s">
        <v>558</v>
      </c>
      <c r="E64" s="468">
        <v>325</v>
      </c>
      <c r="F64" s="89">
        <f t="shared" si="14"/>
        <v>3900</v>
      </c>
      <c r="G64" s="469">
        <f>'SUELDOS '!H91</f>
        <v>377.55</v>
      </c>
      <c r="H64" s="469">
        <f t="shared" si="18"/>
        <v>263.25</v>
      </c>
      <c r="I64" s="89">
        <f t="shared" si="15"/>
        <v>292.5</v>
      </c>
      <c r="J64" s="89"/>
      <c r="K64" s="469"/>
      <c r="L64" s="470">
        <f t="shared" si="16"/>
        <v>933.3</v>
      </c>
      <c r="M64" s="498">
        <f t="shared" si="17"/>
        <v>4833.3</v>
      </c>
      <c r="N64" s="338"/>
      <c r="O64" s="300"/>
    </row>
    <row r="65" spans="1:15" s="92" customFormat="1" ht="18" customHeight="1">
      <c r="A65" s="465">
        <f t="shared" si="19"/>
        <v>18</v>
      </c>
      <c r="B65" s="495" t="s">
        <v>96</v>
      </c>
      <c r="C65" s="504" t="s">
        <v>278</v>
      </c>
      <c r="D65" s="467" t="s">
        <v>558</v>
      </c>
      <c r="E65" s="468">
        <v>325</v>
      </c>
      <c r="F65" s="89">
        <f t="shared" si="14"/>
        <v>3900</v>
      </c>
      <c r="G65" s="469" t="e">
        <f>'SUELDOS '!#REF!</f>
        <v>#REF!</v>
      </c>
      <c r="H65" s="469">
        <f t="shared" si="18"/>
        <v>263.25</v>
      </c>
      <c r="I65" s="89">
        <f t="shared" si="15"/>
        <v>292.5</v>
      </c>
      <c r="J65" s="89"/>
      <c r="K65" s="469"/>
      <c r="L65" s="470" t="e">
        <f t="shared" si="16"/>
        <v>#REF!</v>
      </c>
      <c r="M65" s="498" t="e">
        <f t="shared" si="17"/>
        <v>#REF!</v>
      </c>
      <c r="N65" s="338"/>
      <c r="O65" s="300"/>
    </row>
    <row r="66" spans="1:15" s="92" customFormat="1" ht="18.75" customHeight="1">
      <c r="A66" s="465">
        <f t="shared" si="19"/>
        <v>19</v>
      </c>
      <c r="B66" s="504" t="s">
        <v>774</v>
      </c>
      <c r="C66" s="504" t="s">
        <v>278</v>
      </c>
      <c r="D66" s="467" t="s">
        <v>558</v>
      </c>
      <c r="E66" s="468">
        <v>325</v>
      </c>
      <c r="F66" s="89">
        <f t="shared" si="14"/>
        <v>3900</v>
      </c>
      <c r="G66" s="469">
        <v>300</v>
      </c>
      <c r="H66" s="469">
        <f t="shared" si="18"/>
        <v>263.25</v>
      </c>
      <c r="I66" s="89">
        <f t="shared" si="15"/>
        <v>292.5</v>
      </c>
      <c r="J66" s="89"/>
      <c r="K66" s="469"/>
      <c r="L66" s="470">
        <f t="shared" si="16"/>
        <v>855.75</v>
      </c>
      <c r="M66" s="498">
        <f t="shared" si="17"/>
        <v>4755.75</v>
      </c>
      <c r="N66" s="338"/>
    </row>
    <row r="67" spans="1:15" s="92" customFormat="1" ht="18.75" customHeight="1">
      <c r="A67" s="465">
        <f t="shared" si="19"/>
        <v>20</v>
      </c>
      <c r="B67" s="504"/>
      <c r="C67" s="504" t="s">
        <v>278</v>
      </c>
      <c r="D67" s="467" t="s">
        <v>558</v>
      </c>
      <c r="E67" s="468">
        <v>300</v>
      </c>
      <c r="F67" s="89">
        <f t="shared" si="14"/>
        <v>3600</v>
      </c>
      <c r="G67" s="469">
        <v>300</v>
      </c>
      <c r="H67" s="469">
        <f t="shared" si="18"/>
        <v>243.00000000000003</v>
      </c>
      <c r="I67" s="89">
        <f t="shared" si="15"/>
        <v>270</v>
      </c>
      <c r="J67" s="89"/>
      <c r="K67" s="469"/>
      <c r="L67" s="470">
        <f t="shared" si="16"/>
        <v>813</v>
      </c>
      <c r="M67" s="498">
        <f t="shared" si="17"/>
        <v>4413</v>
      </c>
      <c r="N67" s="338"/>
    </row>
    <row r="68" spans="1:15" s="513" customFormat="1" ht="18" customHeight="1">
      <c r="A68" s="465">
        <f t="shared" si="19"/>
        <v>21</v>
      </c>
      <c r="B68" s="495" t="s">
        <v>97</v>
      </c>
      <c r="C68" s="504" t="s">
        <v>191</v>
      </c>
      <c r="D68" s="467" t="s">
        <v>558</v>
      </c>
      <c r="E68" s="468">
        <v>300</v>
      </c>
      <c r="F68" s="89">
        <f t="shared" si="14"/>
        <v>3600</v>
      </c>
      <c r="G68" s="469">
        <v>300</v>
      </c>
      <c r="H68" s="469">
        <f t="shared" si="18"/>
        <v>243.00000000000003</v>
      </c>
      <c r="I68" s="89">
        <f t="shared" si="15"/>
        <v>270</v>
      </c>
      <c r="J68" s="89"/>
      <c r="K68" s="469"/>
      <c r="L68" s="470">
        <f t="shared" si="16"/>
        <v>813</v>
      </c>
      <c r="M68" s="498">
        <f t="shared" si="17"/>
        <v>4413</v>
      </c>
      <c r="N68" s="338"/>
    </row>
    <row r="69" spans="1:15" s="92" customFormat="1" ht="18" customHeight="1">
      <c r="A69" s="465">
        <f t="shared" si="19"/>
        <v>22</v>
      </c>
      <c r="B69" s="504" t="s">
        <v>516</v>
      </c>
      <c r="C69" s="504" t="s">
        <v>660</v>
      </c>
      <c r="D69" s="467" t="s">
        <v>558</v>
      </c>
      <c r="E69" s="468">
        <v>275</v>
      </c>
      <c r="F69" s="89">
        <f t="shared" si="14"/>
        <v>3300</v>
      </c>
      <c r="G69" s="469">
        <v>300</v>
      </c>
      <c r="H69" s="469">
        <f t="shared" si="18"/>
        <v>222.75000000000003</v>
      </c>
      <c r="I69" s="89">
        <f t="shared" si="15"/>
        <v>247.5</v>
      </c>
      <c r="J69" s="89"/>
      <c r="K69" s="469"/>
      <c r="L69" s="470">
        <f t="shared" si="16"/>
        <v>770.25</v>
      </c>
      <c r="M69" s="498">
        <f t="shared" si="17"/>
        <v>4070.25</v>
      </c>
      <c r="N69" s="338"/>
    </row>
    <row r="70" spans="1:15" s="331" customFormat="1" ht="18" customHeight="1">
      <c r="A70" s="465">
        <f t="shared" si="19"/>
        <v>23</v>
      </c>
      <c r="B70" s="495" t="s">
        <v>775</v>
      </c>
      <c r="C70" s="504" t="s">
        <v>448</v>
      </c>
      <c r="D70" s="467" t="s">
        <v>558</v>
      </c>
      <c r="E70" s="468">
        <v>375</v>
      </c>
      <c r="F70" s="89">
        <f t="shared" si="14"/>
        <v>4500</v>
      </c>
      <c r="G70" s="469">
        <v>300</v>
      </c>
      <c r="H70" s="469">
        <f t="shared" si="18"/>
        <v>303.75</v>
      </c>
      <c r="I70" s="89">
        <f t="shared" si="15"/>
        <v>337.5</v>
      </c>
      <c r="J70" s="89"/>
      <c r="K70" s="469"/>
      <c r="L70" s="470">
        <f t="shared" si="16"/>
        <v>941.25</v>
      </c>
      <c r="M70" s="498">
        <f t="shared" si="17"/>
        <v>5441.25</v>
      </c>
      <c r="N70" s="514"/>
      <c r="O70" s="515"/>
    </row>
    <row r="71" spans="1:15" s="92" customFormat="1" ht="15" customHeight="1">
      <c r="A71" s="1354" t="s">
        <v>795</v>
      </c>
      <c r="B71" s="1354"/>
      <c r="C71" s="1354"/>
      <c r="D71" s="1354"/>
      <c r="E71" s="381">
        <f t="shared" ref="E71:M71" si="20">SUM(E48:E70)</f>
        <v>8500</v>
      </c>
      <c r="F71" s="383">
        <f t="shared" si="20"/>
        <v>102000</v>
      </c>
      <c r="G71" s="383" t="e">
        <f t="shared" si="20"/>
        <v>#REF!</v>
      </c>
      <c r="H71" s="383">
        <f t="shared" si="20"/>
        <v>6621.75</v>
      </c>
      <c r="I71" s="383">
        <f t="shared" si="20"/>
        <v>7412.16</v>
      </c>
      <c r="J71" s="383">
        <f t="shared" si="20"/>
        <v>0</v>
      </c>
      <c r="K71" s="383">
        <f t="shared" si="20"/>
        <v>234</v>
      </c>
      <c r="L71" s="383" t="e">
        <f t="shared" si="20"/>
        <v>#REF!</v>
      </c>
      <c r="M71" s="383" t="e">
        <f t="shared" si="20"/>
        <v>#REF!</v>
      </c>
      <c r="N71" s="384"/>
    </row>
    <row r="72" spans="1:15" s="92" customFormat="1" ht="15" customHeight="1">
      <c r="A72" s="1376" t="s">
        <v>295</v>
      </c>
      <c r="B72" s="1376"/>
      <c r="C72" s="1376"/>
      <c r="D72" s="1376"/>
      <c r="E72" s="1376"/>
      <c r="F72" s="299">
        <f>F71*1%</f>
        <v>1020</v>
      </c>
      <c r="G72" s="299"/>
      <c r="H72" s="299"/>
      <c r="I72" s="299"/>
      <c r="J72" s="299"/>
      <c r="K72" s="299"/>
      <c r="L72" s="299">
        <f>F72</f>
        <v>1020</v>
      </c>
      <c r="M72" s="299">
        <f>L72</f>
        <v>1020</v>
      </c>
      <c r="N72" s="385"/>
      <c r="O72" s="300"/>
    </row>
    <row r="73" spans="1:15" s="92" customFormat="1" ht="13.5" customHeight="1">
      <c r="A73" s="1362" t="s">
        <v>629</v>
      </c>
      <c r="B73" s="1362"/>
      <c r="C73" s="1362"/>
      <c r="D73" s="1362"/>
      <c r="E73" s="1362"/>
      <c r="F73" s="1362"/>
      <c r="G73" s="1362"/>
      <c r="H73" s="1362"/>
      <c r="I73" s="1362"/>
      <c r="J73" s="1362"/>
      <c r="K73" s="1362"/>
      <c r="L73" s="1362"/>
      <c r="M73" s="386" t="e">
        <f>SUM(M71:M72)</f>
        <v>#REF!</v>
      </c>
      <c r="N73" s="338"/>
      <c r="O73" s="300"/>
    </row>
    <row r="74" spans="1:15" s="92" customFormat="1" ht="15.75" customHeight="1">
      <c r="A74" s="336"/>
      <c r="B74" s="341"/>
      <c r="C74" s="341"/>
      <c r="D74" s="337"/>
      <c r="E74" s="304"/>
      <c r="F74" s="338"/>
      <c r="G74" s="339"/>
      <c r="H74" s="339"/>
      <c r="I74" s="338"/>
      <c r="J74" s="338"/>
      <c r="K74" s="339"/>
      <c r="L74" s="340"/>
      <c r="M74" s="502"/>
      <c r="N74" s="338"/>
      <c r="O74" s="300"/>
    </row>
    <row r="75" spans="1:15" s="92" customFormat="1" ht="15.75" customHeight="1">
      <c r="A75" s="336"/>
      <c r="B75" s="341"/>
      <c r="C75" s="341"/>
      <c r="D75" s="337"/>
      <c r="E75" s="304"/>
      <c r="F75" s="338"/>
      <c r="G75" s="339"/>
      <c r="H75" s="339"/>
      <c r="I75" s="338"/>
      <c r="J75" s="338"/>
      <c r="K75" s="339"/>
      <c r="L75" s="340"/>
      <c r="M75" s="502"/>
      <c r="N75" s="338"/>
      <c r="O75" s="300"/>
    </row>
    <row r="76" spans="1:15" s="92" customFormat="1" ht="15" customHeight="1">
      <c r="A76" s="1329" t="s">
        <v>597</v>
      </c>
      <c r="B76" s="1329"/>
      <c r="C76" s="1329"/>
      <c r="D76" s="1329"/>
      <c r="E76" s="1329"/>
      <c r="F76" s="1329"/>
      <c r="G76" s="1329"/>
      <c r="H76" s="1329"/>
      <c r="I76" s="1329"/>
      <c r="J76" s="1329"/>
      <c r="K76" s="1329"/>
      <c r="L76" s="1329"/>
      <c r="M76" s="1329"/>
      <c r="N76" s="328"/>
    </row>
    <row r="77" spans="1:15" s="92" customFormat="1" ht="15" customHeight="1">
      <c r="A77" s="1329" t="s">
        <v>598</v>
      </c>
      <c r="B77" s="1329"/>
      <c r="C77" s="1329"/>
      <c r="D77" s="1329"/>
      <c r="E77" s="1329"/>
      <c r="F77" s="1329"/>
      <c r="G77" s="1329"/>
      <c r="H77" s="1329"/>
      <c r="I77" s="1329"/>
      <c r="J77" s="1329"/>
      <c r="K77" s="1329"/>
      <c r="L77" s="1329"/>
      <c r="M77" s="1329"/>
      <c r="N77" s="328"/>
    </row>
    <row r="78" spans="1:15" s="92" customFormat="1" ht="15" customHeight="1">
      <c r="A78" s="1329" t="s">
        <v>870</v>
      </c>
      <c r="B78" s="1329"/>
      <c r="C78" s="1329"/>
      <c r="D78" s="1329"/>
      <c r="E78" s="1329"/>
      <c r="F78" s="1329"/>
      <c r="G78" s="1329"/>
      <c r="H78" s="1329"/>
      <c r="I78" s="1329"/>
      <c r="J78" s="1329"/>
      <c r="K78" s="1329"/>
      <c r="L78" s="1329"/>
      <c r="M78" s="1329"/>
      <c r="N78" s="328"/>
    </row>
    <row r="79" spans="1:15" s="92" customFormat="1" ht="18" customHeight="1" thickBot="1">
      <c r="A79" s="328"/>
      <c r="B79" s="387" t="s">
        <v>98</v>
      </c>
      <c r="C79" s="328"/>
      <c r="D79" s="328"/>
      <c r="E79" s="369"/>
      <c r="F79" s="328"/>
      <c r="G79" s="328"/>
      <c r="H79" s="328"/>
      <c r="I79" s="328"/>
      <c r="J79" s="328"/>
      <c r="K79" s="328"/>
      <c r="L79" s="446" t="s">
        <v>91</v>
      </c>
      <c r="M79" s="446"/>
      <c r="N79" s="328"/>
    </row>
    <row r="80" spans="1:15" s="92" customFormat="1" ht="16.5" customHeight="1" thickBot="1">
      <c r="A80" s="1339" t="s">
        <v>630</v>
      </c>
      <c r="B80" s="1351" t="s">
        <v>210</v>
      </c>
      <c r="C80" s="1355" t="s">
        <v>631</v>
      </c>
      <c r="D80" s="1363" t="s">
        <v>686</v>
      </c>
      <c r="E80" s="1366" t="s">
        <v>632</v>
      </c>
      <c r="F80" s="1367"/>
      <c r="G80" s="1358" t="s">
        <v>633</v>
      </c>
      <c r="H80" s="1359"/>
      <c r="I80" s="1359"/>
      <c r="J80" s="1359"/>
      <c r="K80" s="1359"/>
      <c r="L80" s="1360"/>
      <c r="M80" s="450" t="s">
        <v>635</v>
      </c>
      <c r="N80" s="328"/>
    </row>
    <row r="81" spans="1:15" s="92" customFormat="1" ht="22.5" customHeight="1">
      <c r="A81" s="1340"/>
      <c r="B81" s="1352"/>
      <c r="C81" s="1356"/>
      <c r="D81" s="1364"/>
      <c r="E81" s="1368"/>
      <c r="F81" s="1331"/>
      <c r="G81" s="1347" t="s">
        <v>638</v>
      </c>
      <c r="H81" s="1342" t="s">
        <v>634</v>
      </c>
      <c r="I81" s="1343"/>
      <c r="J81" s="1343"/>
      <c r="K81" s="1343"/>
      <c r="L81" s="1361" t="s">
        <v>415</v>
      </c>
      <c r="M81" s="335"/>
      <c r="N81" s="328"/>
    </row>
    <row r="82" spans="1:15" s="92" customFormat="1" ht="15.75" customHeight="1">
      <c r="A82" s="1340"/>
      <c r="B82" s="1352"/>
      <c r="C82" s="1356"/>
      <c r="D82" s="1364"/>
      <c r="E82" s="1368"/>
      <c r="F82" s="1331"/>
      <c r="G82" s="1347"/>
      <c r="H82" s="280" t="s">
        <v>293</v>
      </c>
      <c r="I82" s="1348" t="s">
        <v>292</v>
      </c>
      <c r="J82" s="1349"/>
      <c r="K82" s="1349"/>
      <c r="L82" s="1361"/>
      <c r="M82" s="335"/>
      <c r="N82" s="376"/>
    </row>
    <row r="83" spans="1:15" s="92" customFormat="1" ht="14.25" customHeight="1" thickBot="1">
      <c r="A83" s="1350"/>
      <c r="B83" s="1353"/>
      <c r="C83" s="1357"/>
      <c r="D83" s="1374"/>
      <c r="E83" s="473" t="s">
        <v>636</v>
      </c>
      <c r="F83" s="474" t="s">
        <v>637</v>
      </c>
      <c r="G83" s="1375"/>
      <c r="H83" s="475" t="s">
        <v>639</v>
      </c>
      <c r="I83" s="476" t="s">
        <v>640</v>
      </c>
      <c r="J83" s="477" t="s">
        <v>296</v>
      </c>
      <c r="K83" s="477" t="s">
        <v>641</v>
      </c>
      <c r="L83" s="1377"/>
      <c r="M83" s="478" t="s">
        <v>643</v>
      </c>
      <c r="N83" s="338"/>
    </row>
    <row r="84" spans="1:15" s="92" customFormat="1" ht="14.25" customHeight="1">
      <c r="A84" s="380" t="s">
        <v>796</v>
      </c>
      <c r="B84" s="447"/>
      <c r="C84" s="448"/>
      <c r="D84" s="449"/>
      <c r="E84" s="471">
        <f>E71</f>
        <v>8500</v>
      </c>
      <c r="F84" s="472">
        <f t="shared" ref="F84:M84" si="21">F71</f>
        <v>102000</v>
      </c>
      <c r="G84" s="471" t="e">
        <f t="shared" si="21"/>
        <v>#REF!</v>
      </c>
      <c r="H84" s="471">
        <f t="shared" si="21"/>
        <v>6621.75</v>
      </c>
      <c r="I84" s="471">
        <f t="shared" si="21"/>
        <v>7412.16</v>
      </c>
      <c r="J84" s="471">
        <f t="shared" si="21"/>
        <v>0</v>
      </c>
      <c r="K84" s="471">
        <f t="shared" si="21"/>
        <v>234</v>
      </c>
      <c r="L84" s="471" t="e">
        <f t="shared" si="21"/>
        <v>#REF!</v>
      </c>
      <c r="M84" s="471" t="e">
        <f t="shared" si="21"/>
        <v>#REF!</v>
      </c>
      <c r="N84" s="338"/>
    </row>
    <row r="85" spans="1:15" s="92" customFormat="1" ht="16.5" customHeight="1">
      <c r="A85" s="465">
        <f>A70+1</f>
        <v>24</v>
      </c>
      <c r="B85" s="495" t="s">
        <v>100</v>
      </c>
      <c r="C85" s="504" t="s">
        <v>660</v>
      </c>
      <c r="D85" s="467" t="s">
        <v>558</v>
      </c>
      <c r="E85" s="468">
        <v>275</v>
      </c>
      <c r="F85" s="89">
        <f t="shared" ref="F85:F104" si="22">E85*12</f>
        <v>3300</v>
      </c>
      <c r="G85" s="469">
        <v>300</v>
      </c>
      <c r="H85" s="469">
        <f t="shared" ref="H85:H92" si="23">F85*6.75%</f>
        <v>222.75000000000003</v>
      </c>
      <c r="I85" s="89">
        <f t="shared" ref="I85:I100" si="24">F85*7.5%</f>
        <v>247.5</v>
      </c>
      <c r="J85" s="89"/>
      <c r="K85" s="469"/>
      <c r="L85" s="470">
        <f t="shared" ref="L85:L104" si="25">SUM(G85:K85)</f>
        <v>770.25</v>
      </c>
      <c r="M85" s="498">
        <f t="shared" ref="M85:M104" si="26">L85+F85</f>
        <v>4070.25</v>
      </c>
      <c r="N85" s="338"/>
    </row>
    <row r="86" spans="1:15" s="92" customFormat="1" ht="16.5" customHeight="1">
      <c r="A86" s="465">
        <f>A85+1</f>
        <v>25</v>
      </c>
      <c r="B86" s="495" t="s">
        <v>101</v>
      </c>
      <c r="C86" s="504" t="s">
        <v>192</v>
      </c>
      <c r="D86" s="467" t="s">
        <v>558</v>
      </c>
      <c r="E86" s="468">
        <v>450</v>
      </c>
      <c r="F86" s="89">
        <f t="shared" si="22"/>
        <v>5400</v>
      </c>
      <c r="G86" s="469" t="e">
        <f>'SUELDOS '!#REF!</f>
        <v>#REF!</v>
      </c>
      <c r="H86" s="469">
        <f t="shared" si="23"/>
        <v>364.5</v>
      </c>
      <c r="I86" s="89">
        <f t="shared" si="24"/>
        <v>405</v>
      </c>
      <c r="J86" s="89"/>
      <c r="K86" s="469"/>
      <c r="L86" s="470" t="e">
        <f t="shared" si="25"/>
        <v>#REF!</v>
      </c>
      <c r="M86" s="498" t="e">
        <f t="shared" si="26"/>
        <v>#REF!</v>
      </c>
      <c r="N86" s="338"/>
    </row>
    <row r="87" spans="1:15" s="92" customFormat="1" ht="16.5" customHeight="1">
      <c r="A87" s="465">
        <f t="shared" ref="A87:A104" si="27">A86+1</f>
        <v>26</v>
      </c>
      <c r="B87" s="504"/>
      <c r="C87" s="504" t="s">
        <v>665</v>
      </c>
      <c r="D87" s="467" t="s">
        <v>558</v>
      </c>
      <c r="E87" s="468">
        <v>250</v>
      </c>
      <c r="F87" s="89">
        <f t="shared" si="22"/>
        <v>3000</v>
      </c>
      <c r="G87" s="469">
        <v>300</v>
      </c>
      <c r="H87" s="469">
        <f t="shared" si="23"/>
        <v>202.5</v>
      </c>
      <c r="I87" s="89">
        <f t="shared" si="24"/>
        <v>225</v>
      </c>
      <c r="J87" s="89"/>
      <c r="K87" s="469"/>
      <c r="L87" s="470">
        <f t="shared" si="25"/>
        <v>727.5</v>
      </c>
      <c r="M87" s="498">
        <f t="shared" si="26"/>
        <v>3727.5</v>
      </c>
      <c r="N87" s="338"/>
    </row>
    <row r="88" spans="1:15" s="92" customFormat="1" ht="16.5" customHeight="1">
      <c r="A88" s="465">
        <f t="shared" si="27"/>
        <v>27</v>
      </c>
      <c r="B88" s="504" t="s">
        <v>662</v>
      </c>
      <c r="C88" s="504" t="s">
        <v>663</v>
      </c>
      <c r="D88" s="467" t="s">
        <v>558</v>
      </c>
      <c r="E88" s="468">
        <v>375</v>
      </c>
      <c r="F88" s="89">
        <f t="shared" si="22"/>
        <v>4500</v>
      </c>
      <c r="G88" s="469">
        <v>300</v>
      </c>
      <c r="H88" s="469">
        <f t="shared" si="23"/>
        <v>303.75</v>
      </c>
      <c r="I88" s="89">
        <f t="shared" si="24"/>
        <v>337.5</v>
      </c>
      <c r="J88" s="89"/>
      <c r="K88" s="469"/>
      <c r="L88" s="470">
        <f t="shared" si="25"/>
        <v>941.25</v>
      </c>
      <c r="M88" s="498">
        <f t="shared" si="26"/>
        <v>5441.25</v>
      </c>
      <c r="N88" s="338"/>
    </row>
    <row r="89" spans="1:15" s="92" customFormat="1" ht="16.5" customHeight="1">
      <c r="A89" s="465">
        <f t="shared" si="27"/>
        <v>28</v>
      </c>
      <c r="B89" s="505" t="s">
        <v>102</v>
      </c>
      <c r="C89" s="506" t="s">
        <v>193</v>
      </c>
      <c r="D89" s="467" t="s">
        <v>558</v>
      </c>
      <c r="E89" s="507">
        <v>300</v>
      </c>
      <c r="F89" s="89">
        <f t="shared" si="22"/>
        <v>3600</v>
      </c>
      <c r="G89" s="469">
        <v>300</v>
      </c>
      <c r="H89" s="469">
        <f t="shared" si="23"/>
        <v>243.00000000000003</v>
      </c>
      <c r="I89" s="89">
        <f t="shared" si="24"/>
        <v>270</v>
      </c>
      <c r="J89" s="89"/>
      <c r="K89" s="469"/>
      <c r="L89" s="470">
        <f t="shared" si="25"/>
        <v>813</v>
      </c>
      <c r="M89" s="498">
        <f t="shared" si="26"/>
        <v>4413</v>
      </c>
      <c r="N89" s="338"/>
    </row>
    <row r="90" spans="1:15" s="92" customFormat="1" ht="16.5" customHeight="1">
      <c r="A90" s="465">
        <f t="shared" si="27"/>
        <v>29</v>
      </c>
      <c r="B90" s="504" t="s">
        <v>732</v>
      </c>
      <c r="C90" s="504" t="s">
        <v>731</v>
      </c>
      <c r="D90" s="467" t="s">
        <v>558</v>
      </c>
      <c r="E90" s="507">
        <v>250</v>
      </c>
      <c r="F90" s="89">
        <f t="shared" si="22"/>
        <v>3000</v>
      </c>
      <c r="G90" s="469">
        <v>300</v>
      </c>
      <c r="H90" s="469">
        <f t="shared" si="23"/>
        <v>202.5</v>
      </c>
      <c r="I90" s="89">
        <f t="shared" si="24"/>
        <v>225</v>
      </c>
      <c r="J90" s="89"/>
      <c r="K90" s="469"/>
      <c r="L90" s="470">
        <f t="shared" si="25"/>
        <v>727.5</v>
      </c>
      <c r="M90" s="498">
        <f t="shared" si="26"/>
        <v>3727.5</v>
      </c>
      <c r="N90" s="338"/>
    </row>
    <row r="91" spans="1:15" s="331" customFormat="1" ht="16.5" customHeight="1">
      <c r="A91" s="465">
        <f t="shared" si="27"/>
        <v>30</v>
      </c>
      <c r="B91" s="93" t="s">
        <v>107</v>
      </c>
      <c r="C91" s="486" t="s">
        <v>108</v>
      </c>
      <c r="D91" s="487" t="s">
        <v>558</v>
      </c>
      <c r="E91" s="468">
        <v>275</v>
      </c>
      <c r="F91" s="89">
        <f>E91*12</f>
        <v>3300</v>
      </c>
      <c r="G91" s="469">
        <v>300</v>
      </c>
      <c r="H91" s="469">
        <f>F91*6.75%</f>
        <v>222.75000000000003</v>
      </c>
      <c r="I91" s="89">
        <f>F91*7.5%</f>
        <v>247.5</v>
      </c>
      <c r="J91" s="89"/>
      <c r="K91" s="469"/>
      <c r="L91" s="470">
        <f>SUM(G91:K91)</f>
        <v>770.25</v>
      </c>
      <c r="M91" s="498">
        <f>L91+F91</f>
        <v>4070.25</v>
      </c>
      <c r="N91" s="388"/>
    </row>
    <row r="92" spans="1:15" s="92" customFormat="1" ht="16.5" customHeight="1">
      <c r="A92" s="465">
        <f t="shared" si="27"/>
        <v>31</v>
      </c>
      <c r="B92" s="504" t="s">
        <v>521</v>
      </c>
      <c r="C92" s="504" t="s">
        <v>518</v>
      </c>
      <c r="D92" s="467" t="s">
        <v>558</v>
      </c>
      <c r="E92" s="468">
        <v>308.57</v>
      </c>
      <c r="F92" s="89">
        <f t="shared" si="22"/>
        <v>3702.84</v>
      </c>
      <c r="G92" s="469">
        <v>300</v>
      </c>
      <c r="H92" s="469">
        <f t="shared" si="23"/>
        <v>249.94170000000003</v>
      </c>
      <c r="I92" s="89">
        <f t="shared" si="24"/>
        <v>277.71300000000002</v>
      </c>
      <c r="J92" s="89"/>
      <c r="K92" s="469"/>
      <c r="L92" s="470">
        <f t="shared" si="25"/>
        <v>827.65470000000005</v>
      </c>
      <c r="M92" s="498">
        <f t="shared" si="26"/>
        <v>4530.4947000000002</v>
      </c>
      <c r="N92" s="338"/>
    </row>
    <row r="93" spans="1:15" s="92" customFormat="1" ht="16.5" customHeight="1">
      <c r="A93" s="465">
        <f t="shared" si="27"/>
        <v>32</v>
      </c>
      <c r="B93" s="504"/>
      <c r="C93" s="504" t="s">
        <v>289</v>
      </c>
      <c r="D93" s="467" t="s">
        <v>558</v>
      </c>
      <c r="E93" s="468">
        <v>300</v>
      </c>
      <c r="F93" s="89">
        <f t="shared" si="22"/>
        <v>3600</v>
      </c>
      <c r="G93" s="469">
        <v>300</v>
      </c>
      <c r="H93" s="469"/>
      <c r="I93" s="89">
        <f t="shared" si="24"/>
        <v>270</v>
      </c>
      <c r="J93" s="89"/>
      <c r="K93" s="469">
        <f>F93*6%</f>
        <v>216</v>
      </c>
      <c r="L93" s="470">
        <f t="shared" si="25"/>
        <v>786</v>
      </c>
      <c r="M93" s="498">
        <f t="shared" si="26"/>
        <v>4386</v>
      </c>
      <c r="N93" s="338"/>
      <c r="O93" s="300"/>
    </row>
    <row r="94" spans="1:15" s="92" customFormat="1" ht="16.5" customHeight="1">
      <c r="A94" s="465">
        <f t="shared" si="27"/>
        <v>33</v>
      </c>
      <c r="B94" s="504" t="s">
        <v>721</v>
      </c>
      <c r="C94" s="504" t="s">
        <v>722</v>
      </c>
      <c r="D94" s="467" t="s">
        <v>558</v>
      </c>
      <c r="E94" s="468">
        <v>350</v>
      </c>
      <c r="F94" s="89">
        <f t="shared" si="22"/>
        <v>4200</v>
      </c>
      <c r="G94" s="469" t="e">
        <f>'SUELDOS '!#REF!</f>
        <v>#REF!</v>
      </c>
      <c r="H94" s="469">
        <f t="shared" ref="H94:H100" si="28">F94*6.75%</f>
        <v>283.5</v>
      </c>
      <c r="I94" s="89">
        <f t="shared" si="24"/>
        <v>315</v>
      </c>
      <c r="J94" s="89"/>
      <c r="K94" s="469"/>
      <c r="L94" s="470" t="e">
        <f t="shared" si="25"/>
        <v>#REF!</v>
      </c>
      <c r="M94" s="498" t="e">
        <f t="shared" si="26"/>
        <v>#REF!</v>
      </c>
      <c r="N94" s="338"/>
    </row>
    <row r="95" spans="1:15" s="92" customFormat="1" ht="16.5" customHeight="1">
      <c r="A95" s="465">
        <f t="shared" si="27"/>
        <v>34</v>
      </c>
      <c r="B95" s="495" t="s">
        <v>103</v>
      </c>
      <c r="C95" s="504" t="s">
        <v>736</v>
      </c>
      <c r="D95" s="467" t="s">
        <v>558</v>
      </c>
      <c r="E95" s="468">
        <v>600</v>
      </c>
      <c r="F95" s="89">
        <f t="shared" si="22"/>
        <v>7200</v>
      </c>
      <c r="G95" s="469" t="e">
        <f>'SUELDOS '!#REF!</f>
        <v>#REF!</v>
      </c>
      <c r="H95" s="469">
        <f t="shared" si="28"/>
        <v>486.00000000000006</v>
      </c>
      <c r="I95" s="89">
        <f t="shared" si="24"/>
        <v>540</v>
      </c>
      <c r="J95" s="89"/>
      <c r="K95" s="469"/>
      <c r="L95" s="470" t="e">
        <f t="shared" si="25"/>
        <v>#REF!</v>
      </c>
      <c r="M95" s="498" t="e">
        <f t="shared" si="26"/>
        <v>#REF!</v>
      </c>
      <c r="N95" s="338"/>
    </row>
    <row r="96" spans="1:15" s="92" customFormat="1" ht="16.5" customHeight="1">
      <c r="A96" s="465">
        <f t="shared" si="27"/>
        <v>35</v>
      </c>
      <c r="B96" s="495" t="s">
        <v>104</v>
      </c>
      <c r="C96" s="504" t="s">
        <v>544</v>
      </c>
      <c r="D96" s="487" t="s">
        <v>558</v>
      </c>
      <c r="E96" s="468">
        <v>275</v>
      </c>
      <c r="F96" s="89">
        <f t="shared" si="22"/>
        <v>3300</v>
      </c>
      <c r="G96" s="469">
        <v>300</v>
      </c>
      <c r="H96" s="469">
        <f t="shared" si="28"/>
        <v>222.75000000000003</v>
      </c>
      <c r="I96" s="89">
        <f t="shared" si="24"/>
        <v>247.5</v>
      </c>
      <c r="J96" s="89"/>
      <c r="K96" s="469"/>
      <c r="L96" s="470">
        <f t="shared" si="25"/>
        <v>770.25</v>
      </c>
      <c r="M96" s="498">
        <f t="shared" si="26"/>
        <v>4070.25</v>
      </c>
      <c r="N96" s="338"/>
    </row>
    <row r="97" spans="1:15" s="92" customFormat="1" ht="16.5" customHeight="1">
      <c r="A97" s="465">
        <f t="shared" si="27"/>
        <v>36</v>
      </c>
      <c r="B97" s="504" t="s">
        <v>661</v>
      </c>
      <c r="C97" s="504" t="s">
        <v>544</v>
      </c>
      <c r="D97" s="508" t="s">
        <v>558</v>
      </c>
      <c r="E97" s="468">
        <v>345</v>
      </c>
      <c r="F97" s="89">
        <f t="shared" si="22"/>
        <v>4140</v>
      </c>
      <c r="G97" s="469">
        <v>300</v>
      </c>
      <c r="H97" s="469">
        <f t="shared" si="28"/>
        <v>279.45000000000005</v>
      </c>
      <c r="I97" s="89">
        <f t="shared" si="24"/>
        <v>310.5</v>
      </c>
      <c r="J97" s="89"/>
      <c r="K97" s="469"/>
      <c r="L97" s="470">
        <f t="shared" si="25"/>
        <v>889.95</v>
      </c>
      <c r="M97" s="498">
        <f t="shared" si="26"/>
        <v>5029.95</v>
      </c>
      <c r="N97" s="338"/>
      <c r="O97" s="300"/>
    </row>
    <row r="98" spans="1:15" s="92" customFormat="1" ht="16.5" customHeight="1">
      <c r="A98" s="465">
        <f t="shared" si="27"/>
        <v>37</v>
      </c>
      <c r="B98" s="93" t="s">
        <v>105</v>
      </c>
      <c r="C98" s="504" t="s">
        <v>797</v>
      </c>
      <c r="D98" s="508" t="s">
        <v>558</v>
      </c>
      <c r="E98" s="468">
        <v>300</v>
      </c>
      <c r="F98" s="89">
        <f t="shared" si="22"/>
        <v>3600</v>
      </c>
      <c r="G98" s="469">
        <v>300</v>
      </c>
      <c r="H98" s="469">
        <f t="shared" si="28"/>
        <v>243.00000000000003</v>
      </c>
      <c r="I98" s="89">
        <f t="shared" si="24"/>
        <v>270</v>
      </c>
      <c r="J98" s="89"/>
      <c r="K98" s="469"/>
      <c r="L98" s="470">
        <f t="shared" si="25"/>
        <v>813</v>
      </c>
      <c r="M98" s="498">
        <f t="shared" si="26"/>
        <v>4413</v>
      </c>
      <c r="N98" s="338"/>
      <c r="O98" s="300"/>
    </row>
    <row r="99" spans="1:15" s="92" customFormat="1" ht="16.5" customHeight="1">
      <c r="A99" s="465">
        <f t="shared" si="27"/>
        <v>38</v>
      </c>
      <c r="B99" s="504" t="s">
        <v>725</v>
      </c>
      <c r="C99" s="504" t="s">
        <v>545</v>
      </c>
      <c r="D99" s="487" t="s">
        <v>558</v>
      </c>
      <c r="E99" s="468">
        <v>350</v>
      </c>
      <c r="F99" s="89">
        <f t="shared" si="22"/>
        <v>4200</v>
      </c>
      <c r="G99" s="469">
        <v>300</v>
      </c>
      <c r="H99" s="469">
        <f t="shared" si="28"/>
        <v>283.5</v>
      </c>
      <c r="I99" s="89">
        <f t="shared" si="24"/>
        <v>315</v>
      </c>
      <c r="J99" s="89"/>
      <c r="K99" s="469"/>
      <c r="L99" s="470">
        <f t="shared" si="25"/>
        <v>898.5</v>
      </c>
      <c r="M99" s="498">
        <f t="shared" si="26"/>
        <v>5098.5</v>
      </c>
      <c r="N99" s="338"/>
    </row>
    <row r="100" spans="1:15" s="331" customFormat="1" ht="16.5" customHeight="1">
      <c r="A100" s="465">
        <f t="shared" si="27"/>
        <v>39</v>
      </c>
      <c r="B100" s="495" t="s">
        <v>106</v>
      </c>
      <c r="C100" s="504" t="s">
        <v>545</v>
      </c>
      <c r="D100" s="487" t="s">
        <v>558</v>
      </c>
      <c r="E100" s="507">
        <v>325</v>
      </c>
      <c r="F100" s="89">
        <f t="shared" si="22"/>
        <v>3900</v>
      </c>
      <c r="G100" s="469">
        <v>300</v>
      </c>
      <c r="H100" s="469">
        <f t="shared" si="28"/>
        <v>263.25</v>
      </c>
      <c r="I100" s="89">
        <f t="shared" si="24"/>
        <v>292.5</v>
      </c>
      <c r="J100" s="89"/>
      <c r="K100" s="469"/>
      <c r="L100" s="470">
        <f t="shared" si="25"/>
        <v>855.75</v>
      </c>
      <c r="M100" s="498">
        <f t="shared" si="26"/>
        <v>4755.75</v>
      </c>
      <c r="N100" s="338"/>
    </row>
    <row r="101" spans="1:15" s="92" customFormat="1" ht="16.5" customHeight="1">
      <c r="A101" s="465">
        <f t="shared" si="27"/>
        <v>40</v>
      </c>
      <c r="B101" s="495" t="s">
        <v>109</v>
      </c>
      <c r="C101" s="486" t="s">
        <v>435</v>
      </c>
      <c r="D101" s="487" t="s">
        <v>558</v>
      </c>
      <c r="E101" s="468">
        <v>250</v>
      </c>
      <c r="F101" s="89">
        <f t="shared" si="22"/>
        <v>3000</v>
      </c>
      <c r="G101" s="469">
        <v>300</v>
      </c>
      <c r="H101" s="469">
        <f>F101*6.75%</f>
        <v>202.5</v>
      </c>
      <c r="I101" s="89">
        <f>F101*7.5%</f>
        <v>225</v>
      </c>
      <c r="J101" s="89"/>
      <c r="K101" s="469"/>
      <c r="L101" s="470">
        <f t="shared" si="25"/>
        <v>727.5</v>
      </c>
      <c r="M101" s="498">
        <f t="shared" si="26"/>
        <v>3727.5</v>
      </c>
      <c r="N101" s="338"/>
      <c r="O101" s="300"/>
    </row>
    <row r="102" spans="1:15" s="92" customFormat="1" ht="16.5" customHeight="1">
      <c r="A102" s="465">
        <f t="shared" si="27"/>
        <v>41</v>
      </c>
      <c r="B102" s="485" t="s">
        <v>792</v>
      </c>
      <c r="C102" s="486" t="s">
        <v>546</v>
      </c>
      <c r="D102" s="487" t="s">
        <v>558</v>
      </c>
      <c r="E102" s="468">
        <v>225</v>
      </c>
      <c r="F102" s="89">
        <f t="shared" si="22"/>
        <v>2700</v>
      </c>
      <c r="G102" s="469">
        <v>300</v>
      </c>
      <c r="H102" s="469">
        <f>F102*6.75%</f>
        <v>182.25</v>
      </c>
      <c r="I102" s="89">
        <f>F102*7.5%</f>
        <v>202.5</v>
      </c>
      <c r="J102" s="89"/>
      <c r="K102" s="469"/>
      <c r="L102" s="470">
        <f t="shared" si="25"/>
        <v>684.75</v>
      </c>
      <c r="M102" s="498">
        <f t="shared" si="26"/>
        <v>3384.75</v>
      </c>
      <c r="N102" s="338"/>
      <c r="O102" s="300"/>
    </row>
    <row r="103" spans="1:15" s="92" customFormat="1" ht="16.5" customHeight="1">
      <c r="A103" s="465">
        <f t="shared" si="27"/>
        <v>42</v>
      </c>
      <c r="B103" s="485" t="s">
        <v>110</v>
      </c>
      <c r="C103" s="494" t="s">
        <v>111</v>
      </c>
      <c r="D103" s="487" t="s">
        <v>558</v>
      </c>
      <c r="E103" s="468">
        <v>70</v>
      </c>
      <c r="F103" s="89">
        <f t="shared" si="22"/>
        <v>840</v>
      </c>
      <c r="G103" s="469">
        <v>70</v>
      </c>
      <c r="H103" s="469"/>
      <c r="I103" s="89"/>
      <c r="J103" s="89"/>
      <c r="K103" s="469"/>
      <c r="L103" s="470">
        <f t="shared" si="25"/>
        <v>70</v>
      </c>
      <c r="M103" s="498">
        <f t="shared" si="26"/>
        <v>910</v>
      </c>
      <c r="N103" s="338"/>
      <c r="O103" s="300"/>
    </row>
    <row r="104" spans="1:15" s="92" customFormat="1" ht="16.5" customHeight="1">
      <c r="A104" s="465">
        <f t="shared" si="27"/>
        <v>43</v>
      </c>
      <c r="B104" s="495" t="s">
        <v>112</v>
      </c>
      <c r="C104" s="494" t="s">
        <v>113</v>
      </c>
      <c r="D104" s="487" t="s">
        <v>558</v>
      </c>
      <c r="E104" s="468">
        <v>550</v>
      </c>
      <c r="F104" s="89">
        <f t="shared" si="22"/>
        <v>6600</v>
      </c>
      <c r="G104" s="469">
        <f>E104*0.8</f>
        <v>440</v>
      </c>
      <c r="H104" s="469"/>
      <c r="I104" s="89"/>
      <c r="J104" s="89"/>
      <c r="K104" s="469"/>
      <c r="L104" s="470">
        <f t="shared" si="25"/>
        <v>440</v>
      </c>
      <c r="M104" s="498">
        <f t="shared" si="26"/>
        <v>7040</v>
      </c>
      <c r="N104" s="338"/>
    </row>
    <row r="105" spans="1:15" s="329" customFormat="1" ht="15.75" customHeight="1">
      <c r="A105" s="1354" t="s">
        <v>600</v>
      </c>
      <c r="B105" s="1354"/>
      <c r="C105" s="1354"/>
      <c r="D105" s="1354"/>
      <c r="E105" s="468">
        <f>SUM(E84:E104)</f>
        <v>14923.57</v>
      </c>
      <c r="F105" s="468">
        <f t="shared" ref="F105:M105" si="29">SUM(F84:F104)</f>
        <v>179082.84</v>
      </c>
      <c r="G105" s="468" t="e">
        <f t="shared" si="29"/>
        <v>#REF!</v>
      </c>
      <c r="H105" s="468">
        <f t="shared" si="29"/>
        <v>11079.6417</v>
      </c>
      <c r="I105" s="468">
        <f t="shared" si="29"/>
        <v>12635.373</v>
      </c>
      <c r="J105" s="468">
        <f t="shared" si="29"/>
        <v>0</v>
      </c>
      <c r="K105" s="468">
        <f t="shared" si="29"/>
        <v>450</v>
      </c>
      <c r="L105" s="468" t="e">
        <f t="shared" si="29"/>
        <v>#REF!</v>
      </c>
      <c r="M105" s="468" t="e">
        <f t="shared" si="29"/>
        <v>#REF!</v>
      </c>
      <c r="N105" s="388"/>
    </row>
    <row r="106" spans="1:15" s="92" customFormat="1" ht="15.75" customHeight="1">
      <c r="A106" s="266" t="s">
        <v>295</v>
      </c>
      <c r="B106" s="266"/>
      <c r="C106" s="287"/>
      <c r="D106" s="278"/>
      <c r="E106" s="389"/>
      <c r="F106" s="299">
        <f>SUM(F85:F102)*1%+F72</f>
        <v>1716.4284</v>
      </c>
      <c r="G106" s="299"/>
      <c r="H106" s="299"/>
      <c r="I106" s="299"/>
      <c r="J106" s="299"/>
      <c r="K106" s="299"/>
      <c r="L106" s="299">
        <f>F106</f>
        <v>1716.4284</v>
      </c>
      <c r="M106" s="299">
        <f>L106</f>
        <v>1716.4284</v>
      </c>
      <c r="N106" s="390"/>
    </row>
    <row r="107" spans="1:15" s="92" customFormat="1" ht="15.75" customHeight="1">
      <c r="A107" s="292" t="s">
        <v>294</v>
      </c>
      <c r="B107" s="292"/>
      <c r="C107" s="289"/>
      <c r="D107" s="290" t="s">
        <v>541</v>
      </c>
      <c r="E107" s="389"/>
      <c r="F107" s="291"/>
      <c r="G107" s="292"/>
      <c r="H107" s="292"/>
      <c r="I107" s="291"/>
      <c r="J107" s="291"/>
      <c r="K107" s="292"/>
      <c r="L107" s="293">
        <v>80000</v>
      </c>
      <c r="M107" s="291">
        <f>F107+L107+G107</f>
        <v>80000</v>
      </c>
      <c r="N107" s="385"/>
    </row>
    <row r="108" spans="1:15" s="92" customFormat="1" ht="15.75" customHeight="1">
      <c r="A108" s="1362" t="s">
        <v>629</v>
      </c>
      <c r="B108" s="1362"/>
      <c r="C108" s="1362"/>
      <c r="D108" s="1362"/>
      <c r="E108" s="1362"/>
      <c r="F108" s="1362"/>
      <c r="G108" s="1362"/>
      <c r="H108" s="1362"/>
      <c r="I108" s="1362"/>
      <c r="J108" s="1362"/>
      <c r="K108" s="1362"/>
      <c r="L108" s="1362"/>
      <c r="M108" s="386" t="e">
        <f>SUM(M105:M107)</f>
        <v>#REF!</v>
      </c>
      <c r="N108" s="393" t="e">
        <f>M105+M107</f>
        <v>#REF!</v>
      </c>
    </row>
    <row r="109" spans="1:15" s="92" customFormat="1" ht="16.5" hidden="1" customHeight="1">
      <c r="A109" s="387"/>
      <c r="B109" s="387"/>
      <c r="C109" s="387"/>
      <c r="D109" s="387"/>
      <c r="E109" s="387"/>
      <c r="F109" s="387"/>
      <c r="G109" s="387"/>
      <c r="H109" s="387"/>
      <c r="I109" s="387"/>
      <c r="J109" s="387"/>
      <c r="K109" s="387"/>
      <c r="L109" s="387"/>
      <c r="M109" s="385"/>
      <c r="N109" s="328"/>
    </row>
    <row r="110" spans="1:15" s="92" customFormat="1" ht="16.5" hidden="1" customHeight="1">
      <c r="A110" s="387"/>
      <c r="B110" s="387"/>
      <c r="C110" s="387"/>
      <c r="D110" s="387"/>
      <c r="E110" s="387"/>
      <c r="F110" s="387"/>
      <c r="G110" s="387"/>
      <c r="H110" s="387"/>
      <c r="I110" s="387"/>
      <c r="J110" s="387"/>
      <c r="K110" s="387"/>
      <c r="L110" s="387"/>
      <c r="M110" s="385"/>
      <c r="N110" s="328"/>
    </row>
    <row r="111" spans="1:15" s="92" customFormat="1" ht="16.5" hidden="1" customHeight="1">
      <c r="A111" s="387"/>
      <c r="B111" s="387"/>
      <c r="C111" s="387"/>
      <c r="D111" s="387"/>
      <c r="E111" s="387"/>
      <c r="F111" s="387"/>
      <c r="G111" s="387"/>
      <c r="H111" s="387"/>
      <c r="I111" s="387"/>
      <c r="J111" s="387"/>
      <c r="K111" s="387"/>
      <c r="L111" s="387"/>
      <c r="M111" s="385"/>
      <c r="N111" s="328"/>
    </row>
    <row r="112" spans="1:15" s="92" customFormat="1" ht="18" customHeight="1">
      <c r="A112" s="1329" t="s">
        <v>597</v>
      </c>
      <c r="B112" s="1329"/>
      <c r="C112" s="1329"/>
      <c r="D112" s="1329"/>
      <c r="E112" s="1329"/>
      <c r="F112" s="1329"/>
      <c r="G112" s="1329"/>
      <c r="H112" s="1329"/>
      <c r="I112" s="1329"/>
      <c r="J112" s="1329"/>
      <c r="K112" s="1329"/>
      <c r="L112" s="1329"/>
      <c r="M112" s="1329"/>
      <c r="N112" s="328"/>
    </row>
    <row r="113" spans="1:14" s="92" customFormat="1" ht="18" customHeight="1">
      <c r="A113" s="1329" t="s">
        <v>598</v>
      </c>
      <c r="B113" s="1329"/>
      <c r="C113" s="1329"/>
      <c r="D113" s="1329"/>
      <c r="E113" s="1329"/>
      <c r="F113" s="1329"/>
      <c r="G113" s="1329"/>
      <c r="H113" s="1329"/>
      <c r="I113" s="1329"/>
      <c r="J113" s="1329"/>
      <c r="K113" s="1329"/>
      <c r="L113" s="1329"/>
      <c r="M113" s="1329"/>
      <c r="N113" s="328"/>
    </row>
    <row r="114" spans="1:14" s="92" customFormat="1" ht="18" customHeight="1">
      <c r="A114" s="1329" t="s">
        <v>870</v>
      </c>
      <c r="B114" s="1329"/>
      <c r="C114" s="1329"/>
      <c r="D114" s="1329"/>
      <c r="E114" s="1329"/>
      <c r="F114" s="1329"/>
      <c r="G114" s="1329"/>
      <c r="H114" s="1329"/>
      <c r="I114" s="1329"/>
      <c r="J114" s="1329"/>
      <c r="K114" s="1329"/>
      <c r="L114" s="1329"/>
      <c r="M114" s="1329"/>
      <c r="N114" s="328"/>
    </row>
    <row r="115" spans="1:14" s="92" customFormat="1" ht="18" customHeight="1" thickBot="1">
      <c r="A115" s="328"/>
      <c r="B115" s="387" t="s">
        <v>114</v>
      </c>
      <c r="C115" s="328"/>
      <c r="D115" s="328"/>
      <c r="E115" s="369"/>
      <c r="F115" s="328"/>
      <c r="G115" s="328"/>
      <c r="H115" s="328"/>
      <c r="I115" s="328"/>
      <c r="J115" s="328"/>
      <c r="K115" s="328"/>
      <c r="L115" s="328" t="s">
        <v>99</v>
      </c>
      <c r="M115" s="446"/>
      <c r="N115" s="328"/>
    </row>
    <row r="116" spans="1:14" s="92" customFormat="1" ht="18" customHeight="1" thickBot="1">
      <c r="A116" s="1339" t="s">
        <v>630</v>
      </c>
      <c r="B116" s="1351" t="s">
        <v>210</v>
      </c>
      <c r="C116" s="1355" t="s">
        <v>631</v>
      </c>
      <c r="D116" s="1363" t="s">
        <v>686</v>
      </c>
      <c r="E116" s="1366" t="s">
        <v>632</v>
      </c>
      <c r="F116" s="1367"/>
      <c r="G116" s="1344" t="s">
        <v>633</v>
      </c>
      <c r="H116" s="1345"/>
      <c r="I116" s="1345"/>
      <c r="J116" s="1345"/>
      <c r="K116" s="1345"/>
      <c r="L116" s="1346"/>
      <c r="M116" s="450" t="s">
        <v>635</v>
      </c>
      <c r="N116" s="328"/>
    </row>
    <row r="117" spans="1:14" s="92" customFormat="1" ht="22.5" customHeight="1">
      <c r="A117" s="1340"/>
      <c r="B117" s="1352"/>
      <c r="C117" s="1356"/>
      <c r="D117" s="1364"/>
      <c r="E117" s="1368"/>
      <c r="F117" s="1331"/>
      <c r="G117" s="1347" t="s">
        <v>638</v>
      </c>
      <c r="H117" s="1342" t="s">
        <v>634</v>
      </c>
      <c r="I117" s="1343"/>
      <c r="J117" s="1343"/>
      <c r="K117" s="1343"/>
      <c r="L117" s="1361" t="s">
        <v>415</v>
      </c>
      <c r="M117" s="335"/>
      <c r="N117" s="376"/>
    </row>
    <row r="118" spans="1:14" s="92" customFormat="1" ht="18" customHeight="1">
      <c r="A118" s="1340"/>
      <c r="B118" s="1352"/>
      <c r="C118" s="1356"/>
      <c r="D118" s="1364"/>
      <c r="E118" s="1368"/>
      <c r="F118" s="1331"/>
      <c r="G118" s="1347"/>
      <c r="H118" s="280" t="s">
        <v>293</v>
      </c>
      <c r="I118" s="1348" t="s">
        <v>292</v>
      </c>
      <c r="J118" s="1349"/>
      <c r="K118" s="1349"/>
      <c r="L118" s="1361"/>
      <c r="M118" s="335"/>
      <c r="N118" s="338"/>
    </row>
    <row r="119" spans="1:14" s="92" customFormat="1" ht="18" customHeight="1">
      <c r="A119" s="1341"/>
      <c r="B119" s="1352"/>
      <c r="C119" s="1356"/>
      <c r="D119" s="1365"/>
      <c r="E119" s="370" t="s">
        <v>636</v>
      </c>
      <c r="F119" s="371" t="s">
        <v>637</v>
      </c>
      <c r="G119" s="1347"/>
      <c r="H119" s="372" t="s">
        <v>639</v>
      </c>
      <c r="I119" s="373" t="s">
        <v>640</v>
      </c>
      <c r="J119" s="374" t="s">
        <v>296</v>
      </c>
      <c r="K119" s="374" t="s">
        <v>641</v>
      </c>
      <c r="L119" s="1361"/>
      <c r="M119" s="375" t="s">
        <v>643</v>
      </c>
      <c r="N119" s="338"/>
    </row>
    <row r="120" spans="1:14" s="92" customFormat="1" ht="18" customHeight="1">
      <c r="A120" s="465">
        <v>1</v>
      </c>
      <c r="B120" s="495" t="s">
        <v>776</v>
      </c>
      <c r="C120" s="506" t="s">
        <v>733</v>
      </c>
      <c r="D120" s="467" t="s">
        <v>18</v>
      </c>
      <c r="E120" s="507">
        <v>375</v>
      </c>
      <c r="F120" s="89">
        <f t="shared" ref="F120:F130" si="30">E120*12</f>
        <v>4500</v>
      </c>
      <c r="G120" s="469">
        <v>300</v>
      </c>
      <c r="H120" s="469">
        <f>F120*6.75%</f>
        <v>303.75</v>
      </c>
      <c r="I120" s="89">
        <f t="shared" ref="I120:I130" si="31">F120*7.5%</f>
        <v>337.5</v>
      </c>
      <c r="J120" s="89"/>
      <c r="K120" s="469"/>
      <c r="L120" s="470">
        <f t="shared" ref="L120:L130" si="32">SUM(G120:K120)</f>
        <v>941.25</v>
      </c>
      <c r="M120" s="498">
        <f t="shared" ref="M120:M130" si="33">L120+F120</f>
        <v>5441.25</v>
      </c>
      <c r="N120" s="338"/>
    </row>
    <row r="121" spans="1:14" s="92" customFormat="1" ht="18" customHeight="1">
      <c r="A121" s="465">
        <v>2</v>
      </c>
      <c r="B121" s="504" t="s">
        <v>279</v>
      </c>
      <c r="C121" s="504" t="s">
        <v>734</v>
      </c>
      <c r="D121" s="467" t="s">
        <v>18</v>
      </c>
      <c r="E121" s="468">
        <v>345</v>
      </c>
      <c r="F121" s="89">
        <f t="shared" si="30"/>
        <v>4140</v>
      </c>
      <c r="G121" s="469">
        <v>300</v>
      </c>
      <c r="H121" s="469"/>
      <c r="I121" s="89">
        <f t="shared" si="31"/>
        <v>310.5</v>
      </c>
      <c r="J121" s="89"/>
      <c r="K121" s="469">
        <f>F121*6%</f>
        <v>248.39999999999998</v>
      </c>
      <c r="L121" s="470">
        <f t="shared" si="32"/>
        <v>858.9</v>
      </c>
      <c r="M121" s="498">
        <f t="shared" si="33"/>
        <v>4998.8999999999996</v>
      </c>
      <c r="N121" s="338"/>
    </row>
    <row r="122" spans="1:14" s="92" customFormat="1" ht="18" customHeight="1">
      <c r="A122" s="465">
        <v>3</v>
      </c>
      <c r="B122" s="506" t="s">
        <v>664</v>
      </c>
      <c r="C122" s="504" t="s">
        <v>734</v>
      </c>
      <c r="D122" s="467" t="s">
        <v>18</v>
      </c>
      <c r="E122" s="468">
        <v>345</v>
      </c>
      <c r="F122" s="89">
        <f t="shared" si="30"/>
        <v>4140</v>
      </c>
      <c r="G122" s="469">
        <v>300</v>
      </c>
      <c r="H122" s="469">
        <f t="shared" ref="H122:H130" si="34">F122*6.75%</f>
        <v>279.45000000000005</v>
      </c>
      <c r="I122" s="89">
        <f t="shared" si="31"/>
        <v>310.5</v>
      </c>
      <c r="J122" s="89"/>
      <c r="K122" s="469"/>
      <c r="L122" s="470">
        <f t="shared" si="32"/>
        <v>889.95</v>
      </c>
      <c r="M122" s="498">
        <f t="shared" si="33"/>
        <v>5029.95</v>
      </c>
      <c r="N122" s="338"/>
    </row>
    <row r="123" spans="1:14" s="92" customFormat="1" ht="18" customHeight="1">
      <c r="A123" s="465">
        <v>4</v>
      </c>
      <c r="B123" s="504" t="s">
        <v>517</v>
      </c>
      <c r="C123" s="504" t="s">
        <v>735</v>
      </c>
      <c r="D123" s="467" t="s">
        <v>18</v>
      </c>
      <c r="E123" s="468">
        <v>275</v>
      </c>
      <c r="F123" s="89">
        <f t="shared" si="30"/>
        <v>3300</v>
      </c>
      <c r="G123" s="469">
        <v>300</v>
      </c>
      <c r="H123" s="469">
        <f t="shared" si="34"/>
        <v>222.75000000000003</v>
      </c>
      <c r="I123" s="89">
        <f t="shared" si="31"/>
        <v>247.5</v>
      </c>
      <c r="J123" s="89"/>
      <c r="K123" s="469"/>
      <c r="L123" s="470">
        <f t="shared" si="32"/>
        <v>770.25</v>
      </c>
      <c r="M123" s="498">
        <f t="shared" si="33"/>
        <v>4070.25</v>
      </c>
      <c r="N123" s="338"/>
    </row>
    <row r="124" spans="1:14" s="92" customFormat="1" ht="18" customHeight="1">
      <c r="A124" s="465">
        <v>5</v>
      </c>
      <c r="B124" s="504" t="s">
        <v>519</v>
      </c>
      <c r="C124" s="504" t="s">
        <v>735</v>
      </c>
      <c r="D124" s="467" t="s">
        <v>18</v>
      </c>
      <c r="E124" s="468">
        <v>275</v>
      </c>
      <c r="F124" s="89">
        <f t="shared" si="30"/>
        <v>3300</v>
      </c>
      <c r="G124" s="469">
        <v>300</v>
      </c>
      <c r="H124" s="469">
        <f t="shared" si="34"/>
        <v>222.75000000000003</v>
      </c>
      <c r="I124" s="89">
        <f t="shared" si="31"/>
        <v>247.5</v>
      </c>
      <c r="J124" s="89"/>
      <c r="K124" s="469"/>
      <c r="L124" s="470">
        <f t="shared" si="32"/>
        <v>770.25</v>
      </c>
      <c r="M124" s="498">
        <f t="shared" si="33"/>
        <v>4070.25</v>
      </c>
      <c r="N124" s="338"/>
    </row>
    <row r="125" spans="1:14" s="92" customFormat="1" ht="18" customHeight="1">
      <c r="A125" s="465">
        <v>6</v>
      </c>
      <c r="B125" s="495" t="s">
        <v>115</v>
      </c>
      <c r="C125" s="504" t="s">
        <v>735</v>
      </c>
      <c r="D125" s="467" t="s">
        <v>18</v>
      </c>
      <c r="E125" s="468">
        <v>275</v>
      </c>
      <c r="F125" s="89">
        <f t="shared" si="30"/>
        <v>3300</v>
      </c>
      <c r="G125" s="469">
        <v>300</v>
      </c>
      <c r="H125" s="469">
        <f t="shared" si="34"/>
        <v>222.75000000000003</v>
      </c>
      <c r="I125" s="89">
        <f t="shared" si="31"/>
        <v>247.5</v>
      </c>
      <c r="J125" s="89"/>
      <c r="K125" s="469"/>
      <c r="L125" s="470">
        <f t="shared" si="32"/>
        <v>770.25</v>
      </c>
      <c r="M125" s="498">
        <f t="shared" si="33"/>
        <v>4070.25</v>
      </c>
      <c r="N125" s="338"/>
    </row>
    <row r="126" spans="1:14" s="92" customFormat="1" ht="18" customHeight="1">
      <c r="A126" s="465">
        <v>7</v>
      </c>
      <c r="B126" s="495" t="s">
        <v>116</v>
      </c>
      <c r="C126" s="504" t="s">
        <v>735</v>
      </c>
      <c r="D126" s="467" t="s">
        <v>18</v>
      </c>
      <c r="E126" s="468">
        <v>275</v>
      </c>
      <c r="F126" s="89">
        <f t="shared" si="30"/>
        <v>3300</v>
      </c>
      <c r="G126" s="469">
        <v>300</v>
      </c>
      <c r="H126" s="469">
        <f t="shared" si="34"/>
        <v>222.75000000000003</v>
      </c>
      <c r="I126" s="89">
        <f t="shared" si="31"/>
        <v>247.5</v>
      </c>
      <c r="J126" s="89"/>
      <c r="K126" s="469"/>
      <c r="L126" s="470">
        <f t="shared" si="32"/>
        <v>770.25</v>
      </c>
      <c r="M126" s="498">
        <f t="shared" si="33"/>
        <v>4070.25</v>
      </c>
      <c r="N126" s="338"/>
    </row>
    <row r="127" spans="1:14" s="92" customFormat="1" ht="18.75" customHeight="1">
      <c r="A127" s="465">
        <v>8</v>
      </c>
      <c r="B127" s="504" t="s">
        <v>118</v>
      </c>
      <c r="C127" s="504" t="s">
        <v>735</v>
      </c>
      <c r="D127" s="467" t="s">
        <v>18</v>
      </c>
      <c r="E127" s="468">
        <v>275</v>
      </c>
      <c r="F127" s="89">
        <f t="shared" si="30"/>
        <v>3300</v>
      </c>
      <c r="G127" s="469">
        <v>300</v>
      </c>
      <c r="H127" s="469">
        <f t="shared" si="34"/>
        <v>222.75000000000003</v>
      </c>
      <c r="I127" s="89">
        <f t="shared" si="31"/>
        <v>247.5</v>
      </c>
      <c r="J127" s="89"/>
      <c r="K127" s="469"/>
      <c r="L127" s="470">
        <f t="shared" si="32"/>
        <v>770.25</v>
      </c>
      <c r="M127" s="498">
        <f t="shared" si="33"/>
        <v>4070.25</v>
      </c>
      <c r="N127" s="338"/>
    </row>
    <row r="128" spans="1:14" s="92" customFormat="1" ht="18.75" customHeight="1">
      <c r="A128" s="465">
        <v>9</v>
      </c>
      <c r="B128" s="504" t="s">
        <v>777</v>
      </c>
      <c r="C128" s="504" t="s">
        <v>735</v>
      </c>
      <c r="D128" s="467" t="s">
        <v>18</v>
      </c>
      <c r="E128" s="468">
        <v>275</v>
      </c>
      <c r="F128" s="89">
        <f t="shared" si="30"/>
        <v>3300</v>
      </c>
      <c r="G128" s="469">
        <v>300</v>
      </c>
      <c r="H128" s="469">
        <f t="shared" si="34"/>
        <v>222.75000000000003</v>
      </c>
      <c r="I128" s="89">
        <f t="shared" si="31"/>
        <v>247.5</v>
      </c>
      <c r="J128" s="89"/>
      <c r="K128" s="469"/>
      <c r="L128" s="470">
        <f t="shared" si="32"/>
        <v>770.25</v>
      </c>
      <c r="M128" s="498">
        <f t="shared" si="33"/>
        <v>4070.25</v>
      </c>
      <c r="N128" s="384"/>
    </row>
    <row r="129" spans="1:14" s="92" customFormat="1" ht="18.75" customHeight="1">
      <c r="A129" s="465">
        <v>10</v>
      </c>
      <c r="B129" s="504" t="s">
        <v>117</v>
      </c>
      <c r="C129" s="504" t="s">
        <v>735</v>
      </c>
      <c r="D129" s="467" t="s">
        <v>18</v>
      </c>
      <c r="E129" s="468">
        <v>275</v>
      </c>
      <c r="F129" s="89">
        <f>E129*12</f>
        <v>3300</v>
      </c>
      <c r="G129" s="469">
        <v>300</v>
      </c>
      <c r="H129" s="469">
        <f>F129*6.75%</f>
        <v>222.75000000000003</v>
      </c>
      <c r="I129" s="89">
        <f>F129*7.5%</f>
        <v>247.5</v>
      </c>
      <c r="J129" s="89"/>
      <c r="K129" s="469"/>
      <c r="L129" s="470">
        <f>SUM(G129:K129)</f>
        <v>770.25</v>
      </c>
      <c r="M129" s="498">
        <f>L129+F129</f>
        <v>4070.25</v>
      </c>
      <c r="N129" s="384"/>
    </row>
    <row r="130" spans="1:14" s="92" customFormat="1" ht="19.5" customHeight="1">
      <c r="A130" s="465">
        <v>11</v>
      </c>
      <c r="B130" s="504" t="s">
        <v>520</v>
      </c>
      <c r="C130" s="504" t="s">
        <v>735</v>
      </c>
      <c r="D130" s="467" t="s">
        <v>18</v>
      </c>
      <c r="E130" s="468">
        <v>275</v>
      </c>
      <c r="F130" s="89">
        <f t="shared" si="30"/>
        <v>3300</v>
      </c>
      <c r="G130" s="469">
        <v>300</v>
      </c>
      <c r="H130" s="469">
        <f t="shared" si="34"/>
        <v>222.75000000000003</v>
      </c>
      <c r="I130" s="89">
        <f t="shared" si="31"/>
        <v>247.5</v>
      </c>
      <c r="J130" s="89"/>
      <c r="K130" s="469"/>
      <c r="L130" s="470">
        <f t="shared" si="32"/>
        <v>770.25</v>
      </c>
      <c r="M130" s="498">
        <f t="shared" si="33"/>
        <v>4070.25</v>
      </c>
      <c r="N130" s="384"/>
    </row>
    <row r="131" spans="1:14" s="92" customFormat="1" ht="19.5" customHeight="1">
      <c r="A131" s="1376" t="s">
        <v>600</v>
      </c>
      <c r="B131" s="1376"/>
      <c r="C131" s="1376"/>
      <c r="D131" s="278"/>
      <c r="E131" s="389">
        <f>SUM(E120:E130)</f>
        <v>3265</v>
      </c>
      <c r="F131" s="299">
        <f>SUM(F120:F130)</f>
        <v>39180</v>
      </c>
      <c r="G131" s="299">
        <f>SUM(G120:G130)</f>
        <v>3300</v>
      </c>
      <c r="H131" s="299">
        <f>SUM(H120:H130)</f>
        <v>2365.2000000000003</v>
      </c>
      <c r="I131" s="299">
        <f>SUM(I120:I130)</f>
        <v>2938.5</v>
      </c>
      <c r="J131" s="299">
        <f>SUM(J120:J125)</f>
        <v>0</v>
      </c>
      <c r="K131" s="299">
        <f>SUM(K120:K130)</f>
        <v>248.39999999999998</v>
      </c>
      <c r="L131" s="299">
        <f>SUM(L120:L130)</f>
        <v>8852.1</v>
      </c>
      <c r="M131" s="299">
        <f>SUM(M120:M130)</f>
        <v>48032.1</v>
      </c>
      <c r="N131" s="385"/>
    </row>
    <row r="132" spans="1:14" s="92" customFormat="1">
      <c r="A132" s="1371" t="s">
        <v>295</v>
      </c>
      <c r="B132" s="1372"/>
      <c r="C132" s="1372"/>
      <c r="D132" s="1372"/>
      <c r="E132" s="1373"/>
      <c r="F132" s="299">
        <f>F131*1%</f>
        <v>391.8</v>
      </c>
      <c r="G132" s="299"/>
      <c r="H132" s="299"/>
      <c r="I132" s="299"/>
      <c r="J132" s="299"/>
      <c r="K132" s="299"/>
      <c r="L132" s="299">
        <f>F132</f>
        <v>391.8</v>
      </c>
      <c r="M132" s="299">
        <f>L132</f>
        <v>391.8</v>
      </c>
    </row>
    <row r="133" spans="1:14" s="92" customFormat="1">
      <c r="A133" s="1362" t="s">
        <v>629</v>
      </c>
      <c r="B133" s="1362"/>
      <c r="C133" s="1362"/>
      <c r="D133" s="1362"/>
      <c r="E133" s="1362"/>
      <c r="F133" s="1362"/>
      <c r="G133" s="1362"/>
      <c r="H133" s="1362"/>
      <c r="I133" s="1362"/>
      <c r="J133" s="1362"/>
      <c r="K133" s="1362"/>
      <c r="L133" s="1362"/>
      <c r="M133" s="386">
        <f>SUM(M131:M132)</f>
        <v>48423.9</v>
      </c>
    </row>
    <row r="134" spans="1:14" s="92" customFormat="1">
      <c r="C134" s="279"/>
      <c r="D134" s="279"/>
      <c r="E134" s="391"/>
      <c r="M134" s="451"/>
    </row>
    <row r="135" spans="1:14" s="92" customFormat="1">
      <c r="C135" s="279"/>
      <c r="D135" s="279"/>
      <c r="E135" s="391"/>
      <c r="M135" s="451"/>
    </row>
    <row r="136" spans="1:14" s="92" customFormat="1">
      <c r="C136" s="279"/>
      <c r="D136" s="279"/>
      <c r="E136" s="391"/>
      <c r="M136" s="451"/>
    </row>
    <row r="137" spans="1:14" s="92" customFormat="1">
      <c r="C137" s="279"/>
      <c r="D137" s="279"/>
      <c r="E137" s="391"/>
      <c r="M137" s="451"/>
    </row>
    <row r="138" spans="1:14" s="92" customFormat="1">
      <c r="C138" s="279"/>
      <c r="D138" s="279"/>
      <c r="E138" s="391"/>
      <c r="M138" s="451"/>
    </row>
    <row r="139" spans="1:14" s="92" customFormat="1">
      <c r="C139" s="279"/>
      <c r="D139" s="279"/>
      <c r="E139" s="391"/>
      <c r="M139" s="451"/>
    </row>
    <row r="140" spans="1:14" s="92" customFormat="1">
      <c r="C140" s="279"/>
      <c r="D140" s="279"/>
      <c r="E140" s="391"/>
      <c r="M140" s="451"/>
    </row>
    <row r="141" spans="1:14" s="92" customFormat="1">
      <c r="C141" s="279"/>
      <c r="D141" s="279"/>
      <c r="E141" s="391"/>
      <c r="M141" s="451"/>
    </row>
    <row r="142" spans="1:14" s="92" customFormat="1">
      <c r="C142" s="279"/>
      <c r="D142" s="279"/>
      <c r="E142" s="391"/>
      <c r="M142" s="451"/>
    </row>
    <row r="143" spans="1:14" s="92" customFormat="1">
      <c r="C143" s="279"/>
      <c r="D143" s="279"/>
      <c r="E143" s="391"/>
      <c r="M143" s="451"/>
    </row>
    <row r="144" spans="1:14" s="92" customFormat="1">
      <c r="C144" s="279"/>
      <c r="D144" s="279"/>
      <c r="E144" s="391"/>
      <c r="M144" s="451"/>
    </row>
    <row r="145" spans="1:13" s="92" customFormat="1">
      <c r="C145" s="279"/>
      <c r="D145" s="279"/>
      <c r="E145" s="391"/>
      <c r="M145" s="451"/>
    </row>
    <row r="146" spans="1:13" s="92" customFormat="1">
      <c r="C146" s="279"/>
      <c r="D146" s="279"/>
      <c r="E146" s="391"/>
      <c r="M146" s="451"/>
    </row>
    <row r="147" spans="1:13" s="92" customFormat="1">
      <c r="C147" s="279"/>
      <c r="D147" s="279"/>
      <c r="E147" s="391"/>
      <c r="M147" s="451"/>
    </row>
    <row r="148" spans="1:13" s="92" customFormat="1">
      <c r="C148" s="279"/>
      <c r="D148" s="279"/>
      <c r="E148" s="391"/>
      <c r="M148" s="451"/>
    </row>
    <row r="149" spans="1:13" s="92" customFormat="1">
      <c r="A149" s="1329" t="s">
        <v>597</v>
      </c>
      <c r="B149" s="1329"/>
      <c r="C149" s="1329"/>
      <c r="D149" s="1329"/>
      <c r="E149" s="1329"/>
      <c r="F149" s="1329"/>
      <c r="G149" s="1329"/>
      <c r="H149" s="1329"/>
      <c r="I149" s="1329"/>
      <c r="J149" s="1329"/>
      <c r="K149" s="1329"/>
      <c r="L149" s="1329"/>
      <c r="M149" s="1329"/>
    </row>
    <row r="150" spans="1:13" s="92" customFormat="1">
      <c r="A150" s="1329" t="s">
        <v>598</v>
      </c>
      <c r="B150" s="1329"/>
      <c r="C150" s="1329"/>
      <c r="D150" s="1329"/>
      <c r="E150" s="1329"/>
      <c r="F150" s="1329"/>
      <c r="G150" s="1329"/>
      <c r="H150" s="1329"/>
      <c r="I150" s="1329"/>
      <c r="J150" s="1329"/>
      <c r="K150" s="1329"/>
      <c r="L150" s="1329"/>
      <c r="M150" s="1329"/>
    </row>
    <row r="151" spans="1:13" s="92" customFormat="1">
      <c r="A151" s="1329" t="s">
        <v>870</v>
      </c>
      <c r="B151" s="1329"/>
      <c r="C151" s="1329"/>
      <c r="D151" s="1329"/>
      <c r="E151" s="1329"/>
      <c r="F151" s="1329"/>
      <c r="G151" s="1329"/>
      <c r="H151" s="1329"/>
      <c r="I151" s="1329"/>
      <c r="J151" s="1329"/>
      <c r="K151" s="1329"/>
      <c r="L151" s="1329"/>
      <c r="M151" s="1329"/>
    </row>
    <row r="152" spans="1:13" s="92" customFormat="1" ht="13.5" thickBot="1">
      <c r="A152" s="328"/>
      <c r="B152" s="1330" t="s">
        <v>791</v>
      </c>
      <c r="C152" s="1330"/>
      <c r="D152" s="1330"/>
      <c r="E152" s="1330"/>
      <c r="F152" s="1330"/>
      <c r="G152" s="1330"/>
      <c r="H152" s="1330"/>
      <c r="I152" s="1330"/>
      <c r="J152" s="1330"/>
      <c r="K152" s="1330"/>
      <c r="L152" s="328" t="s">
        <v>99</v>
      </c>
      <c r="M152" s="446"/>
    </row>
    <row r="153" spans="1:13" s="92" customFormat="1">
      <c r="A153" s="1328" t="s">
        <v>209</v>
      </c>
      <c r="B153" s="1328" t="s">
        <v>210</v>
      </c>
      <c r="C153" s="1338" t="s">
        <v>631</v>
      </c>
      <c r="D153" s="1337" t="s">
        <v>778</v>
      </c>
      <c r="E153" s="1331" t="s">
        <v>632</v>
      </c>
      <c r="F153" s="1331"/>
      <c r="G153" s="1332" t="s">
        <v>633</v>
      </c>
      <c r="H153" s="1332"/>
      <c r="I153" s="1332"/>
      <c r="J153" s="1332"/>
      <c r="K153" s="1332"/>
      <c r="L153" s="1332"/>
      <c r="M153" s="460" t="s">
        <v>635</v>
      </c>
    </row>
    <row r="154" spans="1:13" s="92" customFormat="1">
      <c r="A154" s="1328"/>
      <c r="B154" s="1328"/>
      <c r="C154" s="1338"/>
      <c r="D154" s="1337"/>
      <c r="E154" s="1331"/>
      <c r="F154" s="1331"/>
      <c r="G154" s="1333" t="s">
        <v>638</v>
      </c>
      <c r="H154" s="1334" t="s">
        <v>634</v>
      </c>
      <c r="I154" s="1334"/>
      <c r="J154" s="1334"/>
      <c r="K154" s="1334"/>
      <c r="L154" s="1335" t="s">
        <v>415</v>
      </c>
      <c r="M154" s="461"/>
    </row>
    <row r="155" spans="1:13" s="92" customFormat="1" ht="18">
      <c r="A155" s="1328"/>
      <c r="B155" s="1328"/>
      <c r="C155" s="1338"/>
      <c r="D155" s="1337"/>
      <c r="E155" s="1331"/>
      <c r="F155" s="1331"/>
      <c r="G155" s="1333"/>
      <c r="H155" s="457" t="s">
        <v>293</v>
      </c>
      <c r="I155" s="1336" t="s">
        <v>292</v>
      </c>
      <c r="J155" s="1336"/>
      <c r="K155" s="1336"/>
      <c r="L155" s="1335"/>
      <c r="M155" s="461"/>
    </row>
    <row r="156" spans="1:13" s="92" customFormat="1" ht="13.5" thickBot="1">
      <c r="A156" s="1328"/>
      <c r="B156" s="1328"/>
      <c r="C156" s="1338"/>
      <c r="D156" s="1337"/>
      <c r="E156" s="455" t="s">
        <v>636</v>
      </c>
      <c r="F156" s="456" t="s">
        <v>637</v>
      </c>
      <c r="G156" s="1333"/>
      <c r="H156" s="458" t="s">
        <v>639</v>
      </c>
      <c r="I156" s="459" t="s">
        <v>640</v>
      </c>
      <c r="J156" s="459" t="s">
        <v>296</v>
      </c>
      <c r="K156" s="459" t="s">
        <v>641</v>
      </c>
      <c r="L156" s="1335"/>
      <c r="M156" s="462" t="s">
        <v>643</v>
      </c>
    </row>
    <row r="157" spans="1:13" s="92" customFormat="1" ht="17.25" customHeight="1">
      <c r="A157" s="509">
        <v>1</v>
      </c>
      <c r="B157" s="510" t="s">
        <v>779</v>
      </c>
      <c r="C157" s="511" t="s">
        <v>780</v>
      </c>
      <c r="D157" s="483" t="s">
        <v>18</v>
      </c>
      <c r="E157" s="512">
        <v>275</v>
      </c>
      <c r="F157" s="89">
        <f t="shared" ref="F157:F169" si="35">E157*12</f>
        <v>3300</v>
      </c>
      <c r="G157" s="469">
        <v>300</v>
      </c>
      <c r="H157" s="469">
        <f t="shared" ref="H157:H169" si="36">F157*6.75%</f>
        <v>222.75000000000003</v>
      </c>
      <c r="I157" s="89">
        <f t="shared" ref="I157:I169" si="37">F157*7.5%</f>
        <v>247.5</v>
      </c>
      <c r="J157" s="89"/>
      <c r="K157" s="469"/>
      <c r="L157" s="470">
        <f t="shared" ref="L157:L169" si="38">SUM(G157:K157)</f>
        <v>770.25</v>
      </c>
      <c r="M157" s="498">
        <f t="shared" ref="M157:M169" si="39">L157+F157</f>
        <v>4070.25</v>
      </c>
    </row>
    <row r="158" spans="1:13" s="92" customFormat="1" ht="16.5">
      <c r="A158" s="481">
        <v>2</v>
      </c>
      <c r="B158" s="489" t="s">
        <v>781</v>
      </c>
      <c r="C158" s="482" t="s">
        <v>780</v>
      </c>
      <c r="D158" s="483" t="s">
        <v>18</v>
      </c>
      <c r="E158" s="484">
        <v>275</v>
      </c>
      <c r="F158" s="89">
        <f t="shared" si="35"/>
        <v>3300</v>
      </c>
      <c r="G158" s="469">
        <v>300</v>
      </c>
      <c r="H158" s="469">
        <f t="shared" si="36"/>
        <v>222.75000000000003</v>
      </c>
      <c r="I158" s="89">
        <f t="shared" si="37"/>
        <v>247.5</v>
      </c>
      <c r="J158" s="89"/>
      <c r="K158" s="469"/>
      <c r="L158" s="470">
        <f t="shared" si="38"/>
        <v>770.25</v>
      </c>
      <c r="M158" s="498">
        <f t="shared" si="39"/>
        <v>4070.25</v>
      </c>
    </row>
    <row r="159" spans="1:13" s="92" customFormat="1" ht="18">
      <c r="A159" s="481">
        <v>3</v>
      </c>
      <c r="B159" s="489" t="s">
        <v>790</v>
      </c>
      <c r="C159" s="482" t="s">
        <v>780</v>
      </c>
      <c r="D159" s="483" t="s">
        <v>18</v>
      </c>
      <c r="E159" s="484">
        <v>275</v>
      </c>
      <c r="F159" s="89">
        <f t="shared" si="35"/>
        <v>3300</v>
      </c>
      <c r="G159" s="469">
        <v>300</v>
      </c>
      <c r="H159" s="469">
        <f t="shared" si="36"/>
        <v>222.75000000000003</v>
      </c>
      <c r="I159" s="89">
        <f t="shared" si="37"/>
        <v>247.5</v>
      </c>
      <c r="J159" s="89"/>
      <c r="K159" s="469"/>
      <c r="L159" s="470">
        <f t="shared" si="38"/>
        <v>770.25</v>
      </c>
      <c r="M159" s="498">
        <f t="shared" si="39"/>
        <v>4070.25</v>
      </c>
    </row>
    <row r="160" spans="1:13" s="92" customFormat="1" ht="16.5">
      <c r="A160" s="481">
        <v>4</v>
      </c>
      <c r="B160" s="489" t="s">
        <v>782</v>
      </c>
      <c r="C160" s="482" t="s">
        <v>780</v>
      </c>
      <c r="D160" s="483" t="s">
        <v>18</v>
      </c>
      <c r="E160" s="484">
        <v>275</v>
      </c>
      <c r="F160" s="89">
        <f t="shared" si="35"/>
        <v>3300</v>
      </c>
      <c r="G160" s="469">
        <v>300</v>
      </c>
      <c r="H160" s="469">
        <f t="shared" si="36"/>
        <v>222.75000000000003</v>
      </c>
      <c r="I160" s="89">
        <f t="shared" si="37"/>
        <v>247.5</v>
      </c>
      <c r="J160" s="89"/>
      <c r="K160" s="469"/>
      <c r="L160" s="470">
        <f t="shared" si="38"/>
        <v>770.25</v>
      </c>
      <c r="M160" s="498">
        <f t="shared" si="39"/>
        <v>4070.25</v>
      </c>
    </row>
    <row r="161" spans="1:13" s="92" customFormat="1" ht="16.5">
      <c r="A161" s="481">
        <v>5</v>
      </c>
      <c r="B161" s="489" t="s">
        <v>783</v>
      </c>
      <c r="C161" s="482" t="s">
        <v>780</v>
      </c>
      <c r="D161" s="483" t="s">
        <v>18</v>
      </c>
      <c r="E161" s="484">
        <v>275</v>
      </c>
      <c r="F161" s="89">
        <f t="shared" si="35"/>
        <v>3300</v>
      </c>
      <c r="G161" s="469">
        <v>300</v>
      </c>
      <c r="H161" s="469">
        <f t="shared" si="36"/>
        <v>222.75000000000003</v>
      </c>
      <c r="I161" s="89">
        <f t="shared" si="37"/>
        <v>247.5</v>
      </c>
      <c r="J161" s="89"/>
      <c r="K161" s="469"/>
      <c r="L161" s="470">
        <f t="shared" si="38"/>
        <v>770.25</v>
      </c>
      <c r="M161" s="498">
        <f t="shared" si="39"/>
        <v>4070.25</v>
      </c>
    </row>
    <row r="162" spans="1:13" s="92" customFormat="1" ht="18">
      <c r="A162" s="481">
        <v>6</v>
      </c>
      <c r="B162" s="489" t="s">
        <v>784</v>
      </c>
      <c r="C162" s="482" t="s">
        <v>780</v>
      </c>
      <c r="D162" s="483" t="s">
        <v>18</v>
      </c>
      <c r="E162" s="484">
        <v>275</v>
      </c>
      <c r="F162" s="89">
        <f t="shared" si="35"/>
        <v>3300</v>
      </c>
      <c r="G162" s="469">
        <v>300</v>
      </c>
      <c r="H162" s="469">
        <f t="shared" si="36"/>
        <v>222.75000000000003</v>
      </c>
      <c r="I162" s="89">
        <f t="shared" si="37"/>
        <v>247.5</v>
      </c>
      <c r="J162" s="89"/>
      <c r="K162" s="469"/>
      <c r="L162" s="470">
        <f t="shared" si="38"/>
        <v>770.25</v>
      </c>
      <c r="M162" s="498">
        <f t="shared" si="39"/>
        <v>4070.25</v>
      </c>
    </row>
    <row r="163" spans="1:13" s="92" customFormat="1" ht="16.5">
      <c r="A163" s="481">
        <v>7</v>
      </c>
      <c r="B163" s="489" t="s">
        <v>785</v>
      </c>
      <c r="C163" s="482" t="s">
        <v>780</v>
      </c>
      <c r="D163" s="483" t="s">
        <v>18</v>
      </c>
      <c r="E163" s="484">
        <v>275</v>
      </c>
      <c r="F163" s="89">
        <f t="shared" si="35"/>
        <v>3300</v>
      </c>
      <c r="G163" s="469">
        <v>300</v>
      </c>
      <c r="H163" s="469">
        <f t="shared" si="36"/>
        <v>222.75000000000003</v>
      </c>
      <c r="I163" s="89">
        <f t="shared" si="37"/>
        <v>247.5</v>
      </c>
      <c r="J163" s="89"/>
      <c r="K163" s="469"/>
      <c r="L163" s="470">
        <f t="shared" si="38"/>
        <v>770.25</v>
      </c>
      <c r="M163" s="498">
        <f t="shared" si="39"/>
        <v>4070.25</v>
      </c>
    </row>
    <row r="164" spans="1:13" s="92" customFormat="1" ht="16.5">
      <c r="A164" s="481">
        <v>8</v>
      </c>
      <c r="B164" s="489" t="s">
        <v>786</v>
      </c>
      <c r="C164" s="482" t="s">
        <v>780</v>
      </c>
      <c r="D164" s="483" t="s">
        <v>18</v>
      </c>
      <c r="E164" s="484">
        <v>275</v>
      </c>
      <c r="F164" s="89">
        <f t="shared" si="35"/>
        <v>3300</v>
      </c>
      <c r="G164" s="469">
        <v>300</v>
      </c>
      <c r="H164" s="469">
        <f t="shared" si="36"/>
        <v>222.75000000000003</v>
      </c>
      <c r="I164" s="89">
        <f t="shared" si="37"/>
        <v>247.5</v>
      </c>
      <c r="J164" s="89"/>
      <c r="K164" s="469"/>
      <c r="L164" s="470">
        <f t="shared" si="38"/>
        <v>770.25</v>
      </c>
      <c r="M164" s="498">
        <f t="shared" si="39"/>
        <v>4070.25</v>
      </c>
    </row>
    <row r="165" spans="1:13" s="92" customFormat="1" ht="16.5">
      <c r="A165" s="481">
        <v>9</v>
      </c>
      <c r="B165" s="489" t="s">
        <v>787</v>
      </c>
      <c r="C165" s="482" t="s">
        <v>780</v>
      </c>
      <c r="D165" s="483" t="s">
        <v>18</v>
      </c>
      <c r="E165" s="484">
        <v>275</v>
      </c>
      <c r="F165" s="89">
        <f t="shared" si="35"/>
        <v>3300</v>
      </c>
      <c r="G165" s="469">
        <v>300</v>
      </c>
      <c r="H165" s="469">
        <f t="shared" si="36"/>
        <v>222.75000000000003</v>
      </c>
      <c r="I165" s="89">
        <f t="shared" si="37"/>
        <v>247.5</v>
      </c>
      <c r="J165" s="89"/>
      <c r="K165" s="469"/>
      <c r="L165" s="470">
        <f t="shared" si="38"/>
        <v>770.25</v>
      </c>
      <c r="M165" s="498">
        <f t="shared" si="39"/>
        <v>4070.25</v>
      </c>
    </row>
    <row r="166" spans="1:13" s="92" customFormat="1" ht="18">
      <c r="A166" s="481">
        <v>10</v>
      </c>
      <c r="B166" s="489" t="s">
        <v>788</v>
      </c>
      <c r="C166" s="482" t="s">
        <v>780</v>
      </c>
      <c r="D166" s="483" t="s">
        <v>18</v>
      </c>
      <c r="E166" s="484">
        <v>275</v>
      </c>
      <c r="F166" s="89">
        <f t="shared" si="35"/>
        <v>3300</v>
      </c>
      <c r="G166" s="469">
        <v>300</v>
      </c>
      <c r="H166" s="469">
        <f t="shared" si="36"/>
        <v>222.75000000000003</v>
      </c>
      <c r="I166" s="89">
        <f t="shared" si="37"/>
        <v>247.5</v>
      </c>
      <c r="J166" s="89"/>
      <c r="K166" s="469"/>
      <c r="L166" s="470">
        <f t="shared" si="38"/>
        <v>770.25</v>
      </c>
      <c r="M166" s="498">
        <f t="shared" si="39"/>
        <v>4070.25</v>
      </c>
    </row>
    <row r="167" spans="1:13" s="92" customFormat="1" ht="16.5">
      <c r="A167" s="481">
        <v>11</v>
      </c>
      <c r="B167" s="489"/>
      <c r="C167" s="482" t="s">
        <v>780</v>
      </c>
      <c r="D167" s="483" t="s">
        <v>18</v>
      </c>
      <c r="E167" s="484">
        <v>275</v>
      </c>
      <c r="F167" s="89">
        <f t="shared" si="35"/>
        <v>3300</v>
      </c>
      <c r="G167" s="469">
        <v>300</v>
      </c>
      <c r="H167" s="469">
        <f t="shared" si="36"/>
        <v>222.75000000000003</v>
      </c>
      <c r="I167" s="89">
        <f t="shared" si="37"/>
        <v>247.5</v>
      </c>
      <c r="J167" s="89"/>
      <c r="K167" s="469"/>
      <c r="L167" s="470">
        <f t="shared" si="38"/>
        <v>770.25</v>
      </c>
      <c r="M167" s="498">
        <f t="shared" si="39"/>
        <v>4070.25</v>
      </c>
    </row>
    <row r="168" spans="1:13" s="92" customFormat="1" ht="16.5">
      <c r="A168" s="481">
        <v>12</v>
      </c>
      <c r="B168" s="489"/>
      <c r="C168" s="482" t="s">
        <v>780</v>
      </c>
      <c r="D168" s="483" t="s">
        <v>18</v>
      </c>
      <c r="E168" s="484">
        <v>275</v>
      </c>
      <c r="F168" s="89">
        <f t="shared" si="35"/>
        <v>3300</v>
      </c>
      <c r="G168" s="469">
        <v>300</v>
      </c>
      <c r="H168" s="469">
        <f t="shared" si="36"/>
        <v>222.75000000000003</v>
      </c>
      <c r="I168" s="89">
        <f t="shared" si="37"/>
        <v>247.5</v>
      </c>
      <c r="J168" s="89"/>
      <c r="K168" s="469"/>
      <c r="L168" s="470">
        <f t="shared" si="38"/>
        <v>770.25</v>
      </c>
      <c r="M168" s="498">
        <f t="shared" si="39"/>
        <v>4070.25</v>
      </c>
    </row>
    <row r="169" spans="1:13" s="92" customFormat="1" ht="16.5">
      <c r="A169" s="481">
        <v>13</v>
      </c>
      <c r="B169" s="489" t="s">
        <v>789</v>
      </c>
      <c r="C169" s="482" t="s">
        <v>798</v>
      </c>
      <c r="D169" s="483" t="s">
        <v>18</v>
      </c>
      <c r="E169" s="484">
        <v>325</v>
      </c>
      <c r="F169" s="89">
        <f t="shared" si="35"/>
        <v>3900</v>
      </c>
      <c r="G169" s="469">
        <v>300</v>
      </c>
      <c r="H169" s="469">
        <f t="shared" si="36"/>
        <v>263.25</v>
      </c>
      <c r="I169" s="89">
        <f t="shared" si="37"/>
        <v>292.5</v>
      </c>
      <c r="J169" s="89"/>
      <c r="K169" s="469"/>
      <c r="L169" s="470">
        <f t="shared" si="38"/>
        <v>855.75</v>
      </c>
      <c r="M169" s="498">
        <f t="shared" si="39"/>
        <v>4755.75</v>
      </c>
    </row>
    <row r="170" spans="1:13" s="92" customFormat="1">
      <c r="A170" s="481">
        <v>14</v>
      </c>
      <c r="B170" s="488" t="s">
        <v>792</v>
      </c>
      <c r="C170" s="486" t="s">
        <v>546</v>
      </c>
      <c r="D170" s="487" t="s">
        <v>558</v>
      </c>
      <c r="E170" s="468">
        <v>225</v>
      </c>
      <c r="F170" s="89">
        <f>E170*12</f>
        <v>2700</v>
      </c>
      <c r="G170" s="469">
        <v>300</v>
      </c>
      <c r="H170" s="469">
        <f>F170*6.75%</f>
        <v>182.25</v>
      </c>
      <c r="I170" s="89">
        <f>F170*7.5%</f>
        <v>202.5</v>
      </c>
      <c r="J170" s="89"/>
      <c r="K170" s="469"/>
      <c r="L170" s="470">
        <f>SUM(G170:K170)</f>
        <v>684.75</v>
      </c>
      <c r="M170" s="498">
        <f>L170+F170</f>
        <v>3384.75</v>
      </c>
    </row>
    <row r="171" spans="1:13" s="92" customFormat="1" ht="16.5" thickBot="1">
      <c r="A171" s="452" t="s">
        <v>415</v>
      </c>
      <c r="B171" s="453"/>
      <c r="C171" s="453"/>
      <c r="D171" s="453"/>
      <c r="E171" s="454">
        <f>SUM(E157:E170)</f>
        <v>3850</v>
      </c>
      <c r="F171" s="479">
        <f t="shared" ref="F171:M171" si="40">SUM(F157:F170)</f>
        <v>46200</v>
      </c>
      <c r="G171" s="454">
        <f t="shared" si="40"/>
        <v>4200</v>
      </c>
      <c r="H171" s="454">
        <f t="shared" si="40"/>
        <v>3118.5000000000005</v>
      </c>
      <c r="I171" s="454">
        <f t="shared" si="40"/>
        <v>3465</v>
      </c>
      <c r="J171" s="454">
        <f t="shared" si="40"/>
        <v>0</v>
      </c>
      <c r="K171" s="454">
        <f t="shared" si="40"/>
        <v>0</v>
      </c>
      <c r="L171" s="454">
        <f t="shared" si="40"/>
        <v>10783.5</v>
      </c>
      <c r="M171" s="454">
        <f t="shared" si="40"/>
        <v>56983.5</v>
      </c>
    </row>
    <row r="172" spans="1:13" s="92" customFormat="1">
      <c r="A172" s="1371" t="s">
        <v>295</v>
      </c>
      <c r="B172" s="1372"/>
      <c r="C172" s="1372"/>
      <c r="D172" s="1372"/>
      <c r="E172" s="1373"/>
      <c r="F172" s="299">
        <f>F171*1%</f>
        <v>462</v>
      </c>
      <c r="G172" s="299"/>
      <c r="H172" s="299"/>
      <c r="I172" s="299"/>
      <c r="J172" s="299"/>
      <c r="K172" s="299"/>
      <c r="L172" s="299">
        <f>F172</f>
        <v>462</v>
      </c>
      <c r="M172" s="299">
        <f>L172</f>
        <v>462</v>
      </c>
    </row>
    <row r="173" spans="1:13" s="92" customFormat="1">
      <c r="A173" s="1362" t="s">
        <v>629</v>
      </c>
      <c r="B173" s="1362"/>
      <c r="C173" s="1362"/>
      <c r="D173" s="1362"/>
      <c r="E173" s="1362"/>
      <c r="F173" s="1362"/>
      <c r="G173" s="1362"/>
      <c r="H173" s="1362"/>
      <c r="I173" s="1362"/>
      <c r="J173" s="1362"/>
      <c r="K173" s="1362"/>
      <c r="L173" s="1362"/>
      <c r="M173" s="386">
        <f>SUM(M171:M172)</f>
        <v>57445.5</v>
      </c>
    </row>
    <row r="174" spans="1:13" s="92" customFormat="1">
      <c r="C174" s="279"/>
      <c r="D174" s="279"/>
      <c r="E174" s="391"/>
      <c r="M174" s="451"/>
    </row>
    <row r="175" spans="1:13" s="92" customFormat="1">
      <c r="C175" s="279"/>
      <c r="D175" s="279"/>
      <c r="E175" s="391"/>
      <c r="M175" s="451"/>
    </row>
    <row r="176" spans="1:13" s="92" customFormat="1">
      <c r="C176" s="279"/>
      <c r="D176" s="279"/>
      <c r="E176" s="391"/>
      <c r="M176" s="451"/>
    </row>
    <row r="177" spans="3:13" s="92" customFormat="1">
      <c r="C177" s="279"/>
      <c r="D177" s="279"/>
      <c r="E177" s="391"/>
      <c r="M177" s="451"/>
    </row>
    <row r="178" spans="3:13" s="92" customFormat="1">
      <c r="C178" s="279"/>
      <c r="D178" s="279"/>
      <c r="E178" s="391"/>
      <c r="M178" s="451"/>
    </row>
    <row r="179" spans="3:13" s="92" customFormat="1">
      <c r="C179" s="279"/>
      <c r="D179" s="279"/>
      <c r="E179" s="391"/>
      <c r="M179" s="451"/>
    </row>
    <row r="180" spans="3:13" s="92" customFormat="1">
      <c r="C180" s="279"/>
      <c r="D180" s="279"/>
      <c r="E180" s="391"/>
      <c r="M180" s="451"/>
    </row>
    <row r="181" spans="3:13" s="92" customFormat="1">
      <c r="C181" s="279"/>
      <c r="D181" s="279"/>
      <c r="E181" s="391"/>
      <c r="M181" s="451"/>
    </row>
    <row r="182" spans="3:13" s="92" customFormat="1">
      <c r="C182" s="279"/>
      <c r="D182" s="279"/>
      <c r="E182" s="391"/>
      <c r="M182" s="451"/>
    </row>
    <row r="183" spans="3:13" s="92" customFormat="1">
      <c r="C183" s="279"/>
      <c r="D183" s="279"/>
      <c r="E183" s="391"/>
      <c r="M183" s="451"/>
    </row>
    <row r="184" spans="3:13" s="92" customFormat="1">
      <c r="C184" s="279"/>
      <c r="D184" s="279"/>
      <c r="E184" s="391"/>
      <c r="M184" s="451"/>
    </row>
    <row r="185" spans="3:13" s="92" customFormat="1">
      <c r="C185" s="279"/>
      <c r="D185" s="279"/>
      <c r="E185" s="391"/>
      <c r="M185" s="451"/>
    </row>
    <row r="186" spans="3:13" s="92" customFormat="1">
      <c r="C186" s="279"/>
      <c r="D186" s="279"/>
      <c r="E186" s="391"/>
      <c r="M186" s="451"/>
    </row>
    <row r="187" spans="3:13" s="92" customFormat="1">
      <c r="C187" s="279"/>
      <c r="D187" s="279"/>
      <c r="E187" s="391"/>
      <c r="M187" s="451"/>
    </row>
    <row r="188" spans="3:13" s="92" customFormat="1">
      <c r="C188" s="279"/>
      <c r="D188" s="279"/>
      <c r="E188" s="391"/>
      <c r="M188" s="451"/>
    </row>
    <row r="189" spans="3:13" s="92" customFormat="1">
      <c r="C189" s="279"/>
      <c r="D189" s="279"/>
      <c r="E189" s="391"/>
      <c r="M189" s="451"/>
    </row>
    <row r="190" spans="3:13" s="92" customFormat="1">
      <c r="C190" s="279"/>
      <c r="D190" s="279"/>
      <c r="E190" s="391"/>
      <c r="M190" s="451"/>
    </row>
    <row r="191" spans="3:13" s="92" customFormat="1">
      <c r="C191" s="279"/>
      <c r="D191" s="279"/>
      <c r="E191" s="391"/>
      <c r="M191" s="451"/>
    </row>
    <row r="192" spans="3:13" s="92" customFormat="1">
      <c r="C192" s="279"/>
      <c r="D192" s="279"/>
      <c r="E192" s="391"/>
      <c r="M192" s="451"/>
    </row>
    <row r="193" spans="3:13" s="92" customFormat="1">
      <c r="C193" s="279"/>
      <c r="D193" s="279"/>
      <c r="E193" s="391"/>
      <c r="M193" s="451"/>
    </row>
    <row r="194" spans="3:13" s="92" customFormat="1">
      <c r="C194" s="279"/>
      <c r="D194" s="279"/>
      <c r="E194" s="391"/>
      <c r="M194" s="451"/>
    </row>
    <row r="195" spans="3:13" s="92" customFormat="1">
      <c r="C195" s="279"/>
      <c r="D195" s="279"/>
      <c r="E195" s="391"/>
      <c r="M195" s="451"/>
    </row>
    <row r="196" spans="3:13">
      <c r="C196" s="279"/>
      <c r="D196" s="279"/>
      <c r="E196" s="391"/>
    </row>
    <row r="197" spans="3:13">
      <c r="C197" s="279"/>
      <c r="D197" s="279"/>
      <c r="E197" s="391"/>
    </row>
    <row r="198" spans="3:13">
      <c r="C198" s="279"/>
      <c r="D198" s="279"/>
      <c r="E198" s="391"/>
    </row>
    <row r="199" spans="3:13">
      <c r="C199" s="279"/>
      <c r="D199" s="279"/>
      <c r="E199" s="391"/>
    </row>
    <row r="200" spans="3:13">
      <c r="C200" s="279"/>
      <c r="D200" s="279"/>
      <c r="E200" s="391"/>
    </row>
    <row r="201" spans="3:13">
      <c r="C201" s="279"/>
      <c r="D201" s="279"/>
      <c r="E201" s="391"/>
    </row>
    <row r="202" spans="3:13">
      <c r="C202" s="279"/>
      <c r="D202" s="279"/>
      <c r="E202" s="391"/>
    </row>
    <row r="203" spans="3:13">
      <c r="C203" s="279"/>
      <c r="D203" s="279"/>
      <c r="E203" s="391"/>
    </row>
    <row r="204" spans="3:13">
      <c r="C204" s="279"/>
      <c r="D204" s="279"/>
      <c r="E204" s="391"/>
    </row>
    <row r="205" spans="3:13">
      <c r="C205" s="279"/>
      <c r="D205" s="279"/>
      <c r="E205" s="391"/>
    </row>
    <row r="206" spans="3:13">
      <c r="C206" s="279"/>
      <c r="D206" s="279"/>
      <c r="E206" s="391"/>
    </row>
    <row r="207" spans="3:13">
      <c r="C207" s="279"/>
      <c r="D207" s="279"/>
      <c r="E207" s="391"/>
    </row>
    <row r="208" spans="3:13">
      <c r="C208" s="279"/>
      <c r="D208" s="279"/>
      <c r="E208" s="391"/>
    </row>
    <row r="209" spans="3:5">
      <c r="C209" s="279"/>
      <c r="D209" s="279"/>
      <c r="E209" s="391"/>
    </row>
    <row r="210" spans="3:5">
      <c r="C210" s="279"/>
      <c r="D210" s="279"/>
      <c r="E210" s="391"/>
    </row>
    <row r="211" spans="3:5">
      <c r="C211" s="279"/>
      <c r="D211" s="279"/>
      <c r="E211" s="391"/>
    </row>
    <row r="212" spans="3:5">
      <c r="C212" s="279"/>
      <c r="D212" s="279"/>
      <c r="E212" s="391"/>
    </row>
    <row r="213" spans="3:5">
      <c r="C213" s="279"/>
      <c r="D213" s="279"/>
      <c r="E213" s="391"/>
    </row>
    <row r="214" spans="3:5">
      <c r="C214" s="279"/>
      <c r="D214" s="279"/>
      <c r="E214" s="391"/>
    </row>
    <row r="215" spans="3:5">
      <c r="C215" s="279"/>
      <c r="D215" s="279"/>
      <c r="E215" s="391"/>
    </row>
    <row r="216" spans="3:5">
      <c r="C216" s="279"/>
      <c r="D216" s="279"/>
      <c r="E216" s="391"/>
    </row>
    <row r="217" spans="3:5">
      <c r="C217" s="279"/>
      <c r="D217" s="279"/>
      <c r="E217" s="391"/>
    </row>
  </sheetData>
  <mergeCells count="77">
    <mergeCell ref="A172:E172"/>
    <mergeCell ref="A173:L173"/>
    <mergeCell ref="A72:E72"/>
    <mergeCell ref="I118:K118"/>
    <mergeCell ref="A131:C131"/>
    <mergeCell ref="H117:K117"/>
    <mergeCell ref="L117:L119"/>
    <mergeCell ref="H81:K81"/>
    <mergeCell ref="L81:L83"/>
    <mergeCell ref="A114:M114"/>
    <mergeCell ref="A116:A119"/>
    <mergeCell ref="B116:B119"/>
    <mergeCell ref="C116:C119"/>
    <mergeCell ref="D116:D119"/>
    <mergeCell ref="E116:F118"/>
    <mergeCell ref="A133:L133"/>
    <mergeCell ref="A132:E132"/>
    <mergeCell ref="A105:D105"/>
    <mergeCell ref="D80:D83"/>
    <mergeCell ref="E80:F82"/>
    <mergeCell ref="A108:L108"/>
    <mergeCell ref="G116:L116"/>
    <mergeCell ref="G117:G119"/>
    <mergeCell ref="G81:G83"/>
    <mergeCell ref="A113:M113"/>
    <mergeCell ref="A1:M1"/>
    <mergeCell ref="A3:M3"/>
    <mergeCell ref="A2:M2"/>
    <mergeCell ref="A5:A8"/>
    <mergeCell ref="I7:K7"/>
    <mergeCell ref="B5:B8"/>
    <mergeCell ref="D5:D8"/>
    <mergeCell ref="C5:C8"/>
    <mergeCell ref="A41:M41"/>
    <mergeCell ref="G6:G8"/>
    <mergeCell ref="L6:L8"/>
    <mergeCell ref="E5:F7"/>
    <mergeCell ref="A40:M40"/>
    <mergeCell ref="A27:D27"/>
    <mergeCell ref="I46:K46"/>
    <mergeCell ref="A73:L73"/>
    <mergeCell ref="A77:M77"/>
    <mergeCell ref="A78:M78"/>
    <mergeCell ref="B44:B47"/>
    <mergeCell ref="C44:C47"/>
    <mergeCell ref="D44:D47"/>
    <mergeCell ref="E44:F46"/>
    <mergeCell ref="A42:M42"/>
    <mergeCell ref="A44:A47"/>
    <mergeCell ref="H6:K6"/>
    <mergeCell ref="G5:L5"/>
    <mergeCell ref="A112:M112"/>
    <mergeCell ref="G44:L44"/>
    <mergeCell ref="G45:G47"/>
    <mergeCell ref="H45:K45"/>
    <mergeCell ref="I82:K82"/>
    <mergeCell ref="A80:A83"/>
    <mergeCell ref="B80:B83"/>
    <mergeCell ref="A71:D71"/>
    <mergeCell ref="A76:M76"/>
    <mergeCell ref="C80:C83"/>
    <mergeCell ref="G80:L80"/>
    <mergeCell ref="L45:L47"/>
    <mergeCell ref="B153:B156"/>
    <mergeCell ref="A153:A156"/>
    <mergeCell ref="A149:M149"/>
    <mergeCell ref="A150:M150"/>
    <mergeCell ref="A151:M151"/>
    <mergeCell ref="B152:K152"/>
    <mergeCell ref="E153:F155"/>
    <mergeCell ref="G153:L153"/>
    <mergeCell ref="G154:G156"/>
    <mergeCell ref="H154:K154"/>
    <mergeCell ref="L154:L156"/>
    <mergeCell ref="I155:K155"/>
    <mergeCell ref="D153:D156"/>
    <mergeCell ref="C153:C156"/>
  </mergeCells>
  <phoneticPr fontId="5" type="noConversion"/>
  <pageMargins left="0.36" right="0.17" top="0.33" bottom="0.33" header="0" footer="0"/>
  <pageSetup orientation="landscape" horizontalDpi="180" verticalDpi="18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tabColor theme="3"/>
  </sheetPr>
  <dimension ref="A1:V250"/>
  <sheetViews>
    <sheetView topLeftCell="A103" zoomScale="110" zoomScaleNormal="110" workbookViewId="0">
      <selection activeCell="E13" sqref="E13"/>
    </sheetView>
  </sheetViews>
  <sheetFormatPr baseColWidth="10" defaultColWidth="11.42578125" defaultRowHeight="12.75"/>
  <cols>
    <col min="1" max="1" width="2.85546875" style="92" customWidth="1"/>
    <col min="2" max="2" width="13.42578125" style="774" customWidth="1"/>
    <col min="3" max="3" width="4.140625" style="279" customWidth="1"/>
    <col min="4" max="4" width="10.28515625" style="732" customWidth="1"/>
    <col min="5" max="5" width="11.28515625" style="92" customWidth="1"/>
    <col min="6" max="6" width="10.140625" style="529" customWidth="1"/>
    <col min="7" max="7" width="10.28515625" style="92" customWidth="1"/>
    <col min="8" max="8" width="10.5703125" style="92" bestFit="1" customWidth="1"/>
    <col min="9" max="9" width="0.28515625" style="92" hidden="1" customWidth="1"/>
    <col min="10" max="10" width="7.7109375" style="92" customWidth="1"/>
    <col min="11" max="11" width="5.7109375" style="92" hidden="1" customWidth="1"/>
    <col min="12" max="12" width="11" style="92" customWidth="1"/>
    <col min="13" max="13" width="12.140625" style="92" customWidth="1"/>
    <col min="14" max="14" width="12.28515625" style="92" hidden="1" customWidth="1"/>
    <col min="15" max="15" width="12.140625" style="92" hidden="1" customWidth="1"/>
    <col min="16" max="16" width="0" style="92" hidden="1" customWidth="1"/>
    <col min="17" max="17" width="13.42578125" style="92" hidden="1" customWidth="1"/>
    <col min="18" max="22" width="0" style="92" hidden="1" customWidth="1"/>
    <col min="23" max="16384" width="11.42578125" style="92"/>
  </cols>
  <sheetData>
    <row r="1" spans="1:22" s="480" customFormat="1">
      <c r="A1" s="1329" t="s">
        <v>597</v>
      </c>
      <c r="B1" s="1329"/>
      <c r="C1" s="1329"/>
      <c r="D1" s="1329"/>
      <c r="E1" s="1329"/>
      <c r="F1" s="1329"/>
      <c r="G1" s="1329"/>
      <c r="H1" s="1329"/>
      <c r="I1" s="1329"/>
      <c r="J1" s="1329"/>
      <c r="K1" s="1329"/>
      <c r="L1" s="1329"/>
      <c r="M1" s="1329"/>
      <c r="N1" s="1088"/>
    </row>
    <row r="2" spans="1:22" s="480" customFormat="1">
      <c r="A2" s="1329" t="s">
        <v>598</v>
      </c>
      <c r="B2" s="1329"/>
      <c r="C2" s="1329"/>
      <c r="D2" s="1329"/>
      <c r="E2" s="1329"/>
      <c r="F2" s="1329"/>
      <c r="G2" s="1329"/>
      <c r="H2" s="1329"/>
      <c r="I2" s="1329"/>
      <c r="J2" s="1329"/>
      <c r="K2" s="1329"/>
      <c r="L2" s="1329"/>
      <c r="M2" s="1329"/>
      <c r="N2" s="1088"/>
    </row>
    <row r="3" spans="1:22" s="480" customFormat="1">
      <c r="A3" s="1329" t="s">
        <v>1288</v>
      </c>
      <c r="B3" s="1329"/>
      <c r="C3" s="1329"/>
      <c r="D3" s="1329"/>
      <c r="E3" s="1329"/>
      <c r="F3" s="1329"/>
      <c r="G3" s="1329"/>
      <c r="H3" s="1329"/>
      <c r="I3" s="1329"/>
      <c r="J3" s="1329"/>
      <c r="K3" s="1329"/>
      <c r="L3" s="1329"/>
      <c r="M3" s="1329"/>
      <c r="N3" s="1088"/>
    </row>
    <row r="4" spans="1:22" s="480" customFormat="1" ht="13.5" thickBot="1">
      <c r="A4" s="1088"/>
      <c r="B4" s="766"/>
      <c r="C4" s="1088"/>
      <c r="D4" s="730"/>
      <c r="E4" s="1088"/>
      <c r="F4" s="527"/>
      <c r="G4" s="1088"/>
      <c r="H4" s="1088"/>
      <c r="I4" s="1088"/>
      <c r="J4" s="1088"/>
      <c r="K4" s="1088"/>
      <c r="L4" s="1088" t="s">
        <v>80</v>
      </c>
      <c r="M4" s="1088"/>
      <c r="N4" s="1088"/>
    </row>
    <row r="5" spans="1:22" s="480" customFormat="1" ht="13.5" customHeight="1" thickBot="1">
      <c r="A5" s="1339" t="s">
        <v>630</v>
      </c>
      <c r="B5" s="1386" t="s">
        <v>631</v>
      </c>
      <c r="C5" s="1363" t="s">
        <v>831</v>
      </c>
      <c r="D5" s="1366" t="s">
        <v>632</v>
      </c>
      <c r="E5" s="1367"/>
      <c r="F5" s="1344" t="s">
        <v>633</v>
      </c>
      <c r="G5" s="1345"/>
      <c r="H5" s="1345"/>
      <c r="I5" s="1345"/>
      <c r="J5" s="1345"/>
      <c r="K5" s="1345"/>
      <c r="L5" s="1346"/>
      <c r="M5" s="726" t="s">
        <v>635</v>
      </c>
      <c r="N5" s="1088"/>
    </row>
    <row r="6" spans="1:22" s="480" customFormat="1" ht="13.5" customHeight="1">
      <c r="A6" s="1340"/>
      <c r="B6" s="1387"/>
      <c r="C6" s="1364"/>
      <c r="D6" s="1368"/>
      <c r="E6" s="1331"/>
      <c r="F6" s="1364" t="s">
        <v>638</v>
      </c>
      <c r="G6" s="1342" t="s">
        <v>634</v>
      </c>
      <c r="H6" s="1343"/>
      <c r="I6" s="1343"/>
      <c r="J6" s="1343"/>
      <c r="K6" s="1388" t="s">
        <v>806</v>
      </c>
      <c r="L6" s="1361" t="s">
        <v>415</v>
      </c>
      <c r="M6" s="335"/>
      <c r="N6" s="1088"/>
    </row>
    <row r="7" spans="1:22" s="480" customFormat="1" ht="21" customHeight="1">
      <c r="A7" s="1340"/>
      <c r="B7" s="1387"/>
      <c r="C7" s="1364"/>
      <c r="D7" s="1368"/>
      <c r="E7" s="1331"/>
      <c r="F7" s="1364"/>
      <c r="G7" s="280" t="s">
        <v>293</v>
      </c>
      <c r="H7" s="1348" t="s">
        <v>292</v>
      </c>
      <c r="I7" s="1349"/>
      <c r="J7" s="1349"/>
      <c r="K7" s="1336"/>
      <c r="L7" s="1361"/>
      <c r="M7" s="335"/>
      <c r="N7" s="1088"/>
    </row>
    <row r="8" spans="1:22" s="480" customFormat="1" ht="13.5" customHeight="1">
      <c r="A8" s="1341"/>
      <c r="B8" s="1387"/>
      <c r="C8" s="1365"/>
      <c r="D8" s="731" t="s">
        <v>636</v>
      </c>
      <c r="E8" s="371" t="s">
        <v>637</v>
      </c>
      <c r="F8" s="1364"/>
      <c r="G8" s="372" t="s">
        <v>639</v>
      </c>
      <c r="H8" s="373" t="s">
        <v>640</v>
      </c>
      <c r="I8" s="374" t="s">
        <v>296</v>
      </c>
      <c r="J8" s="374" t="s">
        <v>641</v>
      </c>
      <c r="K8" s="1336"/>
      <c r="L8" s="1361"/>
      <c r="M8" s="375" t="s">
        <v>643</v>
      </c>
      <c r="N8" s="376"/>
      <c r="P8" s="480" t="s">
        <v>81</v>
      </c>
      <c r="Q8" s="480" t="s">
        <v>82</v>
      </c>
      <c r="R8" s="480" t="s">
        <v>83</v>
      </c>
      <c r="S8" s="480" t="s">
        <v>84</v>
      </c>
    </row>
    <row r="9" spans="1:22">
      <c r="A9" s="465">
        <v>1</v>
      </c>
      <c r="B9" s="727" t="s">
        <v>709</v>
      </c>
      <c r="C9" s="749" t="s">
        <v>890</v>
      </c>
      <c r="D9" s="1112">
        <f>'SUELDOS '!F5</f>
        <v>2662.4</v>
      </c>
      <c r="E9" s="89">
        <f>D9*12</f>
        <v>31948.800000000003</v>
      </c>
      <c r="F9" s="498">
        <f>D9*0.7</f>
        <v>1863.6799999999998</v>
      </c>
      <c r="G9" s="469">
        <f>(E9+K9)*6.75%</f>
        <v>2156.5440000000003</v>
      </c>
      <c r="H9" s="89">
        <f t="shared" ref="H9:H14" si="0">75*12</f>
        <v>900</v>
      </c>
      <c r="I9" s="89"/>
      <c r="J9" s="469"/>
      <c r="K9" s="469"/>
      <c r="L9" s="470">
        <f>SUM(F9:K9)</f>
        <v>4920.2240000000002</v>
      </c>
      <c r="M9" s="498">
        <f t="shared" ref="M9:M36" si="1">L9+E9</f>
        <v>36869.024000000005</v>
      </c>
      <c r="N9" s="338"/>
      <c r="O9" s="300" t="s">
        <v>432</v>
      </c>
      <c r="P9" s="300">
        <f>SUM(E9:E17)</f>
        <v>128668.8</v>
      </c>
      <c r="Q9" s="300">
        <f>SUM(F9:F23)</f>
        <v>12151.637000000001</v>
      </c>
      <c r="R9" s="300">
        <f>SUM(G9:G23)</f>
        <v>13503.437099999999</v>
      </c>
      <c r="S9" s="300">
        <f>SUM(H9:H23)</f>
        <v>12301.659</v>
      </c>
      <c r="T9" s="300">
        <f>SUM(I9:I23)</f>
        <v>0</v>
      </c>
      <c r="U9" s="300">
        <f>SUM(J9:J23)</f>
        <v>0</v>
      </c>
    </row>
    <row r="10" spans="1:22">
      <c r="A10" s="465">
        <v>2</v>
      </c>
      <c r="B10" s="727" t="s">
        <v>1227</v>
      </c>
      <c r="C10" s="749" t="s">
        <v>890</v>
      </c>
      <c r="D10" s="1112">
        <v>1700</v>
      </c>
      <c r="E10" s="89">
        <f>D10*12</f>
        <v>20400</v>
      </c>
      <c r="F10" s="498">
        <f>D10*0.7</f>
        <v>1190</v>
      </c>
      <c r="G10" s="469">
        <f>(E10+K10)*6.75%</f>
        <v>1377</v>
      </c>
      <c r="H10" s="89">
        <f t="shared" si="0"/>
        <v>900</v>
      </c>
      <c r="I10" s="89"/>
      <c r="J10" s="469"/>
      <c r="K10" s="469"/>
      <c r="L10" s="470">
        <f t="shared" ref="L10:L36" si="2">SUM(F10:K10)</f>
        <v>3467</v>
      </c>
      <c r="M10" s="498">
        <f t="shared" si="1"/>
        <v>23867</v>
      </c>
      <c r="N10" s="338"/>
      <c r="O10" s="300"/>
      <c r="P10" s="300"/>
      <c r="Q10" s="300"/>
      <c r="R10" s="300"/>
      <c r="S10" s="300"/>
      <c r="T10" s="300"/>
      <c r="U10" s="300"/>
    </row>
    <row r="11" spans="1:22" ht="15.75" customHeight="1">
      <c r="A11" s="465">
        <v>3</v>
      </c>
      <c r="B11" s="1093" t="s">
        <v>1228</v>
      </c>
      <c r="C11" s="749" t="s">
        <v>890</v>
      </c>
      <c r="D11" s="1112">
        <v>1550</v>
      </c>
      <c r="E11" s="89">
        <f>D11*12</f>
        <v>18600</v>
      </c>
      <c r="F11" s="498">
        <f>D11*0.7</f>
        <v>1085</v>
      </c>
      <c r="G11" s="469">
        <f>(E11+K11)*6.75%</f>
        <v>1255.5</v>
      </c>
      <c r="H11" s="89">
        <f t="shared" si="0"/>
        <v>900</v>
      </c>
      <c r="I11" s="89"/>
      <c r="J11" s="469"/>
      <c r="K11" s="469"/>
      <c r="L11" s="470">
        <f t="shared" si="2"/>
        <v>3240.5</v>
      </c>
      <c r="M11" s="498">
        <f t="shared" si="1"/>
        <v>21840.5</v>
      </c>
      <c r="N11" s="338"/>
      <c r="O11" s="300"/>
      <c r="P11" s="300"/>
      <c r="Q11" s="300"/>
      <c r="R11" s="300"/>
      <c r="S11" s="300"/>
      <c r="T11" s="300"/>
      <c r="U11" s="300"/>
    </row>
    <row r="12" spans="1:22" ht="15.75" customHeight="1">
      <c r="A12" s="465">
        <v>4</v>
      </c>
      <c r="B12" s="1093" t="s">
        <v>1400</v>
      </c>
      <c r="C12" s="749" t="s">
        <v>890</v>
      </c>
      <c r="D12" s="1112">
        <v>350</v>
      </c>
      <c r="E12" s="89">
        <f>D12*12</f>
        <v>4200</v>
      </c>
      <c r="F12" s="498">
        <f>D12</f>
        <v>350</v>
      </c>
      <c r="G12" s="469">
        <f>(E12+K12)*6.75%</f>
        <v>283.5</v>
      </c>
      <c r="H12" s="89">
        <f t="shared" si="0"/>
        <v>900</v>
      </c>
      <c r="I12" s="89"/>
      <c r="J12" s="469"/>
      <c r="K12" s="469"/>
      <c r="L12" s="470">
        <f t="shared" ref="L12" si="3">SUM(F12:K12)</f>
        <v>1533.5</v>
      </c>
      <c r="M12" s="498">
        <f t="shared" ref="M12" si="4">L12+E12</f>
        <v>5733.5</v>
      </c>
      <c r="N12" s="338"/>
      <c r="O12" s="300"/>
      <c r="P12" s="300"/>
      <c r="Q12" s="300"/>
      <c r="R12" s="300"/>
      <c r="S12" s="300"/>
      <c r="T12" s="300"/>
      <c r="U12" s="300"/>
    </row>
    <row r="13" spans="1:22">
      <c r="A13" s="465">
        <v>5</v>
      </c>
      <c r="B13" s="729" t="s">
        <v>739</v>
      </c>
      <c r="C13" s="749" t="s">
        <v>890</v>
      </c>
      <c r="D13" s="1113">
        <v>1250</v>
      </c>
      <c r="E13" s="89">
        <f t="shared" ref="E13:E22" si="5">D13*12</f>
        <v>15000</v>
      </c>
      <c r="F13" s="498">
        <f>D13*0.7</f>
        <v>875</v>
      </c>
      <c r="G13" s="469">
        <f t="shared" ref="G13:G22" si="6">(E13+K13)*6.75%</f>
        <v>1012.5000000000001</v>
      </c>
      <c r="H13" s="89">
        <f t="shared" si="0"/>
        <v>900</v>
      </c>
      <c r="I13" s="89"/>
      <c r="J13" s="469"/>
      <c r="K13" s="469"/>
      <c r="L13" s="470">
        <f t="shared" si="2"/>
        <v>2787.5</v>
      </c>
      <c r="M13" s="498">
        <f t="shared" si="1"/>
        <v>17787.5</v>
      </c>
      <c r="N13" s="338"/>
      <c r="O13" s="300"/>
      <c r="P13" s="300"/>
      <c r="Q13" s="300"/>
      <c r="R13" s="300"/>
      <c r="S13" s="300"/>
      <c r="T13" s="300"/>
      <c r="U13" s="300"/>
    </row>
    <row r="14" spans="1:22">
      <c r="A14" s="465">
        <v>6</v>
      </c>
      <c r="B14" s="728" t="s">
        <v>1211</v>
      </c>
      <c r="C14" s="749" t="s">
        <v>890</v>
      </c>
      <c r="D14" s="1113">
        <v>1300</v>
      </c>
      <c r="E14" s="89">
        <f t="shared" si="5"/>
        <v>15600</v>
      </c>
      <c r="F14" s="498">
        <f>D14*0.7</f>
        <v>909.99999999999989</v>
      </c>
      <c r="G14" s="469">
        <f t="shared" si="6"/>
        <v>1053</v>
      </c>
      <c r="H14" s="89">
        <f t="shared" si="0"/>
        <v>900</v>
      </c>
      <c r="I14" s="89"/>
      <c r="J14" s="469"/>
      <c r="K14" s="469"/>
      <c r="L14" s="470">
        <f t="shared" si="2"/>
        <v>2863</v>
      </c>
      <c r="M14" s="498">
        <f t="shared" si="1"/>
        <v>18463</v>
      </c>
      <c r="N14" s="338"/>
      <c r="O14" s="300"/>
      <c r="P14" s="300"/>
      <c r="Q14" s="300"/>
      <c r="R14" s="300"/>
      <c r="S14" s="300"/>
      <c r="T14" s="300"/>
      <c r="U14" s="300"/>
    </row>
    <row r="15" spans="1:22" ht="17.25" customHeight="1">
      <c r="A15" s="465">
        <v>7</v>
      </c>
      <c r="B15" s="728" t="s">
        <v>1265</v>
      </c>
      <c r="C15" s="749" t="s">
        <v>890</v>
      </c>
      <c r="D15" s="1113">
        <v>390</v>
      </c>
      <c r="E15" s="89">
        <f t="shared" si="5"/>
        <v>4680</v>
      </c>
      <c r="F15" s="498">
        <f>D15</f>
        <v>390</v>
      </c>
      <c r="G15" s="469">
        <f t="shared" si="6"/>
        <v>315.90000000000003</v>
      </c>
      <c r="H15" s="89">
        <f>E15*7.5%</f>
        <v>351</v>
      </c>
      <c r="I15" s="89"/>
      <c r="J15" s="469"/>
      <c r="K15" s="469"/>
      <c r="L15" s="470">
        <f t="shared" si="2"/>
        <v>1056.9000000000001</v>
      </c>
      <c r="M15" s="498">
        <f t="shared" si="1"/>
        <v>5736.9</v>
      </c>
      <c r="N15" s="338"/>
      <c r="O15" s="300"/>
      <c r="P15" s="300"/>
      <c r="Q15" s="300"/>
      <c r="R15" s="300"/>
      <c r="S15" s="300"/>
      <c r="T15" s="300"/>
      <c r="U15" s="300"/>
    </row>
    <row r="16" spans="1:22" ht="17.25">
      <c r="A16" s="465">
        <v>8</v>
      </c>
      <c r="B16" s="728" t="s">
        <v>1407</v>
      </c>
      <c r="C16" s="749" t="s">
        <v>890</v>
      </c>
      <c r="D16" s="1113">
        <v>370</v>
      </c>
      <c r="E16" s="89">
        <f t="shared" si="5"/>
        <v>4440</v>
      </c>
      <c r="F16" s="498">
        <f>D16</f>
        <v>370</v>
      </c>
      <c r="G16" s="469">
        <f t="shared" si="6"/>
        <v>299.70000000000005</v>
      </c>
      <c r="H16" s="89">
        <f>E16*7.5%</f>
        <v>333</v>
      </c>
      <c r="I16" s="89"/>
      <c r="J16" s="469"/>
      <c r="K16" s="469"/>
      <c r="L16" s="470">
        <f t="shared" si="2"/>
        <v>1002.7</v>
      </c>
      <c r="M16" s="498">
        <f t="shared" si="1"/>
        <v>5442.7</v>
      </c>
      <c r="N16" s="338">
        <v>350</v>
      </c>
      <c r="O16" s="300"/>
      <c r="P16" s="300"/>
      <c r="Q16" s="300"/>
      <c r="R16" s="300"/>
      <c r="S16" s="300"/>
      <c r="T16" s="300"/>
      <c r="U16" s="300"/>
      <c r="V16" s="300">
        <f>N16-D16</f>
        <v>-20</v>
      </c>
    </row>
    <row r="17" spans="1:22" ht="17.25" customHeight="1">
      <c r="A17" s="465">
        <v>9</v>
      </c>
      <c r="B17" s="729" t="s">
        <v>1101</v>
      </c>
      <c r="C17" s="749" t="s">
        <v>1102</v>
      </c>
      <c r="D17" s="1113">
        <v>1150</v>
      </c>
      <c r="E17" s="89">
        <f t="shared" si="5"/>
        <v>13800</v>
      </c>
      <c r="F17" s="498">
        <f>D17*0.7</f>
        <v>805</v>
      </c>
      <c r="G17" s="469">
        <f t="shared" si="6"/>
        <v>931.50000000000011</v>
      </c>
      <c r="H17" s="89">
        <f>75*12</f>
        <v>900</v>
      </c>
      <c r="I17" s="89"/>
      <c r="J17" s="469"/>
      <c r="K17" s="469"/>
      <c r="L17" s="470">
        <f t="shared" si="2"/>
        <v>2636.5</v>
      </c>
      <c r="M17" s="498">
        <f t="shared" si="1"/>
        <v>16436.5</v>
      </c>
      <c r="N17" s="338"/>
      <c r="O17" s="300" t="s">
        <v>434</v>
      </c>
      <c r="P17" s="300">
        <f>SUM(E29:E143,E36:E131)</f>
        <v>2539079.2799999998</v>
      </c>
      <c r="Q17" s="300">
        <f>SUM(F29:F143,F36:F131)</f>
        <v>169343.34599999999</v>
      </c>
      <c r="R17" s="300">
        <f>SUM(G29:G143,G36:G131)</f>
        <v>169779.19140000004</v>
      </c>
      <c r="S17" s="300">
        <f>SUM(H29:H143,H36:H131)</f>
        <v>173704.98599999995</v>
      </c>
      <c r="T17" s="300">
        <f>SUM(I29:I143,I36:I60)</f>
        <v>0</v>
      </c>
      <c r="U17" s="300">
        <f>SUM(J29:J143,J36:J60)</f>
        <v>953.28</v>
      </c>
    </row>
    <row r="18" spans="1:22" ht="17.25" customHeight="1">
      <c r="A18" s="465">
        <v>10</v>
      </c>
      <c r="B18" s="729" t="s">
        <v>772</v>
      </c>
      <c r="C18" s="749" t="s">
        <v>1102</v>
      </c>
      <c r="D18" s="1113">
        <v>475</v>
      </c>
      <c r="E18" s="89">
        <f t="shared" si="5"/>
        <v>5700</v>
      </c>
      <c r="F18" s="498">
        <f>D18*0.8</f>
        <v>380</v>
      </c>
      <c r="G18" s="469">
        <f t="shared" si="6"/>
        <v>384.75</v>
      </c>
      <c r="H18" s="89">
        <f>E18*7.5%</f>
        <v>427.5</v>
      </c>
      <c r="I18" s="89"/>
      <c r="J18" s="469"/>
      <c r="K18" s="469"/>
      <c r="L18" s="470">
        <f t="shared" si="2"/>
        <v>1192.25</v>
      </c>
      <c r="M18" s="498">
        <f t="shared" si="1"/>
        <v>6892.25</v>
      </c>
      <c r="N18" s="338"/>
      <c r="O18" s="300"/>
      <c r="P18" s="300"/>
      <c r="Q18" s="300"/>
      <c r="R18" s="300"/>
      <c r="S18" s="300"/>
      <c r="T18" s="300"/>
      <c r="U18" s="300"/>
    </row>
    <row r="19" spans="1:22" ht="17.25" customHeight="1">
      <c r="A19" s="465">
        <v>11</v>
      </c>
      <c r="B19" s="729" t="s">
        <v>655</v>
      </c>
      <c r="C19" s="749" t="s">
        <v>1102</v>
      </c>
      <c r="D19" s="1113">
        <v>590</v>
      </c>
      <c r="E19" s="89">
        <f t="shared" si="5"/>
        <v>7080</v>
      </c>
      <c r="F19" s="498">
        <f>D19*0.8</f>
        <v>472</v>
      </c>
      <c r="G19" s="469">
        <f t="shared" si="6"/>
        <v>477.90000000000003</v>
      </c>
      <c r="H19" s="89">
        <f>E19*7.5%</f>
        <v>531</v>
      </c>
      <c r="I19" s="89"/>
      <c r="J19" s="469"/>
      <c r="K19" s="469"/>
      <c r="L19" s="470">
        <f t="shared" si="2"/>
        <v>1480.9</v>
      </c>
      <c r="M19" s="498">
        <f t="shared" si="1"/>
        <v>8560.9</v>
      </c>
      <c r="N19" s="338"/>
      <c r="O19" s="300"/>
      <c r="P19" s="300"/>
      <c r="Q19" s="300"/>
      <c r="R19" s="300"/>
      <c r="S19" s="300"/>
      <c r="T19" s="300"/>
      <c r="U19" s="300"/>
    </row>
    <row r="20" spans="1:22" ht="17.25" customHeight="1">
      <c r="A20" s="465">
        <v>12</v>
      </c>
      <c r="B20" s="729" t="s">
        <v>656</v>
      </c>
      <c r="C20" s="749" t="s">
        <v>1102</v>
      </c>
      <c r="D20" s="1113">
        <v>1150</v>
      </c>
      <c r="E20" s="89">
        <f t="shared" si="5"/>
        <v>13800</v>
      </c>
      <c r="F20" s="498">
        <f>D20*0.7</f>
        <v>805</v>
      </c>
      <c r="G20" s="469">
        <f t="shared" si="6"/>
        <v>931.50000000000011</v>
      </c>
      <c r="H20" s="89">
        <f>E20*7.5%</f>
        <v>1035</v>
      </c>
      <c r="I20" s="89"/>
      <c r="J20" s="469"/>
      <c r="K20" s="469"/>
      <c r="L20" s="470">
        <f t="shared" si="2"/>
        <v>2771.5</v>
      </c>
      <c r="M20" s="498">
        <f t="shared" si="1"/>
        <v>16571.5</v>
      </c>
      <c r="N20" s="338"/>
      <c r="O20" s="300"/>
      <c r="P20" s="300"/>
      <c r="Q20" s="300"/>
      <c r="R20" s="300"/>
      <c r="S20" s="300"/>
      <c r="T20" s="300"/>
      <c r="U20" s="300"/>
    </row>
    <row r="21" spans="1:22">
      <c r="A21" s="465">
        <v>13</v>
      </c>
      <c r="B21" s="729" t="s">
        <v>188</v>
      </c>
      <c r="C21" s="749" t="s">
        <v>1102</v>
      </c>
      <c r="D21" s="1113">
        <v>425</v>
      </c>
      <c r="E21" s="89">
        <f t="shared" si="5"/>
        <v>5100</v>
      </c>
      <c r="F21" s="498">
        <f>D21*0.8</f>
        <v>340</v>
      </c>
      <c r="G21" s="469">
        <f t="shared" si="6"/>
        <v>344.25</v>
      </c>
      <c r="H21" s="89">
        <f>E21*7.5%</f>
        <v>382.5</v>
      </c>
      <c r="I21" s="89"/>
      <c r="J21" s="469"/>
      <c r="K21" s="469"/>
      <c r="L21" s="470">
        <f t="shared" si="2"/>
        <v>1066.75</v>
      </c>
      <c r="M21" s="498">
        <f t="shared" si="1"/>
        <v>6166.75</v>
      </c>
      <c r="N21" s="338">
        <v>425</v>
      </c>
      <c r="O21" s="300"/>
      <c r="P21" s="300">
        <v>2200</v>
      </c>
      <c r="Q21" s="300"/>
      <c r="R21" s="300"/>
      <c r="S21" s="300"/>
      <c r="T21" s="300"/>
      <c r="U21" s="300"/>
      <c r="V21" s="300">
        <f>N21-D21</f>
        <v>0</v>
      </c>
    </row>
    <row r="22" spans="1:22">
      <c r="A22" s="465">
        <v>14</v>
      </c>
      <c r="B22" s="729" t="s">
        <v>24</v>
      </c>
      <c r="C22" s="749" t="s">
        <v>1102</v>
      </c>
      <c r="D22" s="1113">
        <v>2268.5100000000002</v>
      </c>
      <c r="E22" s="89">
        <f t="shared" si="5"/>
        <v>27222.120000000003</v>
      </c>
      <c r="F22" s="498">
        <f>D22*0.7</f>
        <v>1587.9570000000001</v>
      </c>
      <c r="G22" s="469">
        <f t="shared" si="6"/>
        <v>1837.4931000000004</v>
      </c>
      <c r="H22" s="89">
        <f>E22*7.5%</f>
        <v>2041.6590000000001</v>
      </c>
      <c r="I22" s="89"/>
      <c r="J22" s="469"/>
      <c r="K22" s="469"/>
      <c r="L22" s="470">
        <f>SUM(F22:K22)</f>
        <v>5467.1091000000006</v>
      </c>
      <c r="M22" s="498">
        <f>L22+E22</f>
        <v>32689.229100000004</v>
      </c>
      <c r="N22" s="338"/>
      <c r="O22" s="300"/>
      <c r="P22" s="300"/>
      <c r="Q22" s="300"/>
      <c r="R22" s="300"/>
      <c r="S22" s="300"/>
      <c r="T22" s="300"/>
      <c r="U22" s="300"/>
    </row>
    <row r="23" spans="1:22">
      <c r="A23" s="465">
        <v>15</v>
      </c>
      <c r="B23" s="729" t="s">
        <v>1404</v>
      </c>
      <c r="C23" s="749" t="s">
        <v>1102</v>
      </c>
      <c r="D23" s="1113">
        <v>1040</v>
      </c>
      <c r="E23" s="89">
        <f t="shared" ref="E23:E36" si="7">D23*12</f>
        <v>12480</v>
      </c>
      <c r="F23" s="498">
        <f>D23*0.7</f>
        <v>728</v>
      </c>
      <c r="G23" s="469">
        <f t="shared" ref="G23:G35" si="8">(E23+K23)*6.75%</f>
        <v>842.40000000000009</v>
      </c>
      <c r="H23" s="89">
        <f>75*12</f>
        <v>900</v>
      </c>
      <c r="I23" s="89"/>
      <c r="J23" s="469"/>
      <c r="K23" s="469"/>
      <c r="L23" s="470">
        <f t="shared" si="2"/>
        <v>2470.4</v>
      </c>
      <c r="M23" s="498">
        <f t="shared" si="1"/>
        <v>14950.4</v>
      </c>
      <c r="N23" s="338">
        <v>1040</v>
      </c>
      <c r="O23" s="300"/>
      <c r="P23" s="300"/>
      <c r="Q23" s="300"/>
      <c r="R23" s="493"/>
      <c r="V23" s="300">
        <f>N23-D23</f>
        <v>0</v>
      </c>
    </row>
    <row r="24" spans="1:22">
      <c r="A24" s="465">
        <v>16</v>
      </c>
      <c r="B24" s="729" t="s">
        <v>187</v>
      </c>
      <c r="C24" s="749" t="s">
        <v>1102</v>
      </c>
      <c r="D24" s="1113">
        <v>550</v>
      </c>
      <c r="E24" s="89">
        <f t="shared" si="7"/>
        <v>6600</v>
      </c>
      <c r="F24" s="498">
        <f>D24*0.8</f>
        <v>440</v>
      </c>
      <c r="G24" s="469">
        <f t="shared" si="8"/>
        <v>445.50000000000006</v>
      </c>
      <c r="H24" s="89">
        <f>E24*7.5%</f>
        <v>495</v>
      </c>
      <c r="I24" s="89"/>
      <c r="J24" s="469"/>
      <c r="K24" s="469"/>
      <c r="L24" s="470">
        <f t="shared" si="2"/>
        <v>1380.5</v>
      </c>
      <c r="M24" s="498">
        <f t="shared" si="1"/>
        <v>7980.5</v>
      </c>
      <c r="N24" s="338"/>
      <c r="O24" s="300"/>
      <c r="P24" s="300"/>
      <c r="Q24" s="300">
        <v>1063.21</v>
      </c>
      <c r="R24" s="300"/>
    </row>
    <row r="25" spans="1:22">
      <c r="A25" s="465">
        <v>17</v>
      </c>
      <c r="B25" s="729" t="s">
        <v>1230</v>
      </c>
      <c r="C25" s="749" t="s">
        <v>1102</v>
      </c>
      <c r="D25" s="1113">
        <v>720</v>
      </c>
      <c r="E25" s="89">
        <f t="shared" si="7"/>
        <v>8640</v>
      </c>
      <c r="F25" s="498">
        <f>D25*0.7</f>
        <v>503.99999999999994</v>
      </c>
      <c r="G25" s="469">
        <f>(E25+K25)*6.75%</f>
        <v>583.20000000000005</v>
      </c>
      <c r="H25" s="89">
        <f t="shared" ref="H25:H36" si="9">E25*7.5%</f>
        <v>648</v>
      </c>
      <c r="I25" s="89"/>
      <c r="J25" s="469"/>
      <c r="K25" s="469"/>
      <c r="L25" s="470">
        <f t="shared" si="2"/>
        <v>1735.2</v>
      </c>
      <c r="M25" s="498">
        <f t="shared" si="1"/>
        <v>10375.200000000001</v>
      </c>
      <c r="N25" s="338">
        <v>740</v>
      </c>
      <c r="Q25" s="92">
        <v>1250</v>
      </c>
      <c r="V25" s="300">
        <f>N25-D25</f>
        <v>20</v>
      </c>
    </row>
    <row r="26" spans="1:22">
      <c r="A26" s="465">
        <v>18</v>
      </c>
      <c r="B26" s="729" t="s">
        <v>1285</v>
      </c>
      <c r="C26" s="750" t="s">
        <v>1102</v>
      </c>
      <c r="D26" s="1113">
        <v>400</v>
      </c>
      <c r="E26" s="89">
        <f t="shared" si="7"/>
        <v>4800</v>
      </c>
      <c r="F26" s="498">
        <f>F28</f>
        <v>380</v>
      </c>
      <c r="G26" s="469">
        <f>(E26+K26)*6.75%</f>
        <v>324</v>
      </c>
      <c r="H26" s="89">
        <f t="shared" si="9"/>
        <v>360</v>
      </c>
      <c r="I26" s="89"/>
      <c r="J26" s="469"/>
      <c r="K26" s="469"/>
      <c r="L26" s="470">
        <f t="shared" si="2"/>
        <v>1064</v>
      </c>
      <c r="M26" s="498">
        <f t="shared" si="1"/>
        <v>5864</v>
      </c>
      <c r="N26" s="338"/>
      <c r="Q26" s="300">
        <f>Q25-Q24</f>
        <v>186.78999999999996</v>
      </c>
      <c r="R26" s="92" t="s">
        <v>854</v>
      </c>
    </row>
    <row r="27" spans="1:22">
      <c r="A27" s="465">
        <v>19</v>
      </c>
      <c r="B27" s="733" t="s">
        <v>1103</v>
      </c>
      <c r="C27" s="750" t="s">
        <v>1102</v>
      </c>
      <c r="D27" s="1113">
        <v>870</v>
      </c>
      <c r="E27" s="498">
        <f t="shared" si="7"/>
        <v>10440</v>
      </c>
      <c r="F27" s="498">
        <f>D27*0.7</f>
        <v>609</v>
      </c>
      <c r="G27" s="469">
        <f>(E27+K27)*6.75%</f>
        <v>704.7</v>
      </c>
      <c r="H27" s="89">
        <f t="shared" si="9"/>
        <v>783</v>
      </c>
      <c r="I27" s="498"/>
      <c r="J27" s="499"/>
      <c r="K27" s="499"/>
      <c r="L27" s="470">
        <f t="shared" si="2"/>
        <v>2096.6999999999998</v>
      </c>
      <c r="M27" s="498">
        <f t="shared" si="1"/>
        <v>12536.7</v>
      </c>
      <c r="N27" s="338">
        <v>870</v>
      </c>
      <c r="Q27" s="92">
        <f>Q26/Q24</f>
        <v>0.17568495405423196</v>
      </c>
      <c r="V27" s="300">
        <f>N27-D27</f>
        <v>0</v>
      </c>
    </row>
    <row r="28" spans="1:22">
      <c r="A28" s="465">
        <v>20</v>
      </c>
      <c r="B28" s="733" t="s">
        <v>769</v>
      </c>
      <c r="C28" s="749" t="s">
        <v>1102</v>
      </c>
      <c r="D28" s="1113">
        <v>475</v>
      </c>
      <c r="E28" s="89">
        <f t="shared" si="7"/>
        <v>5700</v>
      </c>
      <c r="F28" s="498">
        <f>D28*0.8</f>
        <v>380</v>
      </c>
      <c r="G28" s="469">
        <f t="shared" si="8"/>
        <v>384.75</v>
      </c>
      <c r="H28" s="89">
        <f t="shared" si="9"/>
        <v>427.5</v>
      </c>
      <c r="I28" s="89"/>
      <c r="J28" s="469"/>
      <c r="K28" s="469"/>
      <c r="L28" s="470">
        <f t="shared" si="2"/>
        <v>1192.25</v>
      </c>
      <c r="M28" s="498">
        <f t="shared" si="1"/>
        <v>6892.25</v>
      </c>
      <c r="N28" s="338"/>
      <c r="O28" s="300"/>
    </row>
    <row r="29" spans="1:22">
      <c r="A29" s="465">
        <v>21</v>
      </c>
      <c r="B29" s="727" t="s">
        <v>715</v>
      </c>
      <c r="C29" s="749" t="s">
        <v>1102</v>
      </c>
      <c r="D29" s="1113">
        <v>500</v>
      </c>
      <c r="E29" s="89">
        <f t="shared" si="7"/>
        <v>6000</v>
      </c>
      <c r="F29" s="498">
        <f>D29*0.8</f>
        <v>400</v>
      </c>
      <c r="G29" s="469">
        <f t="shared" si="8"/>
        <v>405</v>
      </c>
      <c r="H29" s="89">
        <f t="shared" si="9"/>
        <v>450</v>
      </c>
      <c r="I29" s="89"/>
      <c r="J29" s="469"/>
      <c r="K29" s="469"/>
      <c r="L29" s="470">
        <f t="shared" si="2"/>
        <v>1255</v>
      </c>
      <c r="M29" s="498">
        <f t="shared" si="1"/>
        <v>7255</v>
      </c>
      <c r="N29" s="338"/>
      <c r="O29" s="300"/>
    </row>
    <row r="30" spans="1:22">
      <c r="A30" s="465">
        <v>22</v>
      </c>
      <c r="B30" s="729" t="s">
        <v>280</v>
      </c>
      <c r="C30" s="749" t="s">
        <v>1102</v>
      </c>
      <c r="D30" s="1113">
        <v>475</v>
      </c>
      <c r="E30" s="89">
        <f t="shared" si="7"/>
        <v>5700</v>
      </c>
      <c r="F30" s="498">
        <f>D30*0.8</f>
        <v>380</v>
      </c>
      <c r="G30" s="469">
        <f t="shared" si="8"/>
        <v>384.75</v>
      </c>
      <c r="H30" s="89">
        <f t="shared" si="9"/>
        <v>427.5</v>
      </c>
      <c r="I30" s="89"/>
      <c r="J30" s="469"/>
      <c r="K30" s="469"/>
      <c r="L30" s="470">
        <f t="shared" si="2"/>
        <v>1192.25</v>
      </c>
      <c r="M30" s="498">
        <f t="shared" si="1"/>
        <v>6892.25</v>
      </c>
      <c r="N30" s="338"/>
      <c r="O30" s="300"/>
    </row>
    <row r="31" spans="1:22" ht="17.25">
      <c r="A31" s="465">
        <v>23</v>
      </c>
      <c r="B31" s="733" t="s">
        <v>1262</v>
      </c>
      <c r="C31" s="750" t="s">
        <v>1102</v>
      </c>
      <c r="D31" s="1113">
        <v>400</v>
      </c>
      <c r="E31" s="89">
        <f t="shared" si="7"/>
        <v>4800</v>
      </c>
      <c r="F31" s="498">
        <f>D31</f>
        <v>400</v>
      </c>
      <c r="G31" s="469">
        <f>(E31+K31)*6.75%</f>
        <v>324</v>
      </c>
      <c r="H31" s="89">
        <f t="shared" si="9"/>
        <v>360</v>
      </c>
      <c r="I31" s="89"/>
      <c r="J31" s="469"/>
      <c r="K31" s="469"/>
      <c r="L31" s="470">
        <f t="shared" si="2"/>
        <v>1084</v>
      </c>
      <c r="M31" s="498">
        <f t="shared" si="1"/>
        <v>5884</v>
      </c>
      <c r="N31" s="338"/>
      <c r="O31" s="300"/>
    </row>
    <row r="32" spans="1:22">
      <c r="A32" s="465">
        <v>24</v>
      </c>
      <c r="B32" s="729" t="s">
        <v>1118</v>
      </c>
      <c r="C32" s="750" t="s">
        <v>891</v>
      </c>
      <c r="D32" s="1113">
        <v>800</v>
      </c>
      <c r="E32" s="89">
        <f t="shared" si="7"/>
        <v>9600</v>
      </c>
      <c r="F32" s="498">
        <f>D32*0.7</f>
        <v>560</v>
      </c>
      <c r="G32" s="469">
        <f>(E32+K32)*6.75%</f>
        <v>648</v>
      </c>
      <c r="H32" s="89">
        <f t="shared" si="9"/>
        <v>720</v>
      </c>
      <c r="I32" s="89"/>
      <c r="J32" s="469"/>
      <c r="K32" s="469"/>
      <c r="L32" s="470">
        <f t="shared" si="2"/>
        <v>1928</v>
      </c>
      <c r="M32" s="498">
        <f t="shared" si="1"/>
        <v>11528</v>
      </c>
      <c r="N32" s="338">
        <v>800</v>
      </c>
      <c r="O32" s="300"/>
      <c r="V32" s="300">
        <f>N32-D32</f>
        <v>0</v>
      </c>
    </row>
    <row r="33" spans="1:22">
      <c r="A33" s="465">
        <v>25</v>
      </c>
      <c r="B33" s="729" t="s">
        <v>275</v>
      </c>
      <c r="C33" s="750" t="s">
        <v>891</v>
      </c>
      <c r="D33" s="528">
        <v>550</v>
      </c>
      <c r="E33" s="89">
        <f t="shared" si="7"/>
        <v>6600</v>
      </c>
      <c r="F33" s="498">
        <f>D33*0.8</f>
        <v>440</v>
      </c>
      <c r="G33" s="469">
        <f>(E33+K33)*6.75%</f>
        <v>445.50000000000006</v>
      </c>
      <c r="H33" s="89">
        <f t="shared" si="9"/>
        <v>495</v>
      </c>
      <c r="I33" s="89"/>
      <c r="J33" s="469"/>
      <c r="K33" s="469"/>
      <c r="L33" s="470">
        <f t="shared" si="2"/>
        <v>1380.5</v>
      </c>
      <c r="M33" s="498">
        <f t="shared" si="1"/>
        <v>7980.5</v>
      </c>
      <c r="N33" s="338"/>
      <c r="O33" s="300"/>
    </row>
    <row r="34" spans="1:22">
      <c r="A34" s="465">
        <v>26</v>
      </c>
      <c r="B34" s="729" t="s">
        <v>189</v>
      </c>
      <c r="C34" s="750" t="s">
        <v>891</v>
      </c>
      <c r="D34" s="528">
        <v>375</v>
      </c>
      <c r="E34" s="89">
        <f t="shared" si="7"/>
        <v>4500</v>
      </c>
      <c r="F34" s="498">
        <f t="shared" ref="F34:F35" si="10">D34</f>
        <v>375</v>
      </c>
      <c r="G34" s="469">
        <f t="shared" si="8"/>
        <v>303.75</v>
      </c>
      <c r="H34" s="89">
        <f t="shared" si="9"/>
        <v>337.5</v>
      </c>
      <c r="I34" s="89"/>
      <c r="J34" s="469"/>
      <c r="K34" s="469"/>
      <c r="L34" s="470">
        <f t="shared" si="2"/>
        <v>1016.25</v>
      </c>
      <c r="M34" s="498">
        <f t="shared" si="1"/>
        <v>5516.25</v>
      </c>
      <c r="N34" s="338"/>
    </row>
    <row r="35" spans="1:22">
      <c r="A35" s="465">
        <v>27</v>
      </c>
      <c r="B35" s="729" t="s">
        <v>189</v>
      </c>
      <c r="C35" s="750" t="s">
        <v>891</v>
      </c>
      <c r="D35" s="528">
        <v>390</v>
      </c>
      <c r="E35" s="89">
        <f t="shared" si="7"/>
        <v>4680</v>
      </c>
      <c r="F35" s="498">
        <f t="shared" si="10"/>
        <v>390</v>
      </c>
      <c r="G35" s="469">
        <f t="shared" si="8"/>
        <v>315.90000000000003</v>
      </c>
      <c r="H35" s="89">
        <f t="shared" si="9"/>
        <v>351</v>
      </c>
      <c r="I35" s="89"/>
      <c r="J35" s="469"/>
      <c r="K35" s="469"/>
      <c r="L35" s="470">
        <f t="shared" si="2"/>
        <v>1056.9000000000001</v>
      </c>
      <c r="M35" s="498">
        <f t="shared" si="1"/>
        <v>5736.9</v>
      </c>
      <c r="N35" s="338"/>
    </row>
    <row r="36" spans="1:22">
      <c r="A36" s="465">
        <v>28</v>
      </c>
      <c r="B36" s="733" t="s">
        <v>1212</v>
      </c>
      <c r="C36" s="750" t="s">
        <v>891</v>
      </c>
      <c r="D36" s="1114">
        <v>750</v>
      </c>
      <c r="E36" s="89">
        <f t="shared" si="7"/>
        <v>9000</v>
      </c>
      <c r="F36" s="498">
        <f>D36*0.7</f>
        <v>525</v>
      </c>
      <c r="G36" s="469">
        <f>(E36+K36)*6.75%</f>
        <v>607.5</v>
      </c>
      <c r="H36" s="89">
        <f t="shared" si="9"/>
        <v>675</v>
      </c>
      <c r="I36" s="89"/>
      <c r="J36" s="469"/>
      <c r="K36" s="469"/>
      <c r="L36" s="470">
        <f t="shared" si="2"/>
        <v>1807.5</v>
      </c>
      <c r="M36" s="498">
        <f t="shared" si="1"/>
        <v>10807.5</v>
      </c>
      <c r="N36" s="338"/>
    </row>
    <row r="37" spans="1:22" s="329" customFormat="1" ht="18" customHeight="1">
      <c r="A37" s="1369" t="s">
        <v>415</v>
      </c>
      <c r="B37" s="1369"/>
      <c r="C37" s="1369"/>
      <c r="D37" s="1047">
        <f>SUM(D9:D36)</f>
        <v>23925.91</v>
      </c>
      <c r="E37" s="1047">
        <f t="shared" ref="E37:M37" si="11">SUM(E9:E36)</f>
        <v>287110.92</v>
      </c>
      <c r="F37" s="1047">
        <f t="shared" si="11"/>
        <v>17934.637000000002</v>
      </c>
      <c r="G37" s="1047">
        <f t="shared" si="11"/>
        <v>19379.987100000002</v>
      </c>
      <c r="H37" s="1047">
        <f t="shared" si="11"/>
        <v>18831.159</v>
      </c>
      <c r="I37" s="1047">
        <f t="shared" si="11"/>
        <v>0</v>
      </c>
      <c r="J37" s="1047">
        <f t="shared" si="11"/>
        <v>0</v>
      </c>
      <c r="K37" s="1047">
        <f t="shared" si="11"/>
        <v>0</v>
      </c>
      <c r="L37" s="1047">
        <f t="shared" si="11"/>
        <v>56145.783100000001</v>
      </c>
      <c r="M37" s="1047">
        <f t="shared" si="11"/>
        <v>343256.70310000004</v>
      </c>
      <c r="N37" s="378"/>
      <c r="V37" s="329">
        <f>SUM(V9:V36)</f>
        <v>0</v>
      </c>
    </row>
    <row r="38" spans="1:22" s="329" customFormat="1" ht="18" customHeight="1">
      <c r="A38" s="380"/>
      <c r="B38" s="380"/>
      <c r="C38" s="380"/>
      <c r="D38" s="1080"/>
      <c r="E38" s="1081"/>
      <c r="F38" s="1080"/>
      <c r="G38" s="1080"/>
      <c r="H38" s="1080"/>
      <c r="I38" s="1080"/>
      <c r="J38" s="1080"/>
      <c r="K38" s="1080"/>
      <c r="L38" s="1080"/>
      <c r="M38" s="1080"/>
      <c r="N38" s="378"/>
    </row>
    <row r="39" spans="1:22" s="329" customFormat="1" ht="18" customHeight="1">
      <c r="A39" s="380"/>
      <c r="B39" s="380"/>
      <c r="C39" s="380"/>
      <c r="D39" s="1080"/>
      <c r="E39" s="1081"/>
      <c r="F39" s="1080"/>
      <c r="G39" s="1080"/>
      <c r="H39" s="1080"/>
      <c r="I39" s="1080"/>
      <c r="J39" s="1080"/>
      <c r="K39" s="1080"/>
      <c r="L39" s="1080"/>
      <c r="M39" s="1080"/>
      <c r="N39" s="378"/>
    </row>
    <row r="40" spans="1:22" s="329" customFormat="1" ht="18" customHeight="1">
      <c r="A40" s="380"/>
      <c r="B40" s="380"/>
      <c r="C40" s="380"/>
      <c r="D40" s="1080"/>
      <c r="E40" s="1081"/>
      <c r="F40" s="1080"/>
      <c r="G40" s="1080"/>
      <c r="H40" s="1080"/>
      <c r="I40" s="1080"/>
      <c r="J40" s="1080"/>
      <c r="K40" s="1080"/>
      <c r="L40" s="1080"/>
      <c r="M40" s="1080"/>
      <c r="N40" s="378"/>
    </row>
    <row r="41" spans="1:22" s="329" customFormat="1" ht="18" customHeight="1">
      <c r="A41" s="380"/>
      <c r="B41" s="380"/>
      <c r="C41" s="380"/>
      <c r="D41" s="1080"/>
      <c r="E41" s="1081"/>
      <c r="F41" s="1080"/>
      <c r="G41" s="1080"/>
      <c r="H41" s="1080"/>
      <c r="I41" s="1080"/>
      <c r="J41" s="1080"/>
      <c r="K41" s="1080"/>
      <c r="L41" s="1080"/>
      <c r="M41" s="1080"/>
      <c r="N41" s="378"/>
    </row>
    <row r="42" spans="1:22" s="329" customFormat="1" ht="18" customHeight="1">
      <c r="A42" s="380"/>
      <c r="B42" s="380"/>
      <c r="C42" s="380"/>
      <c r="D42" s="1080"/>
      <c r="E42" s="1081"/>
      <c r="F42" s="1080"/>
      <c r="G42" s="1080"/>
      <c r="H42" s="1080"/>
      <c r="I42" s="1080"/>
      <c r="J42" s="1080"/>
      <c r="K42" s="1080"/>
      <c r="L42" s="1080"/>
      <c r="M42" s="1080"/>
      <c r="N42" s="378"/>
    </row>
    <row r="43" spans="1:22" ht="14.25" customHeight="1">
      <c r="A43" s="1329" t="s">
        <v>597</v>
      </c>
      <c r="B43" s="1329"/>
      <c r="C43" s="1329"/>
      <c r="D43" s="1329"/>
      <c r="E43" s="1329"/>
      <c r="F43" s="1329"/>
      <c r="G43" s="1329"/>
      <c r="H43" s="1329"/>
      <c r="I43" s="1329"/>
      <c r="J43" s="1329"/>
      <c r="K43" s="1329"/>
      <c r="L43" s="1329"/>
      <c r="M43" s="1329"/>
      <c r="N43" s="1088"/>
      <c r="O43" s="451" t="s">
        <v>415</v>
      </c>
      <c r="P43" s="300">
        <f>SUM(P37:P37)</f>
        <v>0</v>
      </c>
    </row>
    <row r="44" spans="1:22" ht="13.5" customHeight="1">
      <c r="A44" s="1329" t="s">
        <v>598</v>
      </c>
      <c r="B44" s="1329"/>
      <c r="C44" s="1329"/>
      <c r="D44" s="1329"/>
      <c r="E44" s="1329"/>
      <c r="F44" s="1329"/>
      <c r="G44" s="1329"/>
      <c r="H44" s="1329"/>
      <c r="I44" s="1329"/>
      <c r="J44" s="1329"/>
      <c r="K44" s="1329"/>
      <c r="L44" s="1329"/>
      <c r="M44" s="1329"/>
      <c r="N44" s="1088"/>
    </row>
    <row r="45" spans="1:22" ht="13.5" customHeight="1">
      <c r="A45" s="1329" t="str">
        <f>A3</f>
        <v>PROYECCION DE RECURSOS HUMANOS  PARA EL AÑO 2017</v>
      </c>
      <c r="B45" s="1329"/>
      <c r="C45" s="1329"/>
      <c r="D45" s="1329"/>
      <c r="E45" s="1329"/>
      <c r="F45" s="1329"/>
      <c r="G45" s="1329"/>
      <c r="H45" s="1329"/>
      <c r="I45" s="1329"/>
      <c r="J45" s="1329"/>
      <c r="K45" s="1329"/>
      <c r="L45" s="1329"/>
      <c r="M45" s="1329"/>
      <c r="N45" s="1088"/>
    </row>
    <row r="46" spans="1:22" ht="13.5" customHeight="1" thickBot="1">
      <c r="A46" s="288"/>
      <c r="B46" s="766"/>
      <c r="C46" s="1088"/>
      <c r="D46" s="730"/>
      <c r="E46" s="1088"/>
      <c r="F46" s="527"/>
      <c r="G46" s="1088"/>
      <c r="H46" s="1088"/>
      <c r="I46" s="1088"/>
      <c r="J46" s="1088"/>
      <c r="K46" s="1088"/>
      <c r="L46" s="1088" t="s">
        <v>91</v>
      </c>
      <c r="M46" s="1088"/>
      <c r="N46" s="1088"/>
    </row>
    <row r="47" spans="1:22" ht="13.5" thickBot="1">
      <c r="A47" s="1339" t="s">
        <v>630</v>
      </c>
      <c r="B47" s="1386" t="s">
        <v>631</v>
      </c>
      <c r="C47" s="1363" t="s">
        <v>831</v>
      </c>
      <c r="D47" s="1366" t="s">
        <v>632</v>
      </c>
      <c r="E47" s="1367"/>
      <c r="F47" s="1344" t="s">
        <v>633</v>
      </c>
      <c r="G47" s="1345"/>
      <c r="H47" s="1345"/>
      <c r="I47" s="1345"/>
      <c r="J47" s="1345"/>
      <c r="K47" s="1345"/>
      <c r="L47" s="1346"/>
      <c r="M47" s="726" t="s">
        <v>635</v>
      </c>
      <c r="N47" s="1088"/>
    </row>
    <row r="48" spans="1:22" ht="22.5" customHeight="1">
      <c r="A48" s="1340"/>
      <c r="B48" s="1387"/>
      <c r="C48" s="1364"/>
      <c r="D48" s="1368"/>
      <c r="E48" s="1331"/>
      <c r="F48" s="1364" t="s">
        <v>638</v>
      </c>
      <c r="G48" s="1394" t="s">
        <v>634</v>
      </c>
      <c r="H48" s="1395"/>
      <c r="I48" s="1395"/>
      <c r="J48" s="1396"/>
      <c r="K48" s="1388" t="s">
        <v>806</v>
      </c>
      <c r="L48" s="1361" t="s">
        <v>415</v>
      </c>
      <c r="M48" s="335"/>
      <c r="N48" s="1088"/>
    </row>
    <row r="49" spans="1:15" ht="18">
      <c r="A49" s="1340"/>
      <c r="B49" s="1387"/>
      <c r="C49" s="1364"/>
      <c r="D49" s="1368"/>
      <c r="E49" s="1331"/>
      <c r="F49" s="1364"/>
      <c r="G49" s="280" t="s">
        <v>293</v>
      </c>
      <c r="H49" s="1348" t="s">
        <v>292</v>
      </c>
      <c r="I49" s="1349"/>
      <c r="J49" s="1349"/>
      <c r="K49" s="1336"/>
      <c r="L49" s="1361"/>
      <c r="M49" s="335"/>
      <c r="N49" s="1088"/>
    </row>
    <row r="50" spans="1:15" ht="13.5" customHeight="1" thickBot="1">
      <c r="A50" s="1341"/>
      <c r="B50" s="1387"/>
      <c r="C50" s="1365"/>
      <c r="D50" s="731" t="s">
        <v>636</v>
      </c>
      <c r="E50" s="371" t="s">
        <v>637</v>
      </c>
      <c r="F50" s="1364"/>
      <c r="G50" s="372" t="s">
        <v>639</v>
      </c>
      <c r="H50" s="373" t="s">
        <v>640</v>
      </c>
      <c r="I50" s="374" t="s">
        <v>296</v>
      </c>
      <c r="J50" s="374" t="s">
        <v>641</v>
      </c>
      <c r="K50" s="1336"/>
      <c r="L50" s="1361"/>
      <c r="M50" s="375" t="s">
        <v>643</v>
      </c>
      <c r="N50" s="376"/>
    </row>
    <row r="51" spans="1:15" s="1049" customFormat="1" ht="15" customHeight="1" thickBot="1">
      <c r="A51" s="1344" t="s">
        <v>799</v>
      </c>
      <c r="B51" s="1332"/>
      <c r="C51" s="1346"/>
      <c r="D51" s="1048">
        <f>D37</f>
        <v>23925.91</v>
      </c>
      <c r="E51" s="1048">
        <f t="shared" ref="E51:M51" si="12">E37</f>
        <v>287110.92</v>
      </c>
      <c r="F51" s="1048">
        <f t="shared" si="12"/>
        <v>17934.637000000002</v>
      </c>
      <c r="G51" s="1048">
        <f t="shared" si="12"/>
        <v>19379.987100000002</v>
      </c>
      <c r="H51" s="1048">
        <f t="shared" si="12"/>
        <v>18831.159</v>
      </c>
      <c r="I51" s="1048">
        <f t="shared" si="12"/>
        <v>0</v>
      </c>
      <c r="J51" s="1048">
        <f t="shared" si="12"/>
        <v>0</v>
      </c>
      <c r="K51" s="1048"/>
      <c r="L51" s="1048">
        <f t="shared" si="12"/>
        <v>56145.783100000001</v>
      </c>
      <c r="M51" s="1048">
        <f t="shared" si="12"/>
        <v>343256.70310000004</v>
      </c>
      <c r="N51" s="766"/>
    </row>
    <row r="52" spans="1:15" ht="17.25">
      <c r="A52" s="465">
        <v>29</v>
      </c>
      <c r="B52" s="733" t="s">
        <v>1233</v>
      </c>
      <c r="C52" s="750" t="s">
        <v>891</v>
      </c>
      <c r="D52" s="528">
        <f>'SUELDOS '!F69</f>
        <v>358.8</v>
      </c>
      <c r="E52" s="89">
        <f t="shared" ref="E52:E60" si="13">D52*12</f>
        <v>4305.6000000000004</v>
      </c>
      <c r="F52" s="498">
        <f t="shared" ref="F52:F60" si="14">D52</f>
        <v>358.8</v>
      </c>
      <c r="G52" s="469">
        <f t="shared" ref="G52:G57" si="15">(E52+K52)*6.75%</f>
        <v>290.62800000000004</v>
      </c>
      <c r="H52" s="89">
        <f t="shared" ref="H52:H60" si="16">E52*7.5%</f>
        <v>322.92</v>
      </c>
      <c r="I52" s="89"/>
      <c r="J52" s="469"/>
      <c r="K52" s="469"/>
      <c r="L52" s="470">
        <f t="shared" ref="L52:L57" si="17">SUM(F52:K52)</f>
        <v>972.34800000000018</v>
      </c>
      <c r="M52" s="89">
        <f t="shared" ref="M52:M60" si="18">L52+E52</f>
        <v>5277.9480000000003</v>
      </c>
      <c r="N52" s="338"/>
    </row>
    <row r="53" spans="1:15" ht="17.25">
      <c r="A53" s="465">
        <v>30</v>
      </c>
      <c r="B53" s="733" t="s">
        <v>1234</v>
      </c>
      <c r="C53" s="750" t="s">
        <v>891</v>
      </c>
      <c r="D53" s="528">
        <v>337</v>
      </c>
      <c r="E53" s="751">
        <f t="shared" si="13"/>
        <v>4044</v>
      </c>
      <c r="F53" s="498">
        <f t="shared" si="14"/>
        <v>337</v>
      </c>
      <c r="G53" s="752">
        <f>(E53+K53)*6.75%</f>
        <v>272.97000000000003</v>
      </c>
      <c r="H53" s="89">
        <f t="shared" si="16"/>
        <v>303.3</v>
      </c>
      <c r="I53" s="751"/>
      <c r="J53" s="752"/>
      <c r="K53" s="752"/>
      <c r="L53" s="470">
        <f>SUM(F53:K53)</f>
        <v>913.27</v>
      </c>
      <c r="M53" s="751">
        <f>L53+E53</f>
        <v>4957.2700000000004</v>
      </c>
      <c r="N53" s="338"/>
    </row>
    <row r="54" spans="1:15" ht="17.25">
      <c r="A54" s="465">
        <v>31</v>
      </c>
      <c r="B54" s="733" t="s">
        <v>1235</v>
      </c>
      <c r="C54" s="750" t="s">
        <v>891</v>
      </c>
      <c r="D54" s="528">
        <v>325</v>
      </c>
      <c r="E54" s="89">
        <f t="shared" si="13"/>
        <v>3900</v>
      </c>
      <c r="F54" s="498">
        <f t="shared" si="14"/>
        <v>325</v>
      </c>
      <c r="G54" s="469">
        <f>(E54+K54)*6.75%</f>
        <v>263.25</v>
      </c>
      <c r="H54" s="89">
        <f t="shared" si="16"/>
        <v>292.5</v>
      </c>
      <c r="I54" s="89"/>
      <c r="J54" s="469"/>
      <c r="K54" s="469"/>
      <c r="L54" s="470">
        <f>SUM(F54:K54)</f>
        <v>880.75</v>
      </c>
      <c r="M54" s="89">
        <f>L54+E54</f>
        <v>4780.75</v>
      </c>
      <c r="N54" s="338"/>
    </row>
    <row r="55" spans="1:15" ht="17.25">
      <c r="A55" s="465">
        <v>32</v>
      </c>
      <c r="B55" s="733" t="s">
        <v>1241</v>
      </c>
      <c r="C55" s="750" t="s">
        <v>891</v>
      </c>
      <c r="D55" s="528">
        <v>337</v>
      </c>
      <c r="E55" s="89">
        <f t="shared" si="13"/>
        <v>4044</v>
      </c>
      <c r="F55" s="498">
        <f t="shared" si="14"/>
        <v>337</v>
      </c>
      <c r="G55" s="469">
        <f>(E55+K55)*6.75%</f>
        <v>272.97000000000003</v>
      </c>
      <c r="H55" s="89">
        <f t="shared" si="16"/>
        <v>303.3</v>
      </c>
      <c r="I55" s="89"/>
      <c r="J55" s="469"/>
      <c r="K55" s="469"/>
      <c r="L55" s="470">
        <f>SUM(F55:K55)</f>
        <v>913.27</v>
      </c>
      <c r="M55" s="89">
        <f>L55+E55</f>
        <v>4957.2700000000004</v>
      </c>
      <c r="N55" s="338"/>
    </row>
    <row r="56" spans="1:15">
      <c r="A56" s="465">
        <v>33</v>
      </c>
      <c r="B56" s="729" t="s">
        <v>1115</v>
      </c>
      <c r="C56" s="750" t="s">
        <v>891</v>
      </c>
      <c r="D56" s="528">
        <v>315</v>
      </c>
      <c r="E56" s="89">
        <f t="shared" si="13"/>
        <v>3780</v>
      </c>
      <c r="F56" s="498">
        <f t="shared" si="14"/>
        <v>315</v>
      </c>
      <c r="G56" s="469">
        <f t="shared" si="15"/>
        <v>255.15</v>
      </c>
      <c r="H56" s="89">
        <f t="shared" si="16"/>
        <v>283.5</v>
      </c>
      <c r="I56" s="89"/>
      <c r="J56" s="469"/>
      <c r="K56" s="469"/>
      <c r="L56" s="470">
        <f t="shared" si="17"/>
        <v>853.65</v>
      </c>
      <c r="M56" s="89">
        <f t="shared" si="18"/>
        <v>4633.6499999999996</v>
      </c>
      <c r="N56" s="338"/>
      <c r="O56" s="300">
        <f>J107</f>
        <v>0</v>
      </c>
    </row>
    <row r="57" spans="1:15">
      <c r="A57" s="465">
        <v>34</v>
      </c>
      <c r="B57" s="729" t="s">
        <v>1116</v>
      </c>
      <c r="C57" s="750" t="s">
        <v>891</v>
      </c>
      <c r="D57" s="528">
        <v>175</v>
      </c>
      <c r="E57" s="89">
        <f t="shared" si="13"/>
        <v>2100</v>
      </c>
      <c r="F57" s="498">
        <f t="shared" si="14"/>
        <v>175</v>
      </c>
      <c r="G57" s="469">
        <f t="shared" si="15"/>
        <v>141.75</v>
      </c>
      <c r="H57" s="89">
        <f t="shared" si="16"/>
        <v>157.5</v>
      </c>
      <c r="I57" s="89"/>
      <c r="J57" s="469"/>
      <c r="K57" s="469"/>
      <c r="L57" s="470">
        <f t="shared" si="17"/>
        <v>474.25</v>
      </c>
      <c r="M57" s="89">
        <f t="shared" si="18"/>
        <v>2574.25</v>
      </c>
      <c r="N57" s="338"/>
    </row>
    <row r="58" spans="1:15" ht="17.25">
      <c r="A58" s="465">
        <v>35</v>
      </c>
      <c r="B58" s="1126" t="s">
        <v>1272</v>
      </c>
      <c r="C58" s="750" t="s">
        <v>891</v>
      </c>
      <c r="D58" s="528">
        <v>450</v>
      </c>
      <c r="E58" s="89">
        <f t="shared" si="13"/>
        <v>5400</v>
      </c>
      <c r="F58" s="498">
        <f>D58*0.8</f>
        <v>360</v>
      </c>
      <c r="G58" s="469">
        <f t="shared" ref="G58:G60" si="19">(E58+K58)*6.75%</f>
        <v>364.5</v>
      </c>
      <c r="H58" s="89">
        <f t="shared" si="16"/>
        <v>405</v>
      </c>
      <c r="I58" s="89"/>
      <c r="J58" s="469"/>
      <c r="K58" s="469"/>
      <c r="L58" s="470">
        <f t="shared" ref="L58:L60" si="20">SUM(F58:K58)</f>
        <v>1129.5</v>
      </c>
      <c r="M58" s="89">
        <f>L58+E58</f>
        <v>6529.5</v>
      </c>
      <c r="N58" s="338"/>
    </row>
    <row r="59" spans="1:15">
      <c r="A59" s="465">
        <v>36</v>
      </c>
      <c r="B59" s="729" t="s">
        <v>1236</v>
      </c>
      <c r="C59" s="750" t="s">
        <v>891</v>
      </c>
      <c r="D59" s="528">
        <v>330</v>
      </c>
      <c r="E59" s="89">
        <f t="shared" si="13"/>
        <v>3960</v>
      </c>
      <c r="F59" s="498">
        <f t="shared" si="14"/>
        <v>330</v>
      </c>
      <c r="G59" s="469">
        <f t="shared" si="19"/>
        <v>267.3</v>
      </c>
      <c r="H59" s="89">
        <f t="shared" si="16"/>
        <v>297</v>
      </c>
      <c r="I59" s="89"/>
      <c r="J59" s="469"/>
      <c r="K59" s="469"/>
      <c r="L59" s="470">
        <f t="shared" si="20"/>
        <v>894.3</v>
      </c>
      <c r="M59" s="89">
        <f t="shared" si="18"/>
        <v>4854.3</v>
      </c>
      <c r="N59" s="338"/>
    </row>
    <row r="60" spans="1:15">
      <c r="A60" s="465">
        <v>37</v>
      </c>
      <c r="B60" s="729" t="s">
        <v>544</v>
      </c>
      <c r="C60" s="750" t="s">
        <v>891</v>
      </c>
      <c r="D60" s="528">
        <v>337</v>
      </c>
      <c r="E60" s="89">
        <f t="shared" si="13"/>
        <v>4044</v>
      </c>
      <c r="F60" s="498">
        <f t="shared" si="14"/>
        <v>337</v>
      </c>
      <c r="G60" s="469">
        <f t="shared" si="19"/>
        <v>272.97000000000003</v>
      </c>
      <c r="H60" s="89">
        <f t="shared" si="16"/>
        <v>303.3</v>
      </c>
      <c r="I60" s="89"/>
      <c r="J60" s="469"/>
      <c r="K60" s="469"/>
      <c r="L60" s="470">
        <f t="shared" si="20"/>
        <v>913.27</v>
      </c>
      <c r="M60" s="89">
        <f t="shared" si="18"/>
        <v>4957.2700000000004</v>
      </c>
      <c r="N60" s="338"/>
    </row>
    <row r="61" spans="1:15">
      <c r="A61" s="465"/>
      <c r="B61" s="769"/>
      <c r="C61" s="750"/>
      <c r="D61" s="528"/>
      <c r="E61" s="89"/>
      <c r="F61" s="498"/>
      <c r="G61" s="469"/>
      <c r="H61" s="89"/>
      <c r="I61" s="89"/>
      <c r="J61" s="469"/>
      <c r="K61" s="469"/>
      <c r="L61" s="470"/>
      <c r="M61" s="89"/>
      <c r="N61" s="338"/>
      <c r="O61" s="300"/>
    </row>
    <row r="62" spans="1:15">
      <c r="A62" s="465"/>
      <c r="B62" s="729"/>
      <c r="C62" s="750"/>
      <c r="D62" s="528"/>
      <c r="E62" s="89"/>
      <c r="F62" s="1092"/>
      <c r="G62" s="469"/>
      <c r="H62" s="89"/>
      <c r="I62" s="89"/>
      <c r="J62" s="469"/>
      <c r="K62" s="469"/>
      <c r="L62" s="470"/>
      <c r="M62" s="89"/>
      <c r="N62" s="338"/>
      <c r="O62" s="300"/>
    </row>
    <row r="63" spans="1:15">
      <c r="A63" s="465"/>
      <c r="B63" s="729"/>
      <c r="C63" s="750"/>
      <c r="D63" s="528"/>
      <c r="E63" s="89"/>
      <c r="F63" s="498"/>
      <c r="G63" s="469"/>
      <c r="H63" s="89"/>
      <c r="I63" s="89"/>
      <c r="J63" s="469"/>
      <c r="K63" s="469"/>
      <c r="L63" s="470"/>
      <c r="M63" s="89"/>
      <c r="N63" s="338"/>
      <c r="O63" s="300"/>
    </row>
    <row r="64" spans="1:15">
      <c r="A64" s="465"/>
      <c r="B64" s="729"/>
      <c r="C64" s="750"/>
      <c r="D64" s="528"/>
      <c r="E64" s="89"/>
      <c r="F64" s="498"/>
      <c r="G64" s="469"/>
      <c r="H64" s="89"/>
      <c r="I64" s="89"/>
      <c r="J64" s="469"/>
      <c r="K64" s="469"/>
      <c r="L64" s="470"/>
      <c r="M64" s="89"/>
      <c r="N64" s="338"/>
      <c r="O64" s="300"/>
    </row>
    <row r="65" spans="1:15">
      <c r="A65" s="465"/>
      <c r="B65" s="1026"/>
      <c r="C65" s="750"/>
      <c r="D65" s="1115"/>
      <c r="E65" s="1054"/>
      <c r="F65" s="498"/>
      <c r="G65" s="1053"/>
      <c r="H65" s="1054"/>
      <c r="I65" s="1054"/>
      <c r="J65" s="1053"/>
      <c r="K65" s="1053"/>
      <c r="L65" s="1055"/>
      <c r="M65" s="1054"/>
      <c r="N65" s="338"/>
      <c r="O65" s="300"/>
    </row>
    <row r="66" spans="1:15">
      <c r="A66" s="465"/>
      <c r="B66" s="729"/>
      <c r="C66" s="750"/>
      <c r="D66" s="528"/>
      <c r="E66" s="89"/>
      <c r="F66" s="498"/>
      <c r="G66" s="469"/>
      <c r="H66" s="1054"/>
      <c r="I66" s="89"/>
      <c r="J66" s="469"/>
      <c r="K66" s="469"/>
      <c r="L66" s="470"/>
      <c r="M66" s="89"/>
      <c r="N66" s="338"/>
      <c r="O66" s="300"/>
    </row>
    <row r="67" spans="1:15">
      <c r="A67" s="465"/>
      <c r="B67" s="729"/>
      <c r="C67" s="750"/>
      <c r="D67" s="528"/>
      <c r="E67" s="89"/>
      <c r="F67" s="1092"/>
      <c r="G67" s="469"/>
      <c r="H67" s="1054"/>
      <c r="I67" s="89"/>
      <c r="J67" s="469"/>
      <c r="K67" s="469"/>
      <c r="L67" s="470"/>
      <c r="M67" s="89"/>
      <c r="N67" s="338"/>
      <c r="O67" s="300"/>
    </row>
    <row r="68" spans="1:15">
      <c r="A68" s="465"/>
      <c r="B68" s="729"/>
      <c r="C68" s="750"/>
      <c r="D68" s="528"/>
      <c r="E68" s="89"/>
      <c r="F68" s="1092"/>
      <c r="G68" s="469"/>
      <c r="H68" s="1054"/>
      <c r="I68" s="89"/>
      <c r="J68" s="469"/>
      <c r="K68" s="469"/>
      <c r="L68" s="470"/>
      <c r="M68" s="89"/>
      <c r="N68" s="338"/>
      <c r="O68" s="300"/>
    </row>
    <row r="69" spans="1:15">
      <c r="A69" s="465"/>
      <c r="B69" s="729"/>
      <c r="C69" s="750"/>
      <c r="D69" s="528"/>
      <c r="E69" s="89"/>
      <c r="F69" s="1092"/>
      <c r="G69" s="469"/>
      <c r="H69" s="1054"/>
      <c r="I69" s="89"/>
      <c r="J69" s="469"/>
      <c r="K69" s="469"/>
      <c r="L69" s="470"/>
      <c r="M69" s="89"/>
      <c r="N69" s="338"/>
      <c r="O69" s="300"/>
    </row>
    <row r="70" spans="1:15">
      <c r="A70" s="1050" t="s">
        <v>415</v>
      </c>
      <c r="B70" s="1051"/>
      <c r="C70" s="749"/>
      <c r="D70" s="1091">
        <f t="shared" ref="D70:M70" si="21">SUM(D51:D69)</f>
        <v>26890.71</v>
      </c>
      <c r="E70" s="1091">
        <f t="shared" si="21"/>
        <v>322688.51999999996</v>
      </c>
      <c r="F70" s="1091">
        <f t="shared" si="21"/>
        <v>20809.437000000002</v>
      </c>
      <c r="G70" s="1091">
        <f t="shared" si="21"/>
        <v>21781.475100000007</v>
      </c>
      <c r="H70" s="1091">
        <f t="shared" si="21"/>
        <v>21499.478999999996</v>
      </c>
      <c r="I70" s="1091">
        <f t="shared" si="21"/>
        <v>0</v>
      </c>
      <c r="J70" s="1091">
        <f t="shared" si="21"/>
        <v>0</v>
      </c>
      <c r="K70" s="1091">
        <f t="shared" si="21"/>
        <v>0</v>
      </c>
      <c r="L70" s="1091">
        <f t="shared" si="21"/>
        <v>64090.391099999993</v>
      </c>
      <c r="M70" s="1091">
        <f t="shared" si="21"/>
        <v>386778.91110000008</v>
      </c>
      <c r="N70" s="338"/>
      <c r="O70" s="300"/>
    </row>
    <row r="71" spans="1:15">
      <c r="A71" s="336"/>
      <c r="B71" s="1056"/>
      <c r="C71" s="1057"/>
      <c r="D71" s="1063"/>
      <c r="E71" s="502"/>
      <c r="F71" s="502"/>
      <c r="G71" s="339"/>
      <c r="H71" s="338"/>
      <c r="I71" s="502"/>
      <c r="J71" s="1058"/>
      <c r="K71" s="1058"/>
      <c r="L71" s="340"/>
      <c r="M71" s="502"/>
      <c r="N71" s="338"/>
      <c r="O71" s="300"/>
    </row>
    <row r="72" spans="1:15">
      <c r="A72" s="336"/>
      <c r="B72" s="1056"/>
      <c r="C72" s="1057"/>
      <c r="D72" s="1063"/>
      <c r="E72" s="502"/>
      <c r="F72" s="502"/>
      <c r="G72" s="339"/>
      <c r="H72" s="338"/>
      <c r="I72" s="502"/>
      <c r="J72" s="1058"/>
      <c r="K72" s="1058"/>
      <c r="L72" s="340"/>
      <c r="M72" s="502"/>
      <c r="N72" s="338"/>
      <c r="O72" s="300"/>
    </row>
    <row r="73" spans="1:15">
      <c r="A73" s="336"/>
      <c r="B73" s="1056"/>
      <c r="C73" s="1057"/>
      <c r="D73" s="1063"/>
      <c r="E73" s="502"/>
      <c r="F73" s="502"/>
      <c r="G73" s="339"/>
      <c r="H73" s="338"/>
      <c r="I73" s="502"/>
      <c r="J73" s="1058"/>
      <c r="K73" s="1058"/>
      <c r="L73" s="340"/>
      <c r="M73" s="502"/>
      <c r="N73" s="338"/>
      <c r="O73" s="300"/>
    </row>
    <row r="74" spans="1:15">
      <c r="A74" s="336"/>
      <c r="B74" s="1056"/>
      <c r="C74" s="1057"/>
      <c r="D74" s="1063"/>
      <c r="E74" s="502"/>
      <c r="F74" s="502"/>
      <c r="G74" s="339"/>
      <c r="H74" s="338"/>
      <c r="I74" s="502"/>
      <c r="J74" s="1058"/>
      <c r="K74" s="1058"/>
      <c r="L74" s="340"/>
      <c r="M74" s="502"/>
      <c r="N74" s="338"/>
      <c r="O74" s="300"/>
    </row>
    <row r="75" spans="1:15">
      <c r="A75" s="336"/>
      <c r="B75" s="1056"/>
      <c r="C75" s="1057"/>
      <c r="D75" s="1063"/>
      <c r="E75" s="502"/>
      <c r="F75" s="502"/>
      <c r="G75" s="339"/>
      <c r="H75" s="338"/>
      <c r="I75" s="502"/>
      <c r="J75" s="1058"/>
      <c r="K75" s="1058"/>
      <c r="L75" s="340"/>
      <c r="M75" s="502"/>
      <c r="N75" s="338"/>
      <c r="O75" s="300"/>
    </row>
    <row r="76" spans="1:15">
      <c r="A76" s="336"/>
      <c r="B76" s="1056"/>
      <c r="C76" s="1057"/>
      <c r="D76" s="1063"/>
      <c r="E76" s="502"/>
      <c r="F76" s="502"/>
      <c r="G76" s="339"/>
      <c r="H76" s="338"/>
      <c r="I76" s="502"/>
      <c r="J76" s="1058"/>
      <c r="K76" s="1058"/>
      <c r="L76" s="340"/>
      <c r="M76" s="502"/>
      <c r="N76" s="338"/>
      <c r="O76" s="300"/>
    </row>
    <row r="77" spans="1:15">
      <c r="A77" s="336"/>
      <c r="B77" s="1056"/>
      <c r="C77" s="1057"/>
      <c r="D77" s="1063"/>
      <c r="E77" s="502"/>
      <c r="F77" s="502"/>
      <c r="G77" s="339"/>
      <c r="H77" s="338"/>
      <c r="I77" s="502"/>
      <c r="J77" s="1058"/>
      <c r="K77" s="1058"/>
      <c r="L77" s="340"/>
      <c r="M77" s="502"/>
      <c r="N77" s="338"/>
      <c r="O77" s="300"/>
    </row>
    <row r="78" spans="1:15">
      <c r="A78" s="336"/>
      <c r="B78" s="1056"/>
      <c r="C78" s="1057"/>
      <c r="D78" s="1063"/>
      <c r="E78" s="502"/>
      <c r="F78" s="502"/>
      <c r="G78" s="339"/>
      <c r="H78" s="338"/>
      <c r="I78" s="502"/>
      <c r="J78" s="1058"/>
      <c r="K78" s="1058"/>
      <c r="L78" s="340"/>
      <c r="M78" s="502"/>
      <c r="N78" s="338"/>
      <c r="O78" s="300"/>
    </row>
    <row r="79" spans="1:15">
      <c r="A79" s="336"/>
      <c r="B79" s="1056"/>
      <c r="C79" s="1057"/>
      <c r="D79" s="1063"/>
      <c r="E79" s="502"/>
      <c r="F79" s="502"/>
      <c r="G79" s="339"/>
      <c r="H79" s="338"/>
      <c r="I79" s="502"/>
      <c r="J79" s="1058"/>
      <c r="K79" s="1058"/>
      <c r="L79" s="340"/>
      <c r="M79" s="502"/>
      <c r="N79" s="338"/>
      <c r="O79" s="300"/>
    </row>
    <row r="80" spans="1:15">
      <c r="A80" s="336"/>
      <c r="B80" s="1056"/>
      <c r="C80" s="1057"/>
      <c r="D80" s="1063"/>
      <c r="E80" s="502"/>
      <c r="F80" s="502"/>
      <c r="G80" s="339"/>
      <c r="H80" s="338"/>
      <c r="I80" s="502"/>
      <c r="J80" s="1058"/>
      <c r="K80" s="1058"/>
      <c r="L80" s="340"/>
      <c r="M80" s="502"/>
      <c r="N80" s="338"/>
      <c r="O80" s="300"/>
    </row>
    <row r="81" spans="1:15">
      <c r="A81" s="336"/>
      <c r="B81" s="1056"/>
      <c r="C81" s="1057"/>
      <c r="D81" s="1063"/>
      <c r="E81" s="502"/>
      <c r="F81" s="502"/>
      <c r="G81" s="339"/>
      <c r="H81" s="338"/>
      <c r="I81" s="502"/>
      <c r="J81" s="1058"/>
      <c r="K81" s="1058"/>
      <c r="L81" s="340"/>
      <c r="M81" s="502"/>
      <c r="N81" s="338"/>
      <c r="O81" s="300"/>
    </row>
    <row r="82" spans="1:15">
      <c r="A82" s="336"/>
      <c r="B82" s="1056"/>
      <c r="C82" s="1057"/>
      <c r="D82" s="1063"/>
      <c r="E82" s="502"/>
      <c r="F82" s="502"/>
      <c r="G82" s="339"/>
      <c r="H82" s="338"/>
      <c r="I82" s="502"/>
      <c r="J82" s="1058"/>
      <c r="K82" s="1058"/>
      <c r="L82" s="340"/>
      <c r="M82" s="502"/>
      <c r="N82" s="338"/>
      <c r="O82" s="300"/>
    </row>
    <row r="83" spans="1:15" hidden="1">
      <c r="A83" s="336"/>
      <c r="B83" s="1056"/>
      <c r="C83" s="1057"/>
      <c r="D83" s="1063"/>
      <c r="E83" s="502"/>
      <c r="F83" s="502"/>
      <c r="G83" s="339"/>
      <c r="H83" s="338"/>
      <c r="I83" s="502"/>
      <c r="J83" s="1058"/>
      <c r="K83" s="1058"/>
      <c r="L83" s="340"/>
      <c r="M83" s="502"/>
      <c r="N83" s="338"/>
      <c r="O83" s="300"/>
    </row>
    <row r="84" spans="1:15" hidden="1">
      <c r="A84" s="336"/>
      <c r="B84" s="1056"/>
      <c r="C84" s="1057"/>
      <c r="D84" s="1063"/>
      <c r="E84" s="502"/>
      <c r="F84" s="502"/>
      <c r="G84" s="339"/>
      <c r="H84" s="338"/>
      <c r="I84" s="502"/>
      <c r="J84" s="1058"/>
      <c r="K84" s="1058"/>
      <c r="L84" s="340"/>
      <c r="M84" s="502"/>
      <c r="N84" s="338"/>
      <c r="O84" s="300"/>
    </row>
    <row r="85" spans="1:15" hidden="1">
      <c r="A85" s="336"/>
      <c r="B85" s="1056"/>
      <c r="C85" s="1057"/>
      <c r="D85" s="1063"/>
      <c r="E85" s="502"/>
      <c r="F85" s="502"/>
      <c r="G85" s="339"/>
      <c r="H85" s="338"/>
      <c r="I85" s="502"/>
      <c r="J85" s="1058"/>
      <c r="K85" s="1058"/>
      <c r="L85" s="340"/>
      <c r="M85" s="502"/>
      <c r="N85" s="338"/>
      <c r="O85" s="300"/>
    </row>
    <row r="86" spans="1:15" ht="66" hidden="1" customHeight="1">
      <c r="A86" s="336"/>
      <c r="B86" s="1056"/>
      <c r="C86" s="1057"/>
      <c r="D86" s="1063"/>
      <c r="E86" s="502"/>
      <c r="F86" s="502"/>
      <c r="G86" s="339"/>
      <c r="H86" s="338"/>
      <c r="I86" s="502"/>
      <c r="J86" s="1058"/>
      <c r="K86" s="1058"/>
      <c r="L86" s="340"/>
      <c r="M86" s="502"/>
      <c r="N86" s="338"/>
      <c r="O86" s="300"/>
    </row>
    <row r="87" spans="1:15" ht="36" hidden="1" customHeight="1">
      <c r="A87" s="336"/>
      <c r="B87" s="1056"/>
      <c r="C87" s="1057"/>
      <c r="D87" s="1063"/>
      <c r="E87" s="502"/>
      <c r="F87" s="502"/>
      <c r="G87" s="339"/>
      <c r="H87" s="338"/>
      <c r="I87" s="502"/>
      <c r="J87" s="1058"/>
      <c r="K87" s="1058"/>
      <c r="L87" s="340"/>
      <c r="M87" s="502"/>
      <c r="N87" s="338"/>
      <c r="O87" s="300"/>
    </row>
    <row r="88" spans="1:15">
      <c r="A88" s="1329" t="s">
        <v>597</v>
      </c>
      <c r="B88" s="1329"/>
      <c r="C88" s="1329"/>
      <c r="D88" s="1329"/>
      <c r="E88" s="1329"/>
      <c r="F88" s="1329"/>
      <c r="G88" s="1329"/>
      <c r="H88" s="1329"/>
      <c r="I88" s="1329"/>
      <c r="J88" s="1329"/>
      <c r="K88" s="1329"/>
      <c r="L88" s="1329"/>
      <c r="M88" s="1329"/>
      <c r="N88" s="338"/>
      <c r="O88" s="300"/>
    </row>
    <row r="89" spans="1:15">
      <c r="A89" s="1329" t="s">
        <v>598</v>
      </c>
      <c r="B89" s="1329"/>
      <c r="C89" s="1329"/>
      <c r="D89" s="1329"/>
      <c r="E89" s="1329"/>
      <c r="F89" s="1329"/>
      <c r="G89" s="1329"/>
      <c r="H89" s="1329"/>
      <c r="I89" s="1329"/>
      <c r="J89" s="1329"/>
      <c r="K89" s="1329"/>
      <c r="L89" s="1329"/>
      <c r="M89" s="1329"/>
      <c r="N89" s="338"/>
      <c r="O89" s="300"/>
    </row>
    <row r="90" spans="1:15">
      <c r="A90" s="1329" t="str">
        <f>A3</f>
        <v>PROYECCION DE RECURSOS HUMANOS  PARA EL AÑO 2017</v>
      </c>
      <c r="B90" s="1329"/>
      <c r="C90" s="1329"/>
      <c r="D90" s="1329"/>
      <c r="E90" s="1329"/>
      <c r="F90" s="1329"/>
      <c r="G90" s="1329"/>
      <c r="H90" s="1329"/>
      <c r="I90" s="1329"/>
      <c r="J90" s="1329"/>
      <c r="K90" s="1329"/>
      <c r="L90" s="1329"/>
      <c r="M90" s="1329"/>
      <c r="N90" s="338"/>
      <c r="O90" s="300"/>
    </row>
    <row r="91" spans="1:15">
      <c r="A91" s="288"/>
      <c r="B91" s="766"/>
      <c r="C91" s="1088"/>
      <c r="D91" s="730"/>
      <c r="E91" s="1088"/>
      <c r="F91" s="527"/>
      <c r="G91" s="1088"/>
      <c r="H91" s="1088"/>
      <c r="I91" s="1088"/>
      <c r="J91" s="1088"/>
      <c r="K91" s="1088"/>
      <c r="L91" s="1088" t="s">
        <v>1243</v>
      </c>
      <c r="M91" s="1088"/>
      <c r="N91" s="338"/>
      <c r="O91" s="300"/>
    </row>
    <row r="92" spans="1:15">
      <c r="A92" s="1331" t="s">
        <v>630</v>
      </c>
      <c r="B92" s="1397" t="s">
        <v>631</v>
      </c>
      <c r="C92" s="1398" t="s">
        <v>831</v>
      </c>
      <c r="D92" s="1331" t="s">
        <v>632</v>
      </c>
      <c r="E92" s="1331"/>
      <c r="F92" s="1400" t="s">
        <v>633</v>
      </c>
      <c r="G92" s="1400"/>
      <c r="H92" s="1400"/>
      <c r="I92" s="1400"/>
      <c r="J92" s="1400"/>
      <c r="K92" s="1400"/>
      <c r="L92" s="1400"/>
      <c r="M92" s="1060" t="s">
        <v>635</v>
      </c>
      <c r="N92" s="338"/>
      <c r="O92" s="300"/>
    </row>
    <row r="93" spans="1:15" ht="11.25" customHeight="1">
      <c r="A93" s="1331"/>
      <c r="B93" s="1397"/>
      <c r="C93" s="1398"/>
      <c r="D93" s="1331"/>
      <c r="E93" s="1331"/>
      <c r="F93" s="1398" t="s">
        <v>638</v>
      </c>
      <c r="G93" s="1401" t="s">
        <v>634</v>
      </c>
      <c r="H93" s="1401"/>
      <c r="I93" s="1401"/>
      <c r="J93" s="1401"/>
      <c r="K93" s="1336" t="s">
        <v>806</v>
      </c>
      <c r="L93" s="1393" t="s">
        <v>415</v>
      </c>
      <c r="M93" s="1060"/>
      <c r="N93" s="338"/>
      <c r="O93" s="300"/>
    </row>
    <row r="94" spans="1:15" ht="10.5" customHeight="1">
      <c r="A94" s="1331"/>
      <c r="B94" s="1397"/>
      <c r="C94" s="1398"/>
      <c r="D94" s="1331"/>
      <c r="E94" s="1331"/>
      <c r="F94" s="1398"/>
      <c r="G94" s="457" t="s">
        <v>293</v>
      </c>
      <c r="H94" s="1336" t="s">
        <v>292</v>
      </c>
      <c r="I94" s="1336"/>
      <c r="J94" s="1336"/>
      <c r="K94" s="1336"/>
      <c r="L94" s="1393"/>
      <c r="M94" s="1060"/>
      <c r="N94" s="338"/>
      <c r="O94" s="300"/>
    </row>
    <row r="95" spans="1:15" s="480" customFormat="1" ht="15.75" customHeight="1">
      <c r="A95" s="1331"/>
      <c r="B95" s="1397"/>
      <c r="C95" s="1399"/>
      <c r="D95" s="1061" t="s">
        <v>636</v>
      </c>
      <c r="E95" s="456" t="s">
        <v>637</v>
      </c>
      <c r="F95" s="1398"/>
      <c r="G95" s="458" t="s">
        <v>639</v>
      </c>
      <c r="H95" s="459" t="s">
        <v>640</v>
      </c>
      <c r="I95" s="459" t="s">
        <v>296</v>
      </c>
      <c r="J95" s="459" t="s">
        <v>641</v>
      </c>
      <c r="K95" s="1336"/>
      <c r="L95" s="1393"/>
      <c r="M95" s="1062" t="s">
        <v>643</v>
      </c>
      <c r="N95" s="1052"/>
      <c r="O95" s="493"/>
    </row>
    <row r="96" spans="1:15" s="480" customFormat="1" ht="15.75" customHeight="1">
      <c r="A96" s="465">
        <v>1</v>
      </c>
      <c r="B96" s="769" t="s">
        <v>1105</v>
      </c>
      <c r="C96" s="750" t="s">
        <v>891</v>
      </c>
      <c r="D96" s="528">
        <v>340</v>
      </c>
      <c r="E96" s="89">
        <f t="shared" ref="E96" si="22">D96*12</f>
        <v>4080</v>
      </c>
      <c r="F96" s="498">
        <f t="shared" ref="F96" si="23">D96</f>
        <v>340</v>
      </c>
      <c r="G96" s="469">
        <f t="shared" ref="G96" si="24">(E96+K96)*6.75%</f>
        <v>275.40000000000003</v>
      </c>
      <c r="H96" s="89">
        <f t="shared" ref="H96" si="25">E96*7.5%</f>
        <v>306</v>
      </c>
      <c r="I96" s="89"/>
      <c r="J96" s="469"/>
      <c r="K96" s="469"/>
      <c r="L96" s="470">
        <f t="shared" ref="L96" si="26">SUM(F96:K96)</f>
        <v>921.40000000000009</v>
      </c>
      <c r="M96" s="89">
        <f t="shared" ref="M96" si="27">L96+E96</f>
        <v>5001.3999999999996</v>
      </c>
      <c r="N96" s="1052"/>
      <c r="O96" s="493"/>
    </row>
    <row r="97" spans="1:15" s="480" customFormat="1" ht="15.75" customHeight="1">
      <c r="A97" s="465">
        <v>2</v>
      </c>
      <c r="B97" s="769" t="s">
        <v>1106</v>
      </c>
      <c r="C97" s="750" t="s">
        <v>891</v>
      </c>
      <c r="D97" s="528">
        <v>350</v>
      </c>
      <c r="E97" s="89">
        <f t="shared" ref="E97:E105" si="28">D97*12</f>
        <v>4200</v>
      </c>
      <c r="F97" s="498">
        <f>D97</f>
        <v>350</v>
      </c>
      <c r="G97" s="469">
        <f t="shared" ref="G97:G108" si="29">(E97+K97)*6.75%</f>
        <v>283.5</v>
      </c>
      <c r="H97" s="89">
        <f t="shared" ref="H97:H108" si="30">E97*7.5%</f>
        <v>315</v>
      </c>
      <c r="I97" s="89"/>
      <c r="J97" s="469"/>
      <c r="K97" s="469"/>
      <c r="L97" s="470">
        <f t="shared" ref="L97:L106" si="31">SUM(F97:K97)</f>
        <v>948.5</v>
      </c>
      <c r="M97" s="89">
        <f t="shared" ref="M97:M105" si="32">L97+E97</f>
        <v>5148.5</v>
      </c>
      <c r="N97" s="1052"/>
      <c r="O97" s="493"/>
    </row>
    <row r="98" spans="1:15" s="480" customFormat="1" ht="15.75" customHeight="1">
      <c r="A98" s="465">
        <v>3</v>
      </c>
      <c r="B98" s="729" t="s">
        <v>663</v>
      </c>
      <c r="C98" s="750" t="s">
        <v>891</v>
      </c>
      <c r="D98" s="528">
        <v>410</v>
      </c>
      <c r="E98" s="89">
        <f t="shared" si="28"/>
        <v>4920</v>
      </c>
      <c r="F98" s="498">
        <f t="shared" ref="F98:F100" si="33">D98</f>
        <v>410</v>
      </c>
      <c r="G98" s="469">
        <f t="shared" si="29"/>
        <v>332.1</v>
      </c>
      <c r="H98" s="89">
        <f t="shared" si="30"/>
        <v>369</v>
      </c>
      <c r="I98" s="89"/>
      <c r="J98" s="469"/>
      <c r="K98" s="469"/>
      <c r="L98" s="470">
        <f t="shared" si="31"/>
        <v>1111.0999999999999</v>
      </c>
      <c r="M98" s="89">
        <f t="shared" si="32"/>
        <v>6031.1</v>
      </c>
      <c r="N98" s="1052"/>
      <c r="O98" s="493"/>
    </row>
    <row r="99" spans="1:15" s="480" customFormat="1" ht="15.75" customHeight="1">
      <c r="A99" s="465">
        <v>4</v>
      </c>
      <c r="B99" s="729" t="s">
        <v>731</v>
      </c>
      <c r="C99" s="750" t="s">
        <v>891</v>
      </c>
      <c r="D99" s="528">
        <v>286</v>
      </c>
      <c r="E99" s="89">
        <f t="shared" si="28"/>
        <v>3432</v>
      </c>
      <c r="F99" s="498">
        <f t="shared" si="33"/>
        <v>286</v>
      </c>
      <c r="G99" s="469">
        <f t="shared" si="29"/>
        <v>231.66000000000003</v>
      </c>
      <c r="H99" s="89">
        <f t="shared" si="30"/>
        <v>257.39999999999998</v>
      </c>
      <c r="I99" s="89"/>
      <c r="J99" s="469"/>
      <c r="K99" s="469"/>
      <c r="L99" s="470">
        <f t="shared" si="31"/>
        <v>775.06000000000006</v>
      </c>
      <c r="M99" s="89">
        <f t="shared" si="32"/>
        <v>4207.0600000000004</v>
      </c>
      <c r="N99" s="1052"/>
      <c r="O99" s="493"/>
    </row>
    <row r="100" spans="1:15" s="480" customFormat="1" ht="15.75" customHeight="1">
      <c r="A100" s="465">
        <v>5</v>
      </c>
      <c r="B100" s="729" t="s">
        <v>1107</v>
      </c>
      <c r="C100" s="750" t="s">
        <v>891</v>
      </c>
      <c r="D100" s="528">
        <v>325</v>
      </c>
      <c r="E100" s="89">
        <f t="shared" si="28"/>
        <v>3900</v>
      </c>
      <c r="F100" s="498">
        <f t="shared" si="33"/>
        <v>325</v>
      </c>
      <c r="G100" s="469">
        <f t="shared" si="29"/>
        <v>263.25</v>
      </c>
      <c r="H100" s="89">
        <f t="shared" si="30"/>
        <v>292.5</v>
      </c>
      <c r="I100" s="89"/>
      <c r="J100" s="469"/>
      <c r="K100" s="469"/>
      <c r="L100" s="470">
        <f t="shared" si="31"/>
        <v>880.75</v>
      </c>
      <c r="M100" s="89">
        <f t="shared" si="32"/>
        <v>4780.75</v>
      </c>
      <c r="N100" s="1052"/>
      <c r="O100" s="493"/>
    </row>
    <row r="101" spans="1:15" s="480" customFormat="1" ht="15.75" customHeight="1">
      <c r="A101" s="465">
        <v>6</v>
      </c>
      <c r="B101" s="1026" t="s">
        <v>1260</v>
      </c>
      <c r="C101" s="750" t="s">
        <v>891</v>
      </c>
      <c r="D101" s="1115">
        <v>650</v>
      </c>
      <c r="E101" s="1054">
        <f t="shared" si="28"/>
        <v>7800</v>
      </c>
      <c r="F101" s="498">
        <f>D101*0.7</f>
        <v>454.99999999999994</v>
      </c>
      <c r="G101" s="1053">
        <f t="shared" si="29"/>
        <v>526.5</v>
      </c>
      <c r="H101" s="1054">
        <f t="shared" si="30"/>
        <v>585</v>
      </c>
      <c r="I101" s="1054"/>
      <c r="J101" s="1053"/>
      <c r="K101" s="1053"/>
      <c r="L101" s="1055">
        <f t="shared" si="31"/>
        <v>1566.5</v>
      </c>
      <c r="M101" s="1054">
        <f t="shared" si="32"/>
        <v>9366.5</v>
      </c>
      <c r="N101" s="1052"/>
      <c r="O101" s="493"/>
    </row>
    <row r="102" spans="1:15" s="480" customFormat="1" ht="15.75" customHeight="1">
      <c r="A102" s="465">
        <v>7</v>
      </c>
      <c r="B102" s="729" t="s">
        <v>1259</v>
      </c>
      <c r="C102" s="750" t="s">
        <v>891</v>
      </c>
      <c r="D102" s="528">
        <v>475</v>
      </c>
      <c r="E102" s="89">
        <f t="shared" si="28"/>
        <v>5700</v>
      </c>
      <c r="F102" s="498">
        <f>D102*0.8</f>
        <v>380</v>
      </c>
      <c r="G102" s="469">
        <f t="shared" si="29"/>
        <v>384.75</v>
      </c>
      <c r="H102" s="1054">
        <f t="shared" si="30"/>
        <v>427.5</v>
      </c>
      <c r="I102" s="89"/>
      <c r="J102" s="469"/>
      <c r="K102" s="469"/>
      <c r="L102" s="470">
        <f t="shared" si="31"/>
        <v>1192.25</v>
      </c>
      <c r="M102" s="89">
        <f t="shared" si="32"/>
        <v>6892.25</v>
      </c>
      <c r="N102" s="1052"/>
      <c r="O102" s="493"/>
    </row>
    <row r="103" spans="1:15" s="480" customFormat="1" ht="15.75" customHeight="1">
      <c r="A103" s="465">
        <v>8</v>
      </c>
      <c r="B103" s="729" t="s">
        <v>1259</v>
      </c>
      <c r="C103" s="750" t="s">
        <v>891</v>
      </c>
      <c r="D103" s="528">
        <v>325</v>
      </c>
      <c r="E103" s="89">
        <f t="shared" si="28"/>
        <v>3900</v>
      </c>
      <c r="F103" s="498">
        <f t="shared" ref="F103:F104" si="34">D103</f>
        <v>325</v>
      </c>
      <c r="G103" s="469">
        <f t="shared" si="29"/>
        <v>263.25</v>
      </c>
      <c r="H103" s="1054">
        <f t="shared" si="30"/>
        <v>292.5</v>
      </c>
      <c r="I103" s="89"/>
      <c r="J103" s="469"/>
      <c r="K103" s="469"/>
      <c r="L103" s="470">
        <f t="shared" si="31"/>
        <v>880.75</v>
      </c>
      <c r="M103" s="89">
        <f t="shared" si="32"/>
        <v>4780.75</v>
      </c>
      <c r="N103" s="1052"/>
      <c r="O103" s="493"/>
    </row>
    <row r="104" spans="1:15" s="480" customFormat="1" ht="15.75" customHeight="1">
      <c r="A104" s="465">
        <v>9</v>
      </c>
      <c r="B104" s="729" t="s">
        <v>700</v>
      </c>
      <c r="C104" s="750" t="s">
        <v>891</v>
      </c>
      <c r="D104" s="528">
        <v>350</v>
      </c>
      <c r="E104" s="89">
        <f t="shared" si="28"/>
        <v>4200</v>
      </c>
      <c r="F104" s="498">
        <f t="shared" si="34"/>
        <v>350</v>
      </c>
      <c r="G104" s="469">
        <f t="shared" si="29"/>
        <v>283.5</v>
      </c>
      <c r="H104" s="1054">
        <f t="shared" si="30"/>
        <v>315</v>
      </c>
      <c r="I104" s="89"/>
      <c r="J104" s="469"/>
      <c r="K104" s="469"/>
      <c r="L104" s="470">
        <f t="shared" si="31"/>
        <v>948.5</v>
      </c>
      <c r="M104" s="89">
        <f t="shared" si="32"/>
        <v>5148.5</v>
      </c>
      <c r="N104" s="1052"/>
      <c r="O104" s="493"/>
    </row>
    <row r="105" spans="1:15" s="91" customFormat="1">
      <c r="A105" s="465">
        <v>10</v>
      </c>
      <c r="B105" s="729" t="s">
        <v>1406</v>
      </c>
      <c r="C105" s="750" t="s">
        <v>891</v>
      </c>
      <c r="D105" s="528">
        <v>468</v>
      </c>
      <c r="E105" s="89">
        <f t="shared" si="28"/>
        <v>5616</v>
      </c>
      <c r="F105" s="498">
        <f>D105*0.8</f>
        <v>374.40000000000003</v>
      </c>
      <c r="G105" s="469">
        <f t="shared" si="29"/>
        <v>379.08000000000004</v>
      </c>
      <c r="H105" s="1054">
        <f t="shared" si="30"/>
        <v>421.2</v>
      </c>
      <c r="I105" s="89"/>
      <c r="J105" s="469"/>
      <c r="K105" s="469"/>
      <c r="L105" s="470">
        <f t="shared" si="31"/>
        <v>1174.68</v>
      </c>
      <c r="M105" s="89">
        <f t="shared" si="32"/>
        <v>6790.68</v>
      </c>
      <c r="N105" s="338"/>
      <c r="O105" s="1059"/>
    </row>
    <row r="106" spans="1:15" s="91" customFormat="1">
      <c r="A106" s="465">
        <v>11</v>
      </c>
      <c r="B106" s="733" t="s">
        <v>1261</v>
      </c>
      <c r="C106" s="750" t="s">
        <v>891</v>
      </c>
      <c r="D106" s="1113">
        <v>560</v>
      </c>
      <c r="E106" s="498">
        <f t="shared" ref="E106:E113" si="35">D106*12</f>
        <v>6720</v>
      </c>
      <c r="F106" s="498">
        <f>D106*0.8</f>
        <v>448</v>
      </c>
      <c r="G106" s="469">
        <f t="shared" si="29"/>
        <v>453.6</v>
      </c>
      <c r="H106" s="89">
        <f t="shared" si="30"/>
        <v>504</v>
      </c>
      <c r="I106" s="498"/>
      <c r="J106" s="499"/>
      <c r="K106" s="499"/>
      <c r="L106" s="470">
        <f t="shared" si="31"/>
        <v>1405.6</v>
      </c>
      <c r="M106" s="498">
        <f t="shared" ref="M106:M137" si="36">L106+E106</f>
        <v>8125.6</v>
      </c>
      <c r="N106" s="338"/>
      <c r="O106" s="1059"/>
    </row>
    <row r="107" spans="1:15" ht="17.25">
      <c r="A107" s="465">
        <v>12</v>
      </c>
      <c r="B107" s="733" t="s">
        <v>1231</v>
      </c>
      <c r="C107" s="750" t="s">
        <v>891</v>
      </c>
      <c r="D107" s="1114">
        <v>337</v>
      </c>
      <c r="E107" s="89">
        <f t="shared" si="35"/>
        <v>4044</v>
      </c>
      <c r="F107" s="498">
        <f t="shared" ref="F107:F110" si="37">D107</f>
        <v>337</v>
      </c>
      <c r="G107" s="469">
        <f t="shared" si="29"/>
        <v>272.97000000000003</v>
      </c>
      <c r="H107" s="89">
        <f t="shared" si="30"/>
        <v>303.3</v>
      </c>
      <c r="I107" s="89"/>
      <c r="J107" s="469"/>
      <c r="K107" s="469"/>
      <c r="L107" s="470">
        <f t="shared" ref="L107:L137" si="38">SUM(F107:K107)</f>
        <v>913.27</v>
      </c>
      <c r="M107" s="498">
        <f t="shared" si="36"/>
        <v>4957.2700000000004</v>
      </c>
      <c r="N107" s="338"/>
      <c r="O107" s="300"/>
    </row>
    <row r="108" spans="1:15" ht="16.5">
      <c r="A108" s="465">
        <v>13</v>
      </c>
      <c r="B108" s="739" t="s">
        <v>1104</v>
      </c>
      <c r="C108" s="750" t="s">
        <v>891</v>
      </c>
      <c r="D108" s="528">
        <v>420</v>
      </c>
      <c r="E108" s="89">
        <f t="shared" si="35"/>
        <v>5040</v>
      </c>
      <c r="F108" s="498">
        <f t="shared" si="37"/>
        <v>420</v>
      </c>
      <c r="G108" s="469">
        <f t="shared" si="29"/>
        <v>340.20000000000005</v>
      </c>
      <c r="H108" s="89">
        <f t="shared" si="30"/>
        <v>378</v>
      </c>
      <c r="I108" s="89"/>
      <c r="J108" s="469"/>
      <c r="K108" s="469"/>
      <c r="L108" s="470">
        <f t="shared" si="38"/>
        <v>1138.2</v>
      </c>
      <c r="M108" s="498">
        <f t="shared" si="36"/>
        <v>6178.2</v>
      </c>
      <c r="N108" s="338"/>
      <c r="O108" s="300"/>
    </row>
    <row r="109" spans="1:15" ht="17.25">
      <c r="A109" s="465">
        <v>14</v>
      </c>
      <c r="B109" s="733" t="s">
        <v>1108</v>
      </c>
      <c r="C109" s="750" t="s">
        <v>1122</v>
      </c>
      <c r="D109" s="528">
        <v>325</v>
      </c>
      <c r="E109" s="89">
        <f t="shared" si="35"/>
        <v>3900</v>
      </c>
      <c r="F109" s="498">
        <f t="shared" si="37"/>
        <v>325</v>
      </c>
      <c r="G109" s="469">
        <f t="shared" ref="G109:G114" si="39">(E109+K109)*6.75%</f>
        <v>263.25</v>
      </c>
      <c r="H109" s="1054">
        <f t="shared" ref="H109:H132" si="40">E109*7.5%</f>
        <v>292.5</v>
      </c>
      <c r="I109" s="89"/>
      <c r="J109" s="469"/>
      <c r="K109" s="469"/>
      <c r="L109" s="470">
        <f t="shared" si="38"/>
        <v>880.75</v>
      </c>
      <c r="M109" s="498">
        <f t="shared" si="36"/>
        <v>4780.75</v>
      </c>
      <c r="N109" s="338"/>
      <c r="O109" s="300"/>
    </row>
    <row r="110" spans="1:15" ht="19.899999999999999" customHeight="1">
      <c r="A110" s="465">
        <v>15</v>
      </c>
      <c r="B110" s="733" t="s">
        <v>801</v>
      </c>
      <c r="C110" s="750" t="s">
        <v>1122</v>
      </c>
      <c r="D110" s="528">
        <v>425</v>
      </c>
      <c r="E110" s="89">
        <f t="shared" si="35"/>
        <v>5100</v>
      </c>
      <c r="F110" s="498">
        <f t="shared" si="37"/>
        <v>425</v>
      </c>
      <c r="G110" s="469">
        <f t="shared" si="39"/>
        <v>344.25</v>
      </c>
      <c r="H110" s="1054">
        <f t="shared" si="40"/>
        <v>382.5</v>
      </c>
      <c r="I110" s="89"/>
      <c r="J110" s="469"/>
      <c r="K110" s="469"/>
      <c r="L110" s="470">
        <f t="shared" si="38"/>
        <v>1151.75</v>
      </c>
      <c r="M110" s="498">
        <f t="shared" si="36"/>
        <v>6251.75</v>
      </c>
      <c r="N110" s="338"/>
    </row>
    <row r="111" spans="1:15">
      <c r="A111" s="465">
        <v>16</v>
      </c>
      <c r="B111" s="729" t="s">
        <v>1109</v>
      </c>
      <c r="C111" s="750" t="s">
        <v>1122</v>
      </c>
      <c r="D111" s="528">
        <v>625</v>
      </c>
      <c r="E111" s="89">
        <f t="shared" si="35"/>
        <v>7500</v>
      </c>
      <c r="F111" s="498">
        <f>D111*0.7</f>
        <v>437.5</v>
      </c>
      <c r="G111" s="469">
        <f t="shared" si="39"/>
        <v>506.25000000000006</v>
      </c>
      <c r="H111" s="1054">
        <f t="shared" si="40"/>
        <v>562.5</v>
      </c>
      <c r="I111" s="89"/>
      <c r="J111" s="469"/>
      <c r="K111" s="469"/>
      <c r="L111" s="470">
        <f t="shared" si="38"/>
        <v>1506.25</v>
      </c>
      <c r="M111" s="498">
        <f t="shared" si="36"/>
        <v>9006.25</v>
      </c>
      <c r="N111" s="338"/>
    </row>
    <row r="112" spans="1:15">
      <c r="A112" s="465">
        <v>17</v>
      </c>
      <c r="B112" s="729" t="s">
        <v>665</v>
      </c>
      <c r="C112" s="750" t="s">
        <v>1122</v>
      </c>
      <c r="D112" s="528">
        <v>300</v>
      </c>
      <c r="E112" s="89">
        <f t="shared" si="35"/>
        <v>3600</v>
      </c>
      <c r="F112" s="498">
        <f>D112</f>
        <v>300</v>
      </c>
      <c r="G112" s="469">
        <f t="shared" si="39"/>
        <v>243.00000000000003</v>
      </c>
      <c r="H112" s="1054">
        <f t="shared" si="40"/>
        <v>270</v>
      </c>
      <c r="I112" s="89"/>
      <c r="J112" s="469"/>
      <c r="K112" s="469"/>
      <c r="L112" s="470">
        <f t="shared" si="38"/>
        <v>813</v>
      </c>
      <c r="M112" s="498">
        <f t="shared" si="36"/>
        <v>4413</v>
      </c>
      <c r="N112" s="338"/>
    </row>
    <row r="113" spans="1:14">
      <c r="A113" s="465">
        <v>18</v>
      </c>
      <c r="B113" s="729" t="s">
        <v>1110</v>
      </c>
      <c r="C113" s="750" t="s">
        <v>1122</v>
      </c>
      <c r="D113" s="1113">
        <v>1150</v>
      </c>
      <c r="E113" s="89">
        <f t="shared" si="35"/>
        <v>13800</v>
      </c>
      <c r="F113" s="498">
        <f>D113*0.7</f>
        <v>805</v>
      </c>
      <c r="G113" s="469">
        <f t="shared" si="39"/>
        <v>931.50000000000011</v>
      </c>
      <c r="H113" s="89">
        <f>75*12</f>
        <v>900</v>
      </c>
      <c r="I113" s="89"/>
      <c r="J113" s="469"/>
      <c r="K113" s="469"/>
      <c r="L113" s="470">
        <f t="shared" si="38"/>
        <v>2636.5</v>
      </c>
      <c r="M113" s="498">
        <f t="shared" si="36"/>
        <v>16436.5</v>
      </c>
      <c r="N113" s="338"/>
    </row>
    <row r="114" spans="1:14" ht="17.25">
      <c r="A114" s="465">
        <v>19</v>
      </c>
      <c r="B114" s="770" t="s">
        <v>1111</v>
      </c>
      <c r="C114" s="750" t="s">
        <v>1122</v>
      </c>
      <c r="D114" s="1113">
        <v>300</v>
      </c>
      <c r="E114" s="498">
        <f>D114*8</f>
        <v>2400</v>
      </c>
      <c r="F114" s="498">
        <f t="shared" ref="F114:F122" si="41">D114</f>
        <v>300</v>
      </c>
      <c r="G114" s="469">
        <f t="shared" si="39"/>
        <v>162</v>
      </c>
      <c r="H114" s="1054">
        <f t="shared" si="40"/>
        <v>180</v>
      </c>
      <c r="I114" s="498"/>
      <c r="J114" s="499"/>
      <c r="K114" s="499"/>
      <c r="L114" s="470">
        <f t="shared" si="38"/>
        <v>642</v>
      </c>
      <c r="M114" s="498">
        <f t="shared" si="36"/>
        <v>3042</v>
      </c>
      <c r="N114" s="338"/>
    </row>
    <row r="115" spans="1:14">
      <c r="A115" s="465">
        <v>20</v>
      </c>
      <c r="B115" s="767" t="s">
        <v>545</v>
      </c>
      <c r="C115" s="750" t="s">
        <v>1122</v>
      </c>
      <c r="D115" s="528">
        <v>410</v>
      </c>
      <c r="E115" s="89">
        <f>D115*12</f>
        <v>4920</v>
      </c>
      <c r="F115" s="498">
        <f>D115*0.8</f>
        <v>328</v>
      </c>
      <c r="G115" s="469">
        <f>(E115+K115)*6.75%</f>
        <v>332.1</v>
      </c>
      <c r="H115" s="1054">
        <f t="shared" si="40"/>
        <v>369</v>
      </c>
      <c r="I115" s="89"/>
      <c r="J115" s="469"/>
      <c r="K115" s="469"/>
      <c r="L115" s="470">
        <f t="shared" si="38"/>
        <v>1029.0999999999999</v>
      </c>
      <c r="M115" s="498">
        <f t="shared" si="36"/>
        <v>5949.1</v>
      </c>
      <c r="N115" s="338"/>
    </row>
    <row r="116" spans="1:14" ht="17.25">
      <c r="A116" s="465">
        <v>21</v>
      </c>
      <c r="B116" s="733" t="s">
        <v>1238</v>
      </c>
      <c r="C116" s="750" t="s">
        <v>1122</v>
      </c>
      <c r="D116" s="528">
        <v>360</v>
      </c>
      <c r="E116" s="89">
        <f>D116*12</f>
        <v>4320</v>
      </c>
      <c r="F116" s="498">
        <f t="shared" si="41"/>
        <v>360</v>
      </c>
      <c r="G116" s="469">
        <f t="shared" ref="G116:G123" si="42">(E116+K116)*6.75%</f>
        <v>291.60000000000002</v>
      </c>
      <c r="H116" s="1054">
        <f t="shared" si="40"/>
        <v>324</v>
      </c>
      <c r="I116" s="89"/>
      <c r="J116" s="469"/>
      <c r="K116" s="469"/>
      <c r="L116" s="470">
        <f t="shared" si="38"/>
        <v>975.6</v>
      </c>
      <c r="M116" s="498">
        <f t="shared" si="36"/>
        <v>5295.6</v>
      </c>
      <c r="N116" s="338"/>
    </row>
    <row r="117" spans="1:14" ht="16.5" customHeight="1">
      <c r="A117" s="465">
        <v>22</v>
      </c>
      <c r="B117" s="1027" t="s">
        <v>1237</v>
      </c>
      <c r="C117" s="750" t="s">
        <v>1122</v>
      </c>
      <c r="D117" s="528">
        <v>300</v>
      </c>
      <c r="E117" s="89">
        <f t="shared" ref="E117:E126" si="43">D117*12</f>
        <v>3600</v>
      </c>
      <c r="F117" s="498">
        <f t="shared" si="41"/>
        <v>300</v>
      </c>
      <c r="G117" s="469">
        <f t="shared" si="42"/>
        <v>243.00000000000003</v>
      </c>
      <c r="H117" s="1054">
        <f t="shared" si="40"/>
        <v>270</v>
      </c>
      <c r="I117" s="89"/>
      <c r="J117" s="469"/>
      <c r="K117" s="469"/>
      <c r="L117" s="470">
        <f t="shared" si="38"/>
        <v>813</v>
      </c>
      <c r="M117" s="498">
        <f t="shared" si="36"/>
        <v>4413</v>
      </c>
      <c r="N117" s="338"/>
    </row>
    <row r="118" spans="1:14">
      <c r="A118" s="465">
        <v>23</v>
      </c>
      <c r="B118" s="771" t="s">
        <v>305</v>
      </c>
      <c r="C118" s="750" t="s">
        <v>1122</v>
      </c>
      <c r="D118" s="528">
        <v>350</v>
      </c>
      <c r="E118" s="89">
        <f t="shared" si="43"/>
        <v>4200</v>
      </c>
      <c r="F118" s="498">
        <f t="shared" si="41"/>
        <v>350</v>
      </c>
      <c r="G118" s="469">
        <f t="shared" si="42"/>
        <v>283.5</v>
      </c>
      <c r="H118" s="1054">
        <f t="shared" si="40"/>
        <v>315</v>
      </c>
      <c r="I118" s="89"/>
      <c r="J118" s="469"/>
      <c r="K118" s="469"/>
      <c r="L118" s="470">
        <f t="shared" si="38"/>
        <v>948.5</v>
      </c>
      <c r="M118" s="498">
        <f t="shared" si="36"/>
        <v>5148.5</v>
      </c>
      <c r="N118" s="338"/>
    </row>
    <row r="119" spans="1:14">
      <c r="A119" s="465">
        <v>24</v>
      </c>
      <c r="B119" s="486" t="s">
        <v>1112</v>
      </c>
      <c r="C119" s="750" t="s">
        <v>1122</v>
      </c>
      <c r="D119" s="528">
        <v>370</v>
      </c>
      <c r="E119" s="89">
        <f t="shared" si="43"/>
        <v>4440</v>
      </c>
      <c r="F119" s="498">
        <f t="shared" si="41"/>
        <v>370</v>
      </c>
      <c r="G119" s="469">
        <f t="shared" si="42"/>
        <v>299.70000000000005</v>
      </c>
      <c r="H119" s="1054">
        <f t="shared" si="40"/>
        <v>333</v>
      </c>
      <c r="I119" s="89"/>
      <c r="J119" s="469"/>
      <c r="K119" s="469"/>
      <c r="L119" s="470">
        <f t="shared" si="38"/>
        <v>1002.7</v>
      </c>
      <c r="M119" s="498">
        <f t="shared" si="36"/>
        <v>5442.7</v>
      </c>
      <c r="N119" s="338"/>
    </row>
    <row r="120" spans="1:14">
      <c r="A120" s="465">
        <v>25</v>
      </c>
      <c r="B120" s="729" t="s">
        <v>1113</v>
      </c>
      <c r="C120" s="750" t="s">
        <v>1122</v>
      </c>
      <c r="D120" s="528">
        <v>300</v>
      </c>
      <c r="E120" s="89">
        <f t="shared" si="43"/>
        <v>3600</v>
      </c>
      <c r="F120" s="498">
        <f t="shared" si="41"/>
        <v>300</v>
      </c>
      <c r="G120" s="469">
        <f t="shared" si="42"/>
        <v>243.00000000000003</v>
      </c>
      <c r="H120" s="1054">
        <f t="shared" si="40"/>
        <v>270</v>
      </c>
      <c r="I120" s="89"/>
      <c r="J120" s="469"/>
      <c r="K120" s="469"/>
      <c r="L120" s="470">
        <f t="shared" si="38"/>
        <v>813</v>
      </c>
      <c r="M120" s="498">
        <f t="shared" si="36"/>
        <v>4413</v>
      </c>
      <c r="N120" s="338"/>
    </row>
    <row r="121" spans="1:14" s="724" customFormat="1">
      <c r="A121" s="465">
        <v>26</v>
      </c>
      <c r="B121" s="729" t="s">
        <v>1114</v>
      </c>
      <c r="C121" s="750" t="s">
        <v>1122</v>
      </c>
      <c r="D121" s="528">
        <v>300</v>
      </c>
      <c r="E121" s="89">
        <f t="shared" si="43"/>
        <v>3600</v>
      </c>
      <c r="F121" s="498">
        <f t="shared" si="41"/>
        <v>300</v>
      </c>
      <c r="G121" s="469">
        <f t="shared" si="42"/>
        <v>243.00000000000003</v>
      </c>
      <c r="H121" s="1054">
        <f t="shared" si="40"/>
        <v>270</v>
      </c>
      <c r="I121" s="89"/>
      <c r="J121" s="469"/>
      <c r="K121" s="469"/>
      <c r="L121" s="470">
        <f t="shared" si="38"/>
        <v>813</v>
      </c>
      <c r="M121" s="498">
        <f t="shared" si="36"/>
        <v>4413</v>
      </c>
      <c r="N121" s="502"/>
    </row>
    <row r="122" spans="1:14">
      <c r="A122" s="465">
        <v>27</v>
      </c>
      <c r="B122" s="729" t="s">
        <v>111</v>
      </c>
      <c r="C122" s="750" t="s">
        <v>1122</v>
      </c>
      <c r="D122" s="528">
        <f>'SUELDOS '!F143</f>
        <v>156</v>
      </c>
      <c r="E122" s="89">
        <f t="shared" si="43"/>
        <v>1872</v>
      </c>
      <c r="F122" s="498">
        <f t="shared" si="41"/>
        <v>156</v>
      </c>
      <c r="G122" s="469">
        <f t="shared" si="42"/>
        <v>126.36000000000001</v>
      </c>
      <c r="H122" s="1054">
        <f t="shared" si="40"/>
        <v>140.4</v>
      </c>
      <c r="I122" s="89"/>
      <c r="J122" s="469"/>
      <c r="K122" s="469"/>
      <c r="L122" s="470">
        <f t="shared" si="38"/>
        <v>422.76</v>
      </c>
      <c r="M122" s="498">
        <f t="shared" si="36"/>
        <v>2294.7600000000002</v>
      </c>
      <c r="N122" s="338"/>
    </row>
    <row r="123" spans="1:14" ht="16.5" customHeight="1">
      <c r="A123" s="465">
        <v>28</v>
      </c>
      <c r="B123" s="733" t="s">
        <v>1117</v>
      </c>
      <c r="C123" s="750" t="s">
        <v>1122</v>
      </c>
      <c r="D123" s="1116">
        <v>425</v>
      </c>
      <c r="E123" s="89">
        <f t="shared" si="43"/>
        <v>5100</v>
      </c>
      <c r="F123" s="498">
        <f>D123*0.8</f>
        <v>340</v>
      </c>
      <c r="G123" s="469">
        <f t="shared" si="42"/>
        <v>344.25</v>
      </c>
      <c r="H123" s="1054">
        <f t="shared" si="40"/>
        <v>382.5</v>
      </c>
      <c r="I123" s="89"/>
      <c r="J123" s="469"/>
      <c r="K123" s="469"/>
      <c r="L123" s="470">
        <f t="shared" si="38"/>
        <v>1066.75</v>
      </c>
      <c r="M123" s="498">
        <f t="shared" si="36"/>
        <v>6166.75</v>
      </c>
      <c r="N123" s="1088"/>
    </row>
    <row r="124" spans="1:14">
      <c r="A124" s="465">
        <v>29</v>
      </c>
      <c r="B124" s="729" t="s">
        <v>113</v>
      </c>
      <c r="C124" s="750" t="s">
        <v>1122</v>
      </c>
      <c r="D124" s="528">
        <v>1040</v>
      </c>
      <c r="E124" s="89">
        <f t="shared" si="43"/>
        <v>12480</v>
      </c>
      <c r="F124" s="498">
        <f>D124*0.7</f>
        <v>728</v>
      </c>
      <c r="G124" s="469">
        <f>(E124+K124)*6.75%</f>
        <v>842.40000000000009</v>
      </c>
      <c r="H124" s="89">
        <f>75*12</f>
        <v>900</v>
      </c>
      <c r="I124" s="89"/>
      <c r="J124" s="469"/>
      <c r="K124" s="469"/>
      <c r="L124" s="470">
        <f t="shared" si="38"/>
        <v>2470.4</v>
      </c>
      <c r="M124" s="498">
        <f t="shared" si="36"/>
        <v>14950.4</v>
      </c>
      <c r="N124" s="1088"/>
    </row>
    <row r="125" spans="1:14">
      <c r="A125" s="465">
        <v>30</v>
      </c>
      <c r="B125" s="772" t="s">
        <v>1119</v>
      </c>
      <c r="C125" s="750" t="s">
        <v>1122</v>
      </c>
      <c r="D125" s="528">
        <v>475</v>
      </c>
      <c r="E125" s="528">
        <f t="shared" si="43"/>
        <v>5700</v>
      </c>
      <c r="F125" s="498">
        <f>D125*0.8</f>
        <v>380</v>
      </c>
      <c r="G125" s="469">
        <f t="shared" ref="G125:G132" si="44">(E125+K125)*6.75%</f>
        <v>384.75</v>
      </c>
      <c r="H125" s="1054">
        <f t="shared" si="40"/>
        <v>427.5</v>
      </c>
      <c r="I125" s="89"/>
      <c r="J125" s="469"/>
      <c r="K125" s="469"/>
      <c r="L125" s="470">
        <f t="shared" si="38"/>
        <v>1192.25</v>
      </c>
      <c r="M125" s="498">
        <f t="shared" si="36"/>
        <v>6892.25</v>
      </c>
      <c r="N125" s="1088"/>
    </row>
    <row r="126" spans="1:14">
      <c r="A126" s="465">
        <v>31</v>
      </c>
      <c r="B126" s="1038" t="s">
        <v>289</v>
      </c>
      <c r="C126" s="750" t="s">
        <v>1122</v>
      </c>
      <c r="D126" s="528">
        <v>375</v>
      </c>
      <c r="E126" s="498">
        <f t="shared" si="43"/>
        <v>4500</v>
      </c>
      <c r="F126" s="498">
        <f t="shared" ref="F126:F138" si="45">D126</f>
        <v>375</v>
      </c>
      <c r="G126" s="499">
        <f>E126*6.75%</f>
        <v>303.75</v>
      </c>
      <c r="H126" s="1054">
        <f t="shared" si="40"/>
        <v>337.5</v>
      </c>
      <c r="I126" s="498"/>
      <c r="J126" s="499"/>
      <c r="K126" s="499"/>
      <c r="L126" s="470">
        <f t="shared" si="38"/>
        <v>1016.25</v>
      </c>
      <c r="M126" s="498">
        <f t="shared" si="36"/>
        <v>5516.25</v>
      </c>
      <c r="N126" s="338"/>
    </row>
    <row r="127" spans="1:14">
      <c r="A127" s="465">
        <v>32</v>
      </c>
      <c r="B127" s="772" t="s">
        <v>1120</v>
      </c>
      <c r="C127" s="750" t="s">
        <v>1122</v>
      </c>
      <c r="D127" s="528">
        <v>350</v>
      </c>
      <c r="E127" s="528">
        <f t="shared" ref="E127:E132" si="46">D127*12</f>
        <v>4200</v>
      </c>
      <c r="F127" s="498">
        <f t="shared" si="45"/>
        <v>350</v>
      </c>
      <c r="G127" s="469">
        <f t="shared" si="44"/>
        <v>283.5</v>
      </c>
      <c r="H127" s="1054">
        <f t="shared" si="40"/>
        <v>315</v>
      </c>
      <c r="I127" s="89"/>
      <c r="J127" s="469"/>
      <c r="K127" s="469"/>
      <c r="L127" s="470">
        <f t="shared" si="38"/>
        <v>948.5</v>
      </c>
      <c r="M127" s="498">
        <f t="shared" si="36"/>
        <v>5148.5</v>
      </c>
      <c r="N127" s="338"/>
    </row>
    <row r="128" spans="1:14">
      <c r="A128" s="465">
        <v>33</v>
      </c>
      <c r="B128" s="772" t="s">
        <v>1120</v>
      </c>
      <c r="C128" s="750" t="s">
        <v>1122</v>
      </c>
      <c r="D128" s="528">
        <v>330</v>
      </c>
      <c r="E128" s="528">
        <f t="shared" si="46"/>
        <v>3960</v>
      </c>
      <c r="F128" s="498">
        <f t="shared" si="45"/>
        <v>330</v>
      </c>
      <c r="G128" s="469">
        <f t="shared" si="44"/>
        <v>267.3</v>
      </c>
      <c r="H128" s="1054">
        <f t="shared" si="40"/>
        <v>297</v>
      </c>
      <c r="I128" s="89"/>
      <c r="J128" s="469"/>
      <c r="K128" s="469"/>
      <c r="L128" s="470">
        <f t="shared" si="38"/>
        <v>894.3</v>
      </c>
      <c r="M128" s="498">
        <f t="shared" si="36"/>
        <v>4854.3</v>
      </c>
      <c r="N128" s="338"/>
    </row>
    <row r="129" spans="1:14">
      <c r="A129" s="465">
        <v>34</v>
      </c>
      <c r="B129" s="772" t="s">
        <v>1120</v>
      </c>
      <c r="C129" s="750" t="s">
        <v>1122</v>
      </c>
      <c r="D129" s="528">
        <v>350</v>
      </c>
      <c r="E129" s="528">
        <f t="shared" si="46"/>
        <v>4200</v>
      </c>
      <c r="F129" s="498">
        <f t="shared" si="45"/>
        <v>350</v>
      </c>
      <c r="G129" s="469"/>
      <c r="H129" s="1054">
        <f t="shared" si="40"/>
        <v>315</v>
      </c>
      <c r="I129" s="89"/>
      <c r="J129" s="499">
        <f>E129*6%</f>
        <v>252</v>
      </c>
      <c r="K129" s="469"/>
      <c r="L129" s="470">
        <f t="shared" si="38"/>
        <v>917</v>
      </c>
      <c r="M129" s="498">
        <f t="shared" si="36"/>
        <v>5117</v>
      </c>
      <c r="N129" s="338"/>
    </row>
    <row r="130" spans="1:14">
      <c r="A130" s="465">
        <v>35</v>
      </c>
      <c r="B130" s="772" t="s">
        <v>1120</v>
      </c>
      <c r="C130" s="750" t="s">
        <v>1122</v>
      </c>
      <c r="D130" s="528">
        <v>312</v>
      </c>
      <c r="E130" s="528">
        <f t="shared" si="46"/>
        <v>3744</v>
      </c>
      <c r="F130" s="498">
        <f t="shared" si="45"/>
        <v>312</v>
      </c>
      <c r="G130" s="469"/>
      <c r="H130" s="1054">
        <f>E130*7.5%</f>
        <v>280.8</v>
      </c>
      <c r="I130" s="89"/>
      <c r="J130" s="499">
        <f>E130*6%</f>
        <v>224.64</v>
      </c>
      <c r="K130" s="469"/>
      <c r="L130" s="470">
        <f t="shared" si="38"/>
        <v>817.43999999999994</v>
      </c>
      <c r="M130" s="498">
        <f t="shared" si="36"/>
        <v>4561.4399999999996</v>
      </c>
      <c r="N130" s="1088"/>
    </row>
    <row r="131" spans="1:14">
      <c r="A131" s="465">
        <v>36</v>
      </c>
      <c r="B131" s="772" t="s">
        <v>1120</v>
      </c>
      <c r="C131" s="750" t="s">
        <v>1122</v>
      </c>
      <c r="D131" s="528">
        <v>325</v>
      </c>
      <c r="E131" s="528">
        <f t="shared" si="46"/>
        <v>3900</v>
      </c>
      <c r="F131" s="498">
        <f t="shared" si="45"/>
        <v>325</v>
      </c>
      <c r="G131" s="469">
        <f t="shared" si="44"/>
        <v>263.25</v>
      </c>
      <c r="H131" s="1054">
        <f t="shared" si="40"/>
        <v>292.5</v>
      </c>
      <c r="I131" s="89"/>
      <c r="J131" s="499"/>
      <c r="K131" s="469"/>
      <c r="L131" s="470">
        <f t="shared" si="38"/>
        <v>880.75</v>
      </c>
      <c r="M131" s="498">
        <f t="shared" si="36"/>
        <v>4780.75</v>
      </c>
      <c r="N131" s="1131"/>
    </row>
    <row r="132" spans="1:14">
      <c r="A132" s="465">
        <v>37</v>
      </c>
      <c r="B132" s="772" t="s">
        <v>1120</v>
      </c>
      <c r="C132" s="750" t="s">
        <v>1122</v>
      </c>
      <c r="D132" s="528">
        <v>350</v>
      </c>
      <c r="E132" s="528">
        <f t="shared" si="46"/>
        <v>4200</v>
      </c>
      <c r="F132" s="498">
        <f t="shared" si="45"/>
        <v>350</v>
      </c>
      <c r="G132" s="469">
        <f t="shared" si="44"/>
        <v>283.5</v>
      </c>
      <c r="H132" s="1054">
        <f t="shared" si="40"/>
        <v>315</v>
      </c>
      <c r="I132" s="89"/>
      <c r="J132" s="499"/>
      <c r="K132" s="469"/>
      <c r="L132" s="470">
        <f t="shared" si="38"/>
        <v>948.5</v>
      </c>
      <c r="M132" s="498">
        <f t="shared" si="36"/>
        <v>5148.5</v>
      </c>
      <c r="N132" s="1131"/>
    </row>
    <row r="133" spans="1:14">
      <c r="A133" s="465">
        <v>38</v>
      </c>
      <c r="B133" s="772" t="s">
        <v>544</v>
      </c>
      <c r="C133" s="750" t="s">
        <v>1122</v>
      </c>
      <c r="D133" s="528">
        <v>320</v>
      </c>
      <c r="E133" s="528">
        <f t="shared" ref="E133:E140" si="47">D133*12</f>
        <v>3840</v>
      </c>
      <c r="F133" s="498">
        <f t="shared" si="45"/>
        <v>320</v>
      </c>
      <c r="G133" s="469">
        <f t="shared" ref="G133:G140" si="48">(E133+K133)*6.75%</f>
        <v>259.20000000000005</v>
      </c>
      <c r="H133" s="1054">
        <f t="shared" ref="H133:H140" si="49">E133*7.5%</f>
        <v>288</v>
      </c>
      <c r="I133" s="89"/>
      <c r="J133" s="499"/>
      <c r="K133" s="469"/>
      <c r="L133" s="470">
        <f t="shared" si="38"/>
        <v>867.2</v>
      </c>
      <c r="M133" s="498">
        <f t="shared" si="36"/>
        <v>4707.2</v>
      </c>
      <c r="N133" s="1131"/>
    </row>
    <row r="134" spans="1:14">
      <c r="A134" s="465">
        <v>39</v>
      </c>
      <c r="B134" s="772" t="s">
        <v>544</v>
      </c>
      <c r="C134" s="750" t="s">
        <v>1122</v>
      </c>
      <c r="D134" s="528">
        <v>330</v>
      </c>
      <c r="E134" s="528">
        <f t="shared" si="47"/>
        <v>3960</v>
      </c>
      <c r="F134" s="498">
        <f t="shared" si="45"/>
        <v>330</v>
      </c>
      <c r="G134" s="469">
        <f t="shared" si="48"/>
        <v>267.3</v>
      </c>
      <c r="H134" s="1054">
        <f t="shared" si="49"/>
        <v>297</v>
      </c>
      <c r="I134" s="89"/>
      <c r="J134" s="499"/>
      <c r="K134" s="469"/>
      <c r="L134" s="470">
        <f t="shared" si="38"/>
        <v>894.3</v>
      </c>
      <c r="M134" s="498">
        <f t="shared" si="36"/>
        <v>4854.3</v>
      </c>
      <c r="N134" s="1131"/>
    </row>
    <row r="135" spans="1:14">
      <c r="A135" s="465">
        <v>40</v>
      </c>
      <c r="B135" s="772" t="s">
        <v>544</v>
      </c>
      <c r="C135" s="750" t="s">
        <v>1122</v>
      </c>
      <c r="D135" s="528">
        <v>300</v>
      </c>
      <c r="E135" s="528">
        <f t="shared" si="47"/>
        <v>3600</v>
      </c>
      <c r="F135" s="498">
        <f t="shared" si="45"/>
        <v>300</v>
      </c>
      <c r="G135" s="469">
        <f t="shared" si="48"/>
        <v>243.00000000000003</v>
      </c>
      <c r="H135" s="1054">
        <f t="shared" si="49"/>
        <v>270</v>
      </c>
      <c r="I135" s="89"/>
      <c r="J135" s="499"/>
      <c r="K135" s="469"/>
      <c r="L135" s="470">
        <f t="shared" si="38"/>
        <v>813</v>
      </c>
      <c r="M135" s="498">
        <f t="shared" si="36"/>
        <v>4413</v>
      </c>
      <c r="N135" s="1131"/>
    </row>
    <row r="136" spans="1:14">
      <c r="A136" s="465">
        <v>41</v>
      </c>
      <c r="B136" s="772" t="s">
        <v>1286</v>
      </c>
      <c r="C136" s="750" t="s">
        <v>1122</v>
      </c>
      <c r="D136" s="528">
        <v>300</v>
      </c>
      <c r="E136" s="528">
        <f t="shared" si="47"/>
        <v>3600</v>
      </c>
      <c r="F136" s="498">
        <f t="shared" si="45"/>
        <v>300</v>
      </c>
      <c r="G136" s="469">
        <f t="shared" si="48"/>
        <v>243.00000000000003</v>
      </c>
      <c r="H136" s="1054">
        <f t="shared" si="49"/>
        <v>270</v>
      </c>
      <c r="I136" s="89"/>
      <c r="J136" s="499"/>
      <c r="K136" s="469"/>
      <c r="L136" s="470">
        <f t="shared" si="38"/>
        <v>813</v>
      </c>
      <c r="M136" s="498">
        <f t="shared" si="36"/>
        <v>4413</v>
      </c>
      <c r="N136" s="1131"/>
    </row>
    <row r="137" spans="1:14">
      <c r="A137" s="465">
        <v>42</v>
      </c>
      <c r="B137" s="772" t="s">
        <v>1287</v>
      </c>
      <c r="C137" s="750" t="s">
        <v>1122</v>
      </c>
      <c r="D137" s="528">
        <v>300</v>
      </c>
      <c r="E137" s="528">
        <f t="shared" si="47"/>
        <v>3600</v>
      </c>
      <c r="F137" s="498">
        <f t="shared" si="45"/>
        <v>300</v>
      </c>
      <c r="G137" s="469">
        <f t="shared" si="48"/>
        <v>243.00000000000003</v>
      </c>
      <c r="H137" s="1054">
        <f t="shared" si="49"/>
        <v>270</v>
      </c>
      <c r="I137" s="89"/>
      <c r="J137" s="499"/>
      <c r="K137" s="469"/>
      <c r="L137" s="470">
        <f t="shared" si="38"/>
        <v>813</v>
      </c>
      <c r="M137" s="498">
        <f t="shared" si="36"/>
        <v>4413</v>
      </c>
      <c r="N137" s="1131"/>
    </row>
    <row r="138" spans="1:14">
      <c r="A138" s="465">
        <v>43</v>
      </c>
      <c r="B138" s="772" t="s">
        <v>1405</v>
      </c>
      <c r="C138" s="750" t="s">
        <v>1122</v>
      </c>
      <c r="D138" s="528">
        <v>325</v>
      </c>
      <c r="E138" s="528">
        <f t="shared" si="47"/>
        <v>3900</v>
      </c>
      <c r="F138" s="498">
        <f t="shared" si="45"/>
        <v>325</v>
      </c>
      <c r="G138" s="469">
        <f t="shared" si="48"/>
        <v>263.25</v>
      </c>
      <c r="H138" s="1054">
        <f t="shared" si="49"/>
        <v>292.5</v>
      </c>
      <c r="I138" s="89"/>
      <c r="J138" s="499"/>
      <c r="K138" s="469"/>
      <c r="L138" s="470">
        <f t="shared" ref="L138:L139" si="50">SUM(F138:K138)</f>
        <v>880.75</v>
      </c>
      <c r="M138" s="498">
        <f t="shared" ref="M138:M139" si="51">L138+E138</f>
        <v>4780.75</v>
      </c>
      <c r="N138" s="1088"/>
    </row>
    <row r="139" spans="1:14">
      <c r="A139" s="465">
        <v>44</v>
      </c>
      <c r="B139" s="772" t="s">
        <v>1401</v>
      </c>
      <c r="C139" s="750" t="s">
        <v>1122</v>
      </c>
      <c r="D139" s="528">
        <v>576.14</v>
      </c>
      <c r="E139" s="528">
        <f t="shared" si="47"/>
        <v>6913.68</v>
      </c>
      <c r="F139" s="498">
        <f>D139*0.8</f>
        <v>460.91200000000003</v>
      </c>
      <c r="G139" s="469">
        <f t="shared" si="48"/>
        <v>466.67340000000007</v>
      </c>
      <c r="H139" s="1054">
        <f t="shared" si="49"/>
        <v>518.52599999999995</v>
      </c>
      <c r="I139" s="89"/>
      <c r="J139" s="499"/>
      <c r="K139" s="469"/>
      <c r="L139" s="470">
        <f t="shared" si="50"/>
        <v>1446.1114000000002</v>
      </c>
      <c r="M139" s="498">
        <f t="shared" si="51"/>
        <v>8359.7914000000001</v>
      </c>
      <c r="N139" s="1166"/>
    </row>
    <row r="140" spans="1:14">
      <c r="A140" s="465">
        <v>45</v>
      </c>
      <c r="B140" s="772" t="s">
        <v>1402</v>
      </c>
      <c r="C140" s="750" t="s">
        <v>1122</v>
      </c>
      <c r="D140" s="528">
        <v>518</v>
      </c>
      <c r="E140" s="528">
        <f t="shared" si="47"/>
        <v>6216</v>
      </c>
      <c r="F140" s="498">
        <f>D140*0.8</f>
        <v>414.40000000000003</v>
      </c>
      <c r="G140" s="469">
        <f t="shared" si="48"/>
        <v>419.58000000000004</v>
      </c>
      <c r="H140" s="1054">
        <f t="shared" si="49"/>
        <v>466.2</v>
      </c>
      <c r="I140" s="89"/>
      <c r="J140" s="499"/>
      <c r="K140" s="469"/>
      <c r="L140" s="470">
        <f t="shared" ref="L140" si="52">SUM(F140:K140)</f>
        <v>1300.18</v>
      </c>
      <c r="M140" s="498">
        <f t="shared" ref="M140" si="53">L140+E140</f>
        <v>7516.18</v>
      </c>
      <c r="N140" s="1166"/>
    </row>
    <row r="141" spans="1:14" s="480" customFormat="1">
      <c r="A141" s="1392" t="s">
        <v>395</v>
      </c>
      <c r="B141" s="1392"/>
      <c r="C141" s="1392"/>
      <c r="D141" s="1047">
        <f>SUM(D96:D140)</f>
        <v>18268.14</v>
      </c>
      <c r="E141" s="1047">
        <f>SUM(E96:E140)</f>
        <v>218017.68</v>
      </c>
      <c r="F141" s="1047">
        <f>SUM(F96:F140)</f>
        <v>16447.212</v>
      </c>
      <c r="G141" s="1047">
        <f>SUM(G96:G140)</f>
        <v>14179.973399999999</v>
      </c>
      <c r="H141" s="1047">
        <f>SUM(H96:H140)</f>
        <v>16180.325999999999</v>
      </c>
      <c r="I141" s="1047">
        <f t="shared" ref="I141:K141" si="54">SUM(I96:I138)</f>
        <v>0</v>
      </c>
      <c r="J141" s="1047">
        <f t="shared" si="54"/>
        <v>476.64</v>
      </c>
      <c r="K141" s="1047">
        <f t="shared" si="54"/>
        <v>0</v>
      </c>
      <c r="L141" s="1047">
        <f>SUM(L96:L139)</f>
        <v>45983.971400000002</v>
      </c>
      <c r="M141" s="1047">
        <f>SUM(M96:M139)</f>
        <v>257785.6514</v>
      </c>
      <c r="N141" s="1052"/>
    </row>
    <row r="142" spans="1:14">
      <c r="A142" s="1362" t="s">
        <v>629</v>
      </c>
      <c r="B142" s="1362"/>
      <c r="C142" s="1362"/>
      <c r="D142" s="1362"/>
      <c r="E142" s="1362"/>
      <c r="F142" s="1362"/>
      <c r="G142" s="1362"/>
      <c r="H142" s="1362"/>
      <c r="I142" s="1362"/>
      <c r="J142" s="1362"/>
      <c r="K142" s="1362"/>
      <c r="L142" s="1362"/>
      <c r="M142" s="386">
        <f>SUM(M141:M141)</f>
        <v>257785.6514</v>
      </c>
      <c r="N142" s="338"/>
    </row>
    <row r="143" spans="1:14" ht="18" customHeight="1">
      <c r="A143" s="1089"/>
      <c r="B143" s="768"/>
      <c r="C143" s="1089"/>
      <c r="D143" s="1094"/>
      <c r="E143" s="1089"/>
      <c r="F143" s="1089"/>
      <c r="G143" s="1089"/>
      <c r="H143" s="1089"/>
      <c r="I143" s="1089"/>
      <c r="J143" s="1089"/>
      <c r="K143" s="1089"/>
      <c r="L143" s="1089"/>
      <c r="M143" s="385"/>
      <c r="N143" s="338"/>
    </row>
    <row r="144" spans="1:14" ht="23.25" customHeight="1">
      <c r="A144" s="1089"/>
      <c r="B144" s="768"/>
      <c r="C144" s="1089"/>
      <c r="D144" s="1094"/>
      <c r="E144" s="1089"/>
      <c r="F144" s="1089"/>
      <c r="G144" s="1089"/>
      <c r="H144" s="1089"/>
      <c r="I144" s="1089"/>
      <c r="J144" s="1089"/>
      <c r="K144" s="1089"/>
      <c r="L144" s="1089"/>
      <c r="M144" s="385"/>
      <c r="N144" s="338"/>
    </row>
    <row r="145" spans="1:14" ht="23.25" customHeight="1">
      <c r="A145" s="1089"/>
      <c r="B145" s="768"/>
      <c r="C145" s="1089"/>
      <c r="D145" s="1094"/>
      <c r="E145" s="1089"/>
      <c r="F145" s="1089"/>
      <c r="G145" s="1089"/>
      <c r="H145" s="1089"/>
      <c r="I145" s="1089"/>
      <c r="J145" s="1089"/>
      <c r="K145" s="1089"/>
      <c r="L145" s="1089"/>
      <c r="M145" s="385"/>
      <c r="N145" s="338"/>
    </row>
    <row r="146" spans="1:14" ht="23.25" customHeight="1">
      <c r="A146" s="1089"/>
      <c r="B146" s="768"/>
      <c r="C146" s="1089"/>
      <c r="D146" s="1094"/>
      <c r="E146" s="1089"/>
      <c r="F146" s="1089"/>
      <c r="G146" s="1089"/>
      <c r="H146" s="1089"/>
      <c r="I146" s="1089"/>
      <c r="J146" s="1089"/>
      <c r="K146" s="1089"/>
      <c r="L146" s="1089"/>
      <c r="M146" s="385"/>
      <c r="N146" s="338"/>
    </row>
    <row r="147" spans="1:14" ht="23.25" customHeight="1">
      <c r="A147" s="1089"/>
      <c r="B147" s="768"/>
      <c r="C147" s="1089"/>
      <c r="D147" s="1094"/>
      <c r="E147" s="1089"/>
      <c r="F147" s="1089"/>
      <c r="G147" s="1089"/>
      <c r="H147" s="1089"/>
      <c r="I147" s="1089"/>
      <c r="J147" s="1089"/>
      <c r="K147" s="1089"/>
      <c r="L147" s="1089"/>
      <c r="M147" s="385"/>
      <c r="N147" s="338"/>
    </row>
    <row r="148" spans="1:14" ht="23.25" customHeight="1">
      <c r="A148" s="1089"/>
      <c r="B148" s="768"/>
      <c r="C148" s="1089"/>
      <c r="D148" s="1094"/>
      <c r="E148" s="1089"/>
      <c r="F148" s="1089"/>
      <c r="G148" s="1089"/>
      <c r="H148" s="1089"/>
      <c r="I148" s="1089"/>
      <c r="J148" s="1089"/>
      <c r="K148" s="1089"/>
      <c r="L148" s="1089"/>
      <c r="M148" s="385"/>
      <c r="N148" s="338"/>
    </row>
    <row r="149" spans="1:14" ht="18" customHeight="1">
      <c r="A149" s="1329" t="s">
        <v>597</v>
      </c>
      <c r="B149" s="1329"/>
      <c r="C149" s="1329"/>
      <c r="D149" s="1329"/>
      <c r="E149" s="1329"/>
      <c r="F149" s="1329"/>
      <c r="G149" s="1329"/>
      <c r="H149" s="1329"/>
      <c r="I149" s="1329"/>
      <c r="J149" s="1329"/>
      <c r="K149" s="1329"/>
      <c r="L149" s="1329"/>
      <c r="M149" s="1329"/>
      <c r="N149" s="338"/>
    </row>
    <row r="150" spans="1:14" ht="18.75" customHeight="1">
      <c r="A150" s="1329" t="s">
        <v>598</v>
      </c>
      <c r="B150" s="1329"/>
      <c r="C150" s="1329"/>
      <c r="D150" s="1329"/>
      <c r="E150" s="1329"/>
      <c r="F150" s="1329"/>
      <c r="G150" s="1329"/>
      <c r="H150" s="1329"/>
      <c r="I150" s="1329"/>
      <c r="J150" s="1329"/>
      <c r="K150" s="1329"/>
      <c r="L150" s="1329"/>
      <c r="M150" s="1329"/>
      <c r="N150" s="338"/>
    </row>
    <row r="151" spans="1:14" ht="18.75" customHeight="1">
      <c r="A151" s="1329" t="str">
        <f>A3</f>
        <v>PROYECCION DE RECURSOS HUMANOS  PARA EL AÑO 2017</v>
      </c>
      <c r="B151" s="1329"/>
      <c r="C151" s="1329"/>
      <c r="D151" s="1329"/>
      <c r="E151" s="1329"/>
      <c r="F151" s="1329"/>
      <c r="G151" s="1329"/>
      <c r="H151" s="1329"/>
      <c r="I151" s="1329"/>
      <c r="J151" s="1329"/>
      <c r="K151" s="1329"/>
      <c r="L151" s="1329"/>
      <c r="M151" s="1329"/>
      <c r="N151" s="338"/>
    </row>
    <row r="152" spans="1:14" ht="18.75" customHeight="1">
      <c r="A152" s="288"/>
      <c r="B152" s="766"/>
      <c r="C152" s="1088"/>
      <c r="D152" s="730"/>
      <c r="E152" s="1088"/>
      <c r="F152" s="527"/>
      <c r="G152" s="1088"/>
      <c r="H152" s="1088"/>
      <c r="I152" s="1088"/>
      <c r="J152" s="1088"/>
      <c r="K152" s="1088"/>
      <c r="L152" s="1088" t="s">
        <v>1243</v>
      </c>
      <c r="M152" s="1088"/>
      <c r="N152" s="338"/>
    </row>
    <row r="153" spans="1:14" ht="18.75" customHeight="1">
      <c r="A153" s="1331" t="s">
        <v>630</v>
      </c>
      <c r="B153" s="1397" t="s">
        <v>631</v>
      </c>
      <c r="C153" s="1398" t="s">
        <v>831</v>
      </c>
      <c r="D153" s="1331" t="s">
        <v>1244</v>
      </c>
      <c r="E153" s="1403"/>
      <c r="F153" s="1403"/>
      <c r="G153" s="1379" t="s">
        <v>633</v>
      </c>
      <c r="H153" s="1380"/>
      <c r="I153" s="1380"/>
      <c r="J153" s="1380"/>
      <c r="K153" s="1380"/>
      <c r="L153" s="1071"/>
      <c r="M153" s="1060" t="s">
        <v>635</v>
      </c>
      <c r="N153" s="338"/>
    </row>
    <row r="154" spans="1:14" ht="18.75" customHeight="1">
      <c r="A154" s="1331"/>
      <c r="B154" s="1397"/>
      <c r="C154" s="1398"/>
      <c r="D154" s="1403"/>
      <c r="E154" s="1403"/>
      <c r="F154" s="1403"/>
      <c r="G154" s="1401" t="s">
        <v>634</v>
      </c>
      <c r="H154" s="1401"/>
      <c r="I154" s="1401"/>
      <c r="J154" s="1401"/>
      <c r="K154" s="1336"/>
      <c r="L154" s="1393" t="s">
        <v>415</v>
      </c>
      <c r="M154" s="1060"/>
      <c r="N154" s="338"/>
    </row>
    <row r="155" spans="1:14" ht="18.75" customHeight="1">
      <c r="A155" s="1331"/>
      <c r="B155" s="1397"/>
      <c r="C155" s="1398"/>
      <c r="D155" s="1403"/>
      <c r="E155" s="1403"/>
      <c r="F155" s="1403"/>
      <c r="G155" s="457" t="s">
        <v>293</v>
      </c>
      <c r="H155" s="1336" t="s">
        <v>292</v>
      </c>
      <c r="I155" s="1336"/>
      <c r="J155" s="1336"/>
      <c r="K155" s="1336"/>
      <c r="L155" s="1393"/>
      <c r="M155" s="1060"/>
      <c r="N155" s="338"/>
    </row>
    <row r="156" spans="1:14" ht="18.75" customHeight="1">
      <c r="A156" s="1331"/>
      <c r="B156" s="1397"/>
      <c r="C156" s="1399"/>
      <c r="D156" s="1061" t="s">
        <v>636</v>
      </c>
      <c r="E156" s="1331" t="s">
        <v>637</v>
      </c>
      <c r="F156" s="1403"/>
      <c r="G156" s="458" t="s">
        <v>639</v>
      </c>
      <c r="H156" s="459" t="s">
        <v>640</v>
      </c>
      <c r="I156" s="459" t="s">
        <v>296</v>
      </c>
      <c r="J156" s="459" t="s">
        <v>641</v>
      </c>
      <c r="K156" s="1336"/>
      <c r="L156" s="1393"/>
      <c r="M156" s="1062" t="s">
        <v>643</v>
      </c>
      <c r="N156" s="338"/>
    </row>
    <row r="157" spans="1:14" s="724" customFormat="1" ht="18.75" customHeight="1">
      <c r="A157" s="1068">
        <v>12</v>
      </c>
      <c r="B157" s="486" t="s">
        <v>1245</v>
      </c>
      <c r="C157" s="486">
        <v>2</v>
      </c>
      <c r="D157" s="1069">
        <v>900</v>
      </c>
      <c r="E157" s="1404">
        <f>D157*12*A157</f>
        <v>129600</v>
      </c>
      <c r="F157" s="1405"/>
      <c r="G157" s="1070">
        <f>E157*6.75%</f>
        <v>8748</v>
      </c>
      <c r="H157" s="1070">
        <f>E157*7.5%</f>
        <v>9720</v>
      </c>
      <c r="I157" s="486"/>
      <c r="J157" s="486"/>
      <c r="K157" s="486"/>
      <c r="L157" s="1066">
        <f>SUM(F157:K157)</f>
        <v>18468</v>
      </c>
      <c r="M157" s="1067">
        <f>L157+E157</f>
        <v>148068</v>
      </c>
      <c r="N157" s="502"/>
    </row>
    <row r="158" spans="1:14" ht="18.75" customHeight="1">
      <c r="A158" s="1087" t="s">
        <v>415</v>
      </c>
      <c r="B158" s="1090"/>
      <c r="C158" s="1087"/>
      <c r="D158" s="1072">
        <f>SUM(D157)</f>
        <v>900</v>
      </c>
      <c r="E158" s="1378">
        <f t="shared" ref="E158:M158" si="55">SUM(E157)</f>
        <v>129600</v>
      </c>
      <c r="F158" s="1378"/>
      <c r="G158" s="1072">
        <f t="shared" si="55"/>
        <v>8748</v>
      </c>
      <c r="H158" s="1072">
        <f t="shared" si="55"/>
        <v>9720</v>
      </c>
      <c r="I158" s="1072">
        <f t="shared" si="55"/>
        <v>0</v>
      </c>
      <c r="J158" s="1072">
        <f t="shared" si="55"/>
        <v>0</v>
      </c>
      <c r="K158" s="1072">
        <f t="shared" si="55"/>
        <v>0</v>
      </c>
      <c r="L158" s="1072">
        <f t="shared" si="55"/>
        <v>18468</v>
      </c>
      <c r="M158" s="1072">
        <f t="shared" si="55"/>
        <v>148068</v>
      </c>
      <c r="N158" s="338"/>
    </row>
    <row r="159" spans="1:14" ht="18.75" customHeight="1">
      <c r="A159" s="1087" t="s">
        <v>1246</v>
      </c>
      <c r="B159" s="1074"/>
      <c r="C159" s="1075"/>
      <c r="D159" s="1075"/>
      <c r="E159" s="1076"/>
      <c r="F159" s="1076"/>
      <c r="G159" s="1075"/>
      <c r="H159" s="1075"/>
      <c r="I159" s="1075"/>
      <c r="J159" s="1075"/>
      <c r="K159" s="1077"/>
      <c r="L159" s="1381">
        <f>(E158+E141+E70+E198-E197+E233+E210)*1%</f>
        <v>6779.4219999999996</v>
      </c>
      <c r="M159" s="1382"/>
      <c r="N159" s="338"/>
    </row>
    <row r="160" spans="1:14" ht="18.75" customHeight="1">
      <c r="A160" s="1073" t="s">
        <v>803</v>
      </c>
      <c r="B160" s="1074"/>
      <c r="C160" s="1075"/>
      <c r="D160" s="1075"/>
      <c r="E160" s="1075"/>
      <c r="F160" s="1075"/>
      <c r="G160" s="1075"/>
      <c r="H160" s="1075"/>
      <c r="I160" s="1075"/>
      <c r="J160" s="1075"/>
      <c r="K160" s="1077"/>
      <c r="L160" s="1381">
        <f>M158+L159</f>
        <v>154847.42199999999</v>
      </c>
      <c r="M160" s="1383"/>
      <c r="N160" s="338"/>
    </row>
    <row r="161" spans="1:14" ht="18.75" customHeight="1">
      <c r="A161" s="1073" t="s">
        <v>1247</v>
      </c>
      <c r="B161" s="1074"/>
      <c r="C161" s="1075"/>
      <c r="D161" s="1075"/>
      <c r="E161" s="1075"/>
      <c r="F161" s="1075"/>
      <c r="G161" s="1075"/>
      <c r="H161" s="1075"/>
      <c r="I161" s="1075"/>
      <c r="J161" s="1075"/>
      <c r="K161" s="1077"/>
      <c r="L161" s="1384">
        <f>M158+M142+L159</f>
        <v>412633.07339999999</v>
      </c>
      <c r="M161" s="1385"/>
      <c r="N161" s="338"/>
    </row>
    <row r="162" spans="1:14" ht="18.75" customHeight="1">
      <c r="A162" s="1089"/>
      <c r="B162" s="768"/>
      <c r="C162" s="1089"/>
      <c r="D162" s="1094"/>
      <c r="E162" s="1089"/>
      <c r="F162" s="1089"/>
      <c r="G162" s="1089"/>
      <c r="H162" s="1089"/>
      <c r="I162" s="1089"/>
      <c r="J162" s="1089"/>
      <c r="K162" s="1089"/>
      <c r="L162" s="1089"/>
      <c r="M162" s="385"/>
      <c r="N162" s="338"/>
    </row>
    <row r="163" spans="1:14" ht="18.75" customHeight="1">
      <c r="A163" s="1089"/>
      <c r="B163" s="768"/>
      <c r="C163" s="1089"/>
      <c r="D163" s="1094"/>
      <c r="E163" s="1089"/>
      <c r="F163" s="1089"/>
      <c r="G163" s="1089"/>
      <c r="H163" s="1089"/>
      <c r="I163" s="1089"/>
      <c r="J163" s="1089"/>
      <c r="K163" s="1089"/>
      <c r="L163" s="1089"/>
      <c r="M163" s="385"/>
      <c r="N163" s="338"/>
    </row>
    <row r="164" spans="1:14" ht="18.75" hidden="1" customHeight="1">
      <c r="A164" s="1089"/>
      <c r="B164" s="768"/>
      <c r="C164" s="1089"/>
      <c r="D164" s="1094"/>
      <c r="E164" s="1089"/>
      <c r="F164" s="1089"/>
      <c r="G164" s="1089"/>
      <c r="H164" s="1089"/>
      <c r="I164" s="1089"/>
      <c r="J164" s="1089"/>
      <c r="K164" s="1089"/>
      <c r="L164" s="1089"/>
      <c r="M164" s="385"/>
      <c r="N164" s="338"/>
    </row>
    <row r="165" spans="1:14" ht="18.75" hidden="1" customHeight="1">
      <c r="A165" s="1089"/>
      <c r="B165" s="768"/>
      <c r="C165" s="1089"/>
      <c r="D165" s="1094"/>
      <c r="E165" s="1089"/>
      <c r="F165" s="1089"/>
      <c r="G165" s="1089"/>
      <c r="H165" s="1089"/>
      <c r="I165" s="1089"/>
      <c r="J165" s="1089"/>
      <c r="K165" s="1089"/>
      <c r="L165" s="1089"/>
      <c r="M165" s="385"/>
      <c r="N165" s="338"/>
    </row>
    <row r="166" spans="1:14" ht="18.75" hidden="1" customHeight="1">
      <c r="A166" s="1089"/>
      <c r="B166" s="768"/>
      <c r="C166" s="1089"/>
      <c r="D166" s="1094"/>
      <c r="E166" s="1089"/>
      <c r="F166" s="1089"/>
      <c r="G166" s="1089"/>
      <c r="H166" s="1089"/>
      <c r="I166" s="1089"/>
      <c r="J166" s="1089"/>
      <c r="K166" s="1089"/>
      <c r="L166" s="1089"/>
      <c r="M166" s="385"/>
      <c r="N166" s="338"/>
    </row>
    <row r="167" spans="1:14" ht="18.75" hidden="1" customHeight="1">
      <c r="A167" s="1089"/>
      <c r="B167" s="768"/>
      <c r="C167" s="1089"/>
      <c r="D167" s="1094"/>
      <c r="E167" s="1089"/>
      <c r="F167" s="1089"/>
      <c r="G167" s="1089"/>
      <c r="H167" s="1089"/>
      <c r="I167" s="1089"/>
      <c r="J167" s="1089"/>
      <c r="K167" s="1089"/>
      <c r="L167" s="1089"/>
      <c r="M167" s="385"/>
      <c r="N167" s="338"/>
    </row>
    <row r="168" spans="1:14" ht="18.75" hidden="1" customHeight="1">
      <c r="A168" s="1089"/>
      <c r="B168" s="768"/>
      <c r="C168" s="1089"/>
      <c r="D168" s="1094"/>
      <c r="E168" s="1089"/>
      <c r="F168" s="1089"/>
      <c r="G168" s="1089"/>
      <c r="H168" s="1089"/>
      <c r="I168" s="1089"/>
      <c r="J168" s="1089"/>
      <c r="K168" s="1089"/>
      <c r="L168" s="1089"/>
      <c r="M168" s="385"/>
      <c r="N168" s="338"/>
    </row>
    <row r="169" spans="1:14" ht="18.75" hidden="1" customHeight="1">
      <c r="A169" s="1089"/>
      <c r="B169" s="768"/>
      <c r="C169" s="1089"/>
      <c r="D169" s="1094"/>
      <c r="E169" s="1089"/>
      <c r="F169" s="1089"/>
      <c r="G169" s="1089"/>
      <c r="H169" s="1089"/>
      <c r="I169" s="1089"/>
      <c r="J169" s="1089"/>
      <c r="K169" s="1089"/>
      <c r="L169" s="1089"/>
      <c r="M169" s="385"/>
      <c r="N169" s="338"/>
    </row>
    <row r="170" spans="1:14" ht="18.75" hidden="1" customHeight="1">
      <c r="A170" s="1089"/>
      <c r="B170" s="768"/>
      <c r="C170" s="1089"/>
      <c r="D170" s="1094"/>
      <c r="E170" s="1089"/>
      <c r="F170" s="1089"/>
      <c r="G170" s="1089"/>
      <c r="H170" s="1089"/>
      <c r="I170" s="1089"/>
      <c r="J170" s="1089"/>
      <c r="K170" s="1089"/>
      <c r="L170" s="1089"/>
      <c r="M170" s="385"/>
      <c r="N170" s="338"/>
    </row>
    <row r="171" spans="1:14" ht="18.75" hidden="1" customHeight="1">
      <c r="A171" s="1089"/>
      <c r="B171" s="768"/>
      <c r="C171" s="1089"/>
      <c r="D171" s="1094"/>
      <c r="E171" s="1089"/>
      <c r="F171" s="1089"/>
      <c r="G171" s="1089"/>
      <c r="H171" s="1089"/>
      <c r="I171" s="1089"/>
      <c r="J171" s="1089"/>
      <c r="K171" s="1089"/>
      <c r="L171" s="1089"/>
      <c r="M171" s="385"/>
      <c r="N171" s="338"/>
    </row>
    <row r="172" spans="1:14" ht="18.75" hidden="1" customHeight="1">
      <c r="A172" s="1089"/>
      <c r="B172" s="768"/>
      <c r="C172" s="1089"/>
      <c r="D172" s="1094"/>
      <c r="E172" s="1089"/>
      <c r="F172" s="1089"/>
      <c r="G172" s="1089"/>
      <c r="H172" s="1089"/>
      <c r="I172" s="1089"/>
      <c r="J172" s="1089"/>
      <c r="K172" s="1089"/>
      <c r="L172" s="1089"/>
      <c r="M172" s="385"/>
      <c r="N172" s="338"/>
    </row>
    <row r="173" spans="1:14" ht="18.75" hidden="1" customHeight="1">
      <c r="A173" s="1089"/>
      <c r="B173" s="768"/>
      <c r="C173" s="1089"/>
      <c r="D173" s="1094"/>
      <c r="E173" s="1089"/>
      <c r="F173" s="1089"/>
      <c r="G173" s="1089"/>
      <c r="H173" s="1089"/>
      <c r="I173" s="1089"/>
      <c r="J173" s="1089"/>
      <c r="K173" s="1089"/>
      <c r="L173" s="1089"/>
      <c r="M173" s="385"/>
      <c r="N173" s="338"/>
    </row>
    <row r="174" spans="1:14" hidden="1">
      <c r="A174" s="1089"/>
      <c r="B174" s="768"/>
      <c r="C174" s="1089"/>
      <c r="D174" s="1094"/>
      <c r="E174" s="1089"/>
      <c r="F174" s="1089"/>
      <c r="G174" s="1089"/>
      <c r="H174" s="1089"/>
      <c r="I174" s="1089"/>
      <c r="J174" s="1089"/>
      <c r="K174" s="1089"/>
      <c r="L174" s="1089"/>
      <c r="M174" s="385"/>
      <c r="N174" s="338"/>
    </row>
    <row r="175" spans="1:14" ht="34.5" hidden="1" customHeight="1">
      <c r="A175" s="1094"/>
      <c r="B175" s="768"/>
      <c r="C175" s="1094"/>
      <c r="D175" s="1094"/>
      <c r="E175" s="1094"/>
      <c r="F175" s="1094"/>
      <c r="G175" s="1094"/>
      <c r="H175" s="1094"/>
      <c r="I175" s="1094"/>
      <c r="J175" s="1094"/>
      <c r="K175" s="1094"/>
      <c r="L175" s="1094"/>
      <c r="M175" s="385"/>
      <c r="N175" s="338"/>
    </row>
    <row r="176" spans="1:14">
      <c r="A176" s="1094"/>
      <c r="B176" s="768"/>
      <c r="C176" s="1094"/>
      <c r="D176" s="1094"/>
      <c r="E176" s="1094"/>
      <c r="F176" s="1094"/>
      <c r="G176" s="1094"/>
      <c r="H176" s="1094"/>
      <c r="I176" s="1094"/>
      <c r="J176" s="1094"/>
      <c r="K176" s="1094"/>
      <c r="L176" s="1094"/>
      <c r="M176" s="385"/>
      <c r="N176" s="338"/>
    </row>
    <row r="177" spans="1:14" s="566" customFormat="1" ht="18" customHeight="1">
      <c r="A177" s="1329" t="s">
        <v>597</v>
      </c>
      <c r="B177" s="1329"/>
      <c r="C177" s="1329"/>
      <c r="D177" s="1329"/>
      <c r="E177" s="1329"/>
      <c r="F177" s="1329"/>
      <c r="G177" s="1329"/>
      <c r="H177" s="1329"/>
      <c r="I177" s="1329"/>
      <c r="J177" s="1329"/>
      <c r="K177" s="1329"/>
      <c r="L177" s="1329"/>
      <c r="M177" s="1329"/>
      <c r="N177" s="570"/>
    </row>
    <row r="178" spans="1:14" s="566" customFormat="1" ht="18" customHeight="1">
      <c r="A178" s="1329" t="s">
        <v>598</v>
      </c>
      <c r="B178" s="1329"/>
      <c r="C178" s="1329"/>
      <c r="D178" s="1329"/>
      <c r="E178" s="1329"/>
      <c r="F178" s="1329"/>
      <c r="G178" s="1329"/>
      <c r="H178" s="1329"/>
      <c r="I178" s="1329"/>
      <c r="J178" s="1329"/>
      <c r="K178" s="1329"/>
      <c r="L178" s="1329"/>
      <c r="M178" s="1329"/>
      <c r="N178" s="570"/>
    </row>
    <row r="179" spans="1:14" s="566" customFormat="1" ht="18" customHeight="1">
      <c r="A179" s="1329" t="str">
        <f>A3</f>
        <v>PROYECCION DE RECURSOS HUMANOS  PARA EL AÑO 2017</v>
      </c>
      <c r="B179" s="1329"/>
      <c r="C179" s="1329"/>
      <c r="D179" s="1329"/>
      <c r="E179" s="1329"/>
      <c r="F179" s="1329"/>
      <c r="G179" s="1329"/>
      <c r="H179" s="1329"/>
      <c r="I179" s="1329"/>
      <c r="J179" s="1329"/>
      <c r="K179" s="1329"/>
      <c r="L179" s="1329"/>
      <c r="M179" s="1329"/>
      <c r="N179" s="570"/>
    </row>
    <row r="180" spans="1:14" s="566" customFormat="1" ht="18" customHeight="1" thickBot="1">
      <c r="A180" s="1088"/>
      <c r="B180" s="766"/>
      <c r="C180" s="1088"/>
      <c r="D180" s="730"/>
      <c r="E180" s="1088"/>
      <c r="F180" s="527"/>
      <c r="G180" s="1088"/>
      <c r="H180" s="1088"/>
      <c r="I180" s="1088"/>
      <c r="J180" s="1088"/>
      <c r="K180" s="1088"/>
      <c r="L180" s="1088" t="s">
        <v>99</v>
      </c>
      <c r="M180" s="1088"/>
      <c r="N180" s="570"/>
    </row>
    <row r="181" spans="1:14" s="566" customFormat="1" ht="18" customHeight="1" thickBot="1">
      <c r="A181" s="1339" t="s">
        <v>630</v>
      </c>
      <c r="B181" s="1386" t="s">
        <v>631</v>
      </c>
      <c r="C181" s="1363" t="s">
        <v>831</v>
      </c>
      <c r="D181" s="1366" t="s">
        <v>632</v>
      </c>
      <c r="E181" s="1367"/>
      <c r="F181" s="1344" t="s">
        <v>633</v>
      </c>
      <c r="G181" s="1345"/>
      <c r="H181" s="1345"/>
      <c r="I181" s="1345"/>
      <c r="J181" s="1345"/>
      <c r="K181" s="1345"/>
      <c r="L181" s="1346"/>
      <c r="M181" s="726" t="s">
        <v>635</v>
      </c>
      <c r="N181" s="568"/>
    </row>
    <row r="182" spans="1:14" s="566" customFormat="1" ht="18" customHeight="1">
      <c r="A182" s="1340"/>
      <c r="B182" s="1387"/>
      <c r="C182" s="1364"/>
      <c r="D182" s="1368"/>
      <c r="E182" s="1331"/>
      <c r="F182" s="1364" t="s">
        <v>638</v>
      </c>
      <c r="G182" s="1342" t="s">
        <v>634</v>
      </c>
      <c r="H182" s="1343"/>
      <c r="I182" s="1343"/>
      <c r="J182" s="1343"/>
      <c r="K182" s="1388" t="s">
        <v>806</v>
      </c>
      <c r="L182" s="1361" t="s">
        <v>415</v>
      </c>
      <c r="M182" s="335"/>
    </row>
    <row r="183" spans="1:14" s="566" customFormat="1" ht="18" customHeight="1">
      <c r="A183" s="1340"/>
      <c r="B183" s="1387"/>
      <c r="C183" s="1364"/>
      <c r="D183" s="1368"/>
      <c r="E183" s="1331"/>
      <c r="F183" s="1364"/>
      <c r="G183" s="280" t="s">
        <v>293</v>
      </c>
      <c r="H183" s="1348" t="s">
        <v>292</v>
      </c>
      <c r="I183" s="1349"/>
      <c r="J183" s="1349"/>
      <c r="K183" s="1336"/>
      <c r="L183" s="1361"/>
      <c r="M183" s="335"/>
    </row>
    <row r="184" spans="1:14" s="1167" customFormat="1" ht="18" customHeight="1">
      <c r="A184" s="1341"/>
      <c r="B184" s="1387"/>
      <c r="C184" s="1365"/>
      <c r="D184" s="731" t="s">
        <v>636</v>
      </c>
      <c r="E184" s="371" t="s">
        <v>637</v>
      </c>
      <c r="F184" s="1364"/>
      <c r="G184" s="372" t="s">
        <v>639</v>
      </c>
      <c r="H184" s="373" t="s">
        <v>640</v>
      </c>
      <c r="I184" s="374" t="s">
        <v>296</v>
      </c>
      <c r="J184" s="374" t="s">
        <v>641</v>
      </c>
      <c r="K184" s="1336"/>
      <c r="L184" s="1361"/>
      <c r="M184" s="375" t="s">
        <v>643</v>
      </c>
    </row>
    <row r="185" spans="1:14" s="566" customFormat="1" ht="18" customHeight="1">
      <c r="A185" s="1168">
        <v>1</v>
      </c>
      <c r="B185" s="1169" t="s">
        <v>1399</v>
      </c>
      <c r="C185" s="728">
        <v>9</v>
      </c>
      <c r="D185" s="1170">
        <v>350</v>
      </c>
      <c r="E185" s="564">
        <f t="shared" ref="E185" si="56">D185*12</f>
        <v>4200</v>
      </c>
      <c r="F185" s="498">
        <f>D185</f>
        <v>350</v>
      </c>
      <c r="G185" s="565"/>
      <c r="H185" s="564">
        <f t="shared" ref="H185" si="57">(E185+K185)*7.5%</f>
        <v>315</v>
      </c>
      <c r="I185" s="564"/>
      <c r="J185" s="565">
        <f>(E185+K185)*6%</f>
        <v>252</v>
      </c>
      <c r="K185" s="565"/>
      <c r="L185" s="565">
        <f t="shared" ref="L185" si="58">SUM(F185:K185)</f>
        <v>917</v>
      </c>
      <c r="M185" s="564">
        <f t="shared" ref="M185" si="59">L185+E185</f>
        <v>5117</v>
      </c>
    </row>
    <row r="186" spans="1:14" s="566" customFormat="1">
      <c r="A186" s="1171">
        <v>2</v>
      </c>
      <c r="B186" s="729" t="s">
        <v>734</v>
      </c>
      <c r="C186" s="569" t="s">
        <v>1130</v>
      </c>
      <c r="D186" s="1117">
        <v>370</v>
      </c>
      <c r="E186" s="564">
        <f t="shared" ref="E186:E194" si="60">D186*12</f>
        <v>4440</v>
      </c>
      <c r="F186" s="498">
        <f t="shared" ref="F186:F195" si="61">D186</f>
        <v>370</v>
      </c>
      <c r="G186" s="565"/>
      <c r="H186" s="564">
        <f t="shared" ref="H186:H194" si="62">(E186+K186)*7.5%</f>
        <v>333</v>
      </c>
      <c r="I186" s="564"/>
      <c r="J186" s="565">
        <f>(E186+K186)*6%</f>
        <v>266.39999999999998</v>
      </c>
      <c r="K186" s="565"/>
      <c r="L186" s="565">
        <f t="shared" ref="L186:L194" si="63">SUM(F186:K186)</f>
        <v>969.4</v>
      </c>
      <c r="M186" s="564">
        <f t="shared" ref="M186:M194" si="64">L186+E186</f>
        <v>5409.4</v>
      </c>
    </row>
    <row r="187" spans="1:14" s="566" customFormat="1">
      <c r="A187" s="1168">
        <v>3</v>
      </c>
      <c r="B187" s="729" t="s">
        <v>734</v>
      </c>
      <c r="C187" s="569" t="s">
        <v>1130</v>
      </c>
      <c r="D187" s="1117">
        <v>370</v>
      </c>
      <c r="E187" s="564">
        <f t="shared" si="60"/>
        <v>4440</v>
      </c>
      <c r="F187" s="498">
        <f t="shared" si="61"/>
        <v>370</v>
      </c>
      <c r="G187" s="565">
        <f t="shared" ref="G187:G193" si="65">(E187+K187)*6.75%</f>
        <v>299.70000000000005</v>
      </c>
      <c r="H187" s="564">
        <f t="shared" si="62"/>
        <v>333</v>
      </c>
      <c r="I187" s="564"/>
      <c r="J187" s="565"/>
      <c r="K187" s="565"/>
      <c r="L187" s="565">
        <f t="shared" si="63"/>
        <v>1002.7</v>
      </c>
      <c r="M187" s="564">
        <f t="shared" si="64"/>
        <v>5442.7</v>
      </c>
    </row>
    <row r="188" spans="1:14" s="566" customFormat="1">
      <c r="A188" s="1171">
        <v>4</v>
      </c>
      <c r="B188" s="729" t="s">
        <v>735</v>
      </c>
      <c r="C188" s="569" t="s">
        <v>1130</v>
      </c>
      <c r="D188" s="1118">
        <v>337</v>
      </c>
      <c r="E188" s="564">
        <f t="shared" si="60"/>
        <v>4044</v>
      </c>
      <c r="F188" s="498">
        <f t="shared" si="61"/>
        <v>337</v>
      </c>
      <c r="G188" s="565">
        <f t="shared" si="65"/>
        <v>272.97000000000003</v>
      </c>
      <c r="H188" s="564">
        <f t="shared" si="62"/>
        <v>303.3</v>
      </c>
      <c r="I188" s="564"/>
      <c r="J188" s="565"/>
      <c r="K188" s="565"/>
      <c r="L188" s="565">
        <f t="shared" si="63"/>
        <v>913.27</v>
      </c>
      <c r="M188" s="564">
        <f t="shared" si="64"/>
        <v>4957.2700000000004</v>
      </c>
    </row>
    <row r="189" spans="1:14" s="566" customFormat="1">
      <c r="A189" s="1168">
        <v>5</v>
      </c>
      <c r="B189" s="729" t="s">
        <v>735</v>
      </c>
      <c r="C189" s="569" t="s">
        <v>1130</v>
      </c>
      <c r="D189" s="1118">
        <v>325</v>
      </c>
      <c r="E189" s="564">
        <f t="shared" si="60"/>
        <v>3900</v>
      </c>
      <c r="F189" s="498">
        <f t="shared" si="61"/>
        <v>325</v>
      </c>
      <c r="G189" s="565">
        <f t="shared" si="65"/>
        <v>263.25</v>
      </c>
      <c r="H189" s="564">
        <f t="shared" si="62"/>
        <v>292.5</v>
      </c>
      <c r="I189" s="564"/>
      <c r="J189" s="565"/>
      <c r="K189" s="565"/>
      <c r="L189" s="565">
        <f t="shared" si="63"/>
        <v>880.75</v>
      </c>
      <c r="M189" s="564">
        <f t="shared" si="64"/>
        <v>4780.75</v>
      </c>
    </row>
    <row r="190" spans="1:14" s="566" customFormat="1">
      <c r="A190" s="1171">
        <v>6</v>
      </c>
      <c r="B190" s="729" t="s">
        <v>735</v>
      </c>
      <c r="C190" s="569" t="s">
        <v>1130</v>
      </c>
      <c r="D190" s="1118">
        <v>325</v>
      </c>
      <c r="E190" s="564">
        <f t="shared" si="60"/>
        <v>3900</v>
      </c>
      <c r="F190" s="498">
        <f t="shared" si="61"/>
        <v>325</v>
      </c>
      <c r="G190" s="565">
        <f t="shared" si="65"/>
        <v>263.25</v>
      </c>
      <c r="H190" s="564">
        <f t="shared" si="62"/>
        <v>292.5</v>
      </c>
      <c r="I190" s="564"/>
      <c r="J190" s="565"/>
      <c r="K190" s="565"/>
      <c r="L190" s="565">
        <f t="shared" si="63"/>
        <v>880.75</v>
      </c>
      <c r="M190" s="564">
        <f t="shared" si="64"/>
        <v>4780.75</v>
      </c>
    </row>
    <row r="191" spans="1:14" s="566" customFormat="1">
      <c r="A191" s="1168">
        <v>7</v>
      </c>
      <c r="B191" s="729" t="s">
        <v>735</v>
      </c>
      <c r="C191" s="569" t="s">
        <v>1130</v>
      </c>
      <c r="D191" s="1118">
        <v>325</v>
      </c>
      <c r="E191" s="564">
        <f t="shared" si="60"/>
        <v>3900</v>
      </c>
      <c r="F191" s="498">
        <f t="shared" si="61"/>
        <v>325</v>
      </c>
      <c r="G191" s="565">
        <f t="shared" si="65"/>
        <v>263.25</v>
      </c>
      <c r="H191" s="564">
        <f t="shared" si="62"/>
        <v>292.5</v>
      </c>
      <c r="I191" s="564"/>
      <c r="J191" s="565"/>
      <c r="K191" s="565"/>
      <c r="L191" s="565">
        <f t="shared" si="63"/>
        <v>880.75</v>
      </c>
      <c r="M191" s="564">
        <f t="shared" si="64"/>
        <v>4780.75</v>
      </c>
    </row>
    <row r="192" spans="1:14" s="566" customFormat="1">
      <c r="A192" s="1171">
        <v>8</v>
      </c>
      <c r="B192" s="729" t="s">
        <v>735</v>
      </c>
      <c r="C192" s="569" t="s">
        <v>1130</v>
      </c>
      <c r="D192" s="1118">
        <v>325</v>
      </c>
      <c r="E192" s="564">
        <f t="shared" si="60"/>
        <v>3900</v>
      </c>
      <c r="F192" s="498">
        <f t="shared" si="61"/>
        <v>325</v>
      </c>
      <c r="G192" s="565">
        <f t="shared" si="65"/>
        <v>263.25</v>
      </c>
      <c r="H192" s="564">
        <f t="shared" si="62"/>
        <v>292.5</v>
      </c>
      <c r="I192" s="564"/>
      <c r="J192" s="565"/>
      <c r="K192" s="565"/>
      <c r="L192" s="565">
        <f t="shared" si="63"/>
        <v>880.75</v>
      </c>
      <c r="M192" s="564">
        <f t="shared" si="64"/>
        <v>4780.75</v>
      </c>
    </row>
    <row r="193" spans="1:15" s="566" customFormat="1">
      <c r="A193" s="1168">
        <v>9</v>
      </c>
      <c r="B193" s="729" t="s">
        <v>735</v>
      </c>
      <c r="C193" s="569" t="s">
        <v>1130</v>
      </c>
      <c r="D193" s="1118">
        <v>325</v>
      </c>
      <c r="E193" s="564">
        <f t="shared" si="60"/>
        <v>3900</v>
      </c>
      <c r="F193" s="498">
        <f t="shared" si="61"/>
        <v>325</v>
      </c>
      <c r="G193" s="565">
        <f t="shared" si="65"/>
        <v>263.25</v>
      </c>
      <c r="H193" s="564">
        <f t="shared" si="62"/>
        <v>292.5</v>
      </c>
      <c r="I193" s="564"/>
      <c r="J193" s="565"/>
      <c r="K193" s="565"/>
      <c r="L193" s="565">
        <f t="shared" si="63"/>
        <v>880.75</v>
      </c>
      <c r="M193" s="564">
        <f t="shared" si="64"/>
        <v>4780.75</v>
      </c>
    </row>
    <row r="194" spans="1:15" s="566" customFormat="1">
      <c r="A194" s="1171">
        <v>10</v>
      </c>
      <c r="B194" s="773" t="s">
        <v>735</v>
      </c>
      <c r="C194" s="569" t="s">
        <v>1130</v>
      </c>
      <c r="D194" s="1118">
        <v>325</v>
      </c>
      <c r="E194" s="564">
        <f t="shared" si="60"/>
        <v>3900</v>
      </c>
      <c r="F194" s="498">
        <f t="shared" si="61"/>
        <v>325</v>
      </c>
      <c r="G194" s="565"/>
      <c r="H194" s="564">
        <f t="shared" si="62"/>
        <v>292.5</v>
      </c>
      <c r="I194" s="564"/>
      <c r="J194" s="565">
        <f>(E194+K194)*6%</f>
        <v>234</v>
      </c>
      <c r="K194" s="565"/>
      <c r="L194" s="565">
        <f t="shared" si="63"/>
        <v>851.5</v>
      </c>
      <c r="M194" s="564">
        <f t="shared" si="64"/>
        <v>4751.5</v>
      </c>
    </row>
    <row r="195" spans="1:15">
      <c r="A195" s="1172">
        <v>11</v>
      </c>
      <c r="B195" s="773" t="s">
        <v>735</v>
      </c>
      <c r="C195" s="1173" t="s">
        <v>1130</v>
      </c>
      <c r="D195" s="1174">
        <v>337</v>
      </c>
      <c r="E195" s="564">
        <f>D195*12</f>
        <v>4044</v>
      </c>
      <c r="F195" s="498">
        <f t="shared" si="61"/>
        <v>337</v>
      </c>
      <c r="G195" s="565">
        <f>(E195+K195)*6.75%</f>
        <v>272.97000000000003</v>
      </c>
      <c r="H195" s="564">
        <f>E195*7.5%</f>
        <v>303.3</v>
      </c>
      <c r="I195" s="564"/>
      <c r="J195" s="565"/>
      <c r="K195" s="565"/>
      <c r="L195" s="565">
        <f>SUM(F195:K195)</f>
        <v>913.27</v>
      </c>
      <c r="M195" s="564">
        <f>L195+E195</f>
        <v>4957.2700000000004</v>
      </c>
    </row>
    <row r="196" spans="1:15">
      <c r="A196" s="1171">
        <v>12</v>
      </c>
      <c r="B196" s="739" t="s">
        <v>1248</v>
      </c>
      <c r="C196" s="569" t="s">
        <v>1130</v>
      </c>
      <c r="D196" s="1118">
        <v>325</v>
      </c>
      <c r="E196" s="564">
        <f>D196*12</f>
        <v>3900</v>
      </c>
      <c r="F196" s="498">
        <f>D196</f>
        <v>325</v>
      </c>
      <c r="G196" s="565">
        <f>(E196+K196)*6.75%</f>
        <v>263.25</v>
      </c>
      <c r="H196" s="564">
        <f>(E196+K196)*7.5%</f>
        <v>292.5</v>
      </c>
      <c r="I196" s="564"/>
      <c r="J196" s="565"/>
      <c r="K196" s="565"/>
      <c r="L196" s="565">
        <f>SUM(F196:K196)</f>
        <v>880.75</v>
      </c>
      <c r="M196" s="564">
        <f>L196+E196</f>
        <v>4780.75</v>
      </c>
    </row>
    <row r="197" spans="1:15" ht="16.5">
      <c r="A197" s="1175"/>
      <c r="B197" s="740" t="s">
        <v>1121</v>
      </c>
      <c r="C197" s="1176" t="s">
        <v>1130</v>
      </c>
      <c r="D197" s="1045">
        <v>252</v>
      </c>
      <c r="E197" s="564">
        <f>(D197*12)*18</f>
        <v>54432</v>
      </c>
      <c r="F197" s="741">
        <v>0</v>
      </c>
      <c r="G197" s="741">
        <v>0</v>
      </c>
      <c r="H197" s="741">
        <v>0</v>
      </c>
      <c r="I197" s="741">
        <v>0</v>
      </c>
      <c r="J197" s="741">
        <v>0</v>
      </c>
      <c r="K197" s="741">
        <v>0</v>
      </c>
      <c r="L197" s="565">
        <f>SUM(F197:K197)</f>
        <v>0</v>
      </c>
      <c r="M197" s="564">
        <f>L197+E197</f>
        <v>54432</v>
      </c>
    </row>
    <row r="198" spans="1:15">
      <c r="A198" s="1390" t="s">
        <v>600</v>
      </c>
      <c r="B198" s="1390"/>
      <c r="C198" s="737"/>
      <c r="D198" s="738">
        <f>SUM(D185:D196)</f>
        <v>4039</v>
      </c>
      <c r="E198" s="738">
        <f t="shared" ref="E198:M198" si="66">SUM(E185:E196)</f>
        <v>48468</v>
      </c>
      <c r="F198" s="738">
        <f t="shared" si="66"/>
        <v>4039</v>
      </c>
      <c r="G198" s="738">
        <f t="shared" si="66"/>
        <v>2425.1400000000003</v>
      </c>
      <c r="H198" s="738">
        <f t="shared" si="66"/>
        <v>3635.1000000000004</v>
      </c>
      <c r="I198" s="738">
        <f t="shared" si="66"/>
        <v>0</v>
      </c>
      <c r="J198" s="738">
        <f t="shared" si="66"/>
        <v>752.4</v>
      </c>
      <c r="K198" s="738">
        <f t="shared" si="66"/>
        <v>0</v>
      </c>
      <c r="L198" s="738">
        <f t="shared" si="66"/>
        <v>10851.640000000001</v>
      </c>
      <c r="M198" s="738">
        <f t="shared" si="66"/>
        <v>59319.64</v>
      </c>
    </row>
    <row r="199" spans="1:15">
      <c r="A199" s="1391" t="s">
        <v>629</v>
      </c>
      <c r="B199" s="1391"/>
      <c r="C199" s="1391"/>
      <c r="D199" s="1391"/>
      <c r="E199" s="1391"/>
      <c r="F199" s="1391"/>
      <c r="G199" s="1391"/>
      <c r="H199" s="1391"/>
      <c r="I199" s="1391"/>
      <c r="J199" s="1391"/>
      <c r="K199" s="1391"/>
      <c r="L199" s="1391"/>
      <c r="M199" s="567">
        <f>SUM(M198:M198)</f>
        <v>59319.64</v>
      </c>
      <c r="N199" s="300">
        <f>M198+M197+M210</f>
        <v>122239.14</v>
      </c>
      <c r="O199" s="92">
        <v>162769.92000000001</v>
      </c>
    </row>
    <row r="200" spans="1:15">
      <c r="O200" s="300">
        <f>O199-N199</f>
        <v>40530.780000000013</v>
      </c>
    </row>
    <row r="201" spans="1:15">
      <c r="A201" s="1329" t="s">
        <v>597</v>
      </c>
      <c r="B201" s="1329"/>
      <c r="C201" s="1329"/>
      <c r="D201" s="1329"/>
      <c r="E201" s="1329"/>
      <c r="F201" s="1329"/>
      <c r="G201" s="1329"/>
      <c r="H201" s="1329"/>
      <c r="I201" s="1329"/>
      <c r="J201" s="1329"/>
      <c r="K201" s="1329"/>
      <c r="L201" s="1329"/>
      <c r="M201" s="1329"/>
    </row>
    <row r="202" spans="1:15">
      <c r="A202" s="1329" t="s">
        <v>598</v>
      </c>
      <c r="B202" s="1329"/>
      <c r="C202" s="1329"/>
      <c r="D202" s="1329"/>
      <c r="E202" s="1329"/>
      <c r="F202" s="1329"/>
      <c r="G202" s="1329"/>
      <c r="H202" s="1329"/>
      <c r="I202" s="1329"/>
      <c r="J202" s="1329"/>
      <c r="K202" s="1329"/>
      <c r="L202" s="1329"/>
      <c r="M202" s="1329"/>
    </row>
    <row r="203" spans="1:15">
      <c r="A203" s="1329" t="str">
        <f>A3</f>
        <v>PROYECCION DE RECURSOS HUMANOS  PARA EL AÑO 2017</v>
      </c>
      <c r="B203" s="1329"/>
      <c r="C203" s="1329"/>
      <c r="D203" s="1329"/>
      <c r="E203" s="1329"/>
      <c r="F203" s="1329"/>
      <c r="G203" s="1329"/>
      <c r="H203" s="1329"/>
      <c r="I203" s="1329"/>
      <c r="J203" s="1329"/>
      <c r="K203" s="1329"/>
      <c r="L203" s="1329"/>
      <c r="M203" s="1329"/>
    </row>
    <row r="204" spans="1:15" ht="13.5" thickBot="1">
      <c r="A204" s="1088"/>
      <c r="B204" s="766"/>
      <c r="C204" s="1088"/>
      <c r="D204" s="730"/>
      <c r="E204" s="1088"/>
      <c r="F204" s="527"/>
      <c r="G204" s="1088"/>
      <c r="H204" s="1088"/>
      <c r="I204" s="1088"/>
      <c r="J204" s="1088"/>
      <c r="K204" s="1088"/>
      <c r="L204" s="1088" t="s">
        <v>99</v>
      </c>
      <c r="M204" s="1088"/>
    </row>
    <row r="205" spans="1:15" ht="13.5" thickBot="1">
      <c r="A205" s="1339" t="s">
        <v>630</v>
      </c>
      <c r="B205" s="1386" t="s">
        <v>631</v>
      </c>
      <c r="C205" s="1363" t="s">
        <v>831</v>
      </c>
      <c r="D205" s="1366" t="s">
        <v>632</v>
      </c>
      <c r="E205" s="1367"/>
      <c r="F205" s="1344" t="s">
        <v>633</v>
      </c>
      <c r="G205" s="1345"/>
      <c r="H205" s="1345"/>
      <c r="I205" s="1345"/>
      <c r="J205" s="1345"/>
      <c r="K205" s="1345"/>
      <c r="L205" s="1346"/>
      <c r="M205" s="726" t="s">
        <v>635</v>
      </c>
    </row>
    <row r="206" spans="1:15">
      <c r="A206" s="1340"/>
      <c r="B206" s="1387"/>
      <c r="C206" s="1364"/>
      <c r="D206" s="1368"/>
      <c r="E206" s="1331"/>
      <c r="F206" s="1364" t="s">
        <v>638</v>
      </c>
      <c r="G206" s="1342" t="s">
        <v>634</v>
      </c>
      <c r="H206" s="1343"/>
      <c r="I206" s="1343"/>
      <c r="J206" s="1343"/>
      <c r="K206" s="1388" t="s">
        <v>806</v>
      </c>
      <c r="L206" s="1361" t="s">
        <v>415</v>
      </c>
      <c r="M206" s="335"/>
    </row>
    <row r="207" spans="1:15" ht="18">
      <c r="A207" s="1340"/>
      <c r="B207" s="1387"/>
      <c r="C207" s="1364"/>
      <c r="D207" s="1368"/>
      <c r="E207" s="1331"/>
      <c r="F207" s="1364"/>
      <c r="G207" s="280" t="s">
        <v>293</v>
      </c>
      <c r="H207" s="1348" t="s">
        <v>292</v>
      </c>
      <c r="I207" s="1349"/>
      <c r="J207" s="1349"/>
      <c r="K207" s="1336"/>
      <c r="L207" s="1361"/>
      <c r="M207" s="335"/>
    </row>
    <row r="208" spans="1:15" ht="32.450000000000003" customHeight="1">
      <c r="A208" s="1341"/>
      <c r="B208" s="1387"/>
      <c r="C208" s="1365"/>
      <c r="D208" s="731" t="s">
        <v>636</v>
      </c>
      <c r="E208" s="371" t="s">
        <v>637</v>
      </c>
      <c r="F208" s="1364"/>
      <c r="G208" s="372" t="s">
        <v>639</v>
      </c>
      <c r="H208" s="373" t="s">
        <v>640</v>
      </c>
      <c r="I208" s="374" t="s">
        <v>296</v>
      </c>
      <c r="J208" s="374" t="s">
        <v>641</v>
      </c>
      <c r="K208" s="1389"/>
      <c r="L208" s="1361"/>
      <c r="M208" s="375" t="s">
        <v>643</v>
      </c>
    </row>
    <row r="209" spans="1:14" ht="25.5" thickBot="1">
      <c r="A209" s="652">
        <v>1</v>
      </c>
      <c r="B209" s="1028" t="s">
        <v>1253</v>
      </c>
      <c r="C209" s="1029">
        <v>9</v>
      </c>
      <c r="D209" s="1033">
        <v>700</v>
      </c>
      <c r="E209" s="1033">
        <f>D209*10</f>
        <v>7000</v>
      </c>
      <c r="F209" s="498">
        <f>D209*0.7</f>
        <v>489.99999999999994</v>
      </c>
      <c r="G209" s="1034">
        <f>(E209+K209)*6.75%</f>
        <v>472.50000000000006</v>
      </c>
      <c r="H209" s="736">
        <f>(E209+K209)*7.5%</f>
        <v>525</v>
      </c>
      <c r="I209" s="736"/>
      <c r="J209" s="1034"/>
      <c r="K209" s="1034"/>
      <c r="L209" s="1034">
        <f>SUM(F209:K209)</f>
        <v>1487.5</v>
      </c>
      <c r="M209" s="736">
        <f>L209+E209</f>
        <v>8487.5</v>
      </c>
      <c r="N209" s="300"/>
    </row>
    <row r="210" spans="1:14" ht="13.5" thickBot="1">
      <c r="A210" s="1030" t="s">
        <v>415</v>
      </c>
      <c r="B210" s="1031"/>
      <c r="C210" s="1032"/>
      <c r="D210" s="1035">
        <f>SUM(D209)</f>
        <v>700</v>
      </c>
      <c r="E210" s="1036">
        <f t="shared" ref="E210:M210" si="67">SUM(E209)</f>
        <v>7000</v>
      </c>
      <c r="F210" s="1036">
        <f t="shared" si="67"/>
        <v>489.99999999999994</v>
      </c>
      <c r="G210" s="1036">
        <f t="shared" si="67"/>
        <v>472.50000000000006</v>
      </c>
      <c r="H210" s="1036">
        <f t="shared" si="67"/>
        <v>525</v>
      </c>
      <c r="I210" s="1036">
        <f t="shared" si="67"/>
        <v>0</v>
      </c>
      <c r="J210" s="1036">
        <f t="shared" si="67"/>
        <v>0</v>
      </c>
      <c r="K210" s="1036">
        <f t="shared" si="67"/>
        <v>0</v>
      </c>
      <c r="L210" s="1036">
        <f t="shared" si="67"/>
        <v>1487.5</v>
      </c>
      <c r="M210" s="1037">
        <f t="shared" si="67"/>
        <v>8487.5</v>
      </c>
    </row>
    <row r="216" spans="1:14" hidden="1"/>
    <row r="217" spans="1:14" hidden="1"/>
    <row r="218" spans="1:14" hidden="1"/>
    <row r="219" spans="1:14" hidden="1"/>
    <row r="220" spans="1:14" hidden="1"/>
    <row r="221" spans="1:14" hidden="1"/>
    <row r="222" spans="1:14" ht="39.75" hidden="1" customHeight="1"/>
    <row r="223" spans="1:14" s="724" customFormat="1">
      <c r="A223" s="92"/>
      <c r="B223" s="774"/>
      <c r="C223" s="279"/>
      <c r="D223" s="732"/>
      <c r="E223" s="92"/>
      <c r="F223" s="529"/>
      <c r="G223" s="92"/>
      <c r="H223" s="92"/>
      <c r="I223" s="92"/>
      <c r="J223" s="92"/>
      <c r="K223" s="92"/>
      <c r="L223" s="92"/>
      <c r="M223" s="300"/>
    </row>
    <row r="224" spans="1:14">
      <c r="A224" s="1329" t="s">
        <v>597</v>
      </c>
      <c r="B224" s="1329"/>
      <c r="C224" s="1329"/>
      <c r="D224" s="1329"/>
      <c r="E224" s="1329"/>
      <c r="F224" s="1329"/>
      <c r="G224" s="1329"/>
      <c r="H224" s="1329"/>
      <c r="I224" s="1329"/>
      <c r="J224" s="1329"/>
      <c r="K224" s="1329"/>
      <c r="L224" s="1329"/>
      <c r="M224" s="1329"/>
    </row>
    <row r="225" spans="1:13">
      <c r="A225" s="1329" t="s">
        <v>598</v>
      </c>
      <c r="B225" s="1329"/>
      <c r="C225" s="1329"/>
      <c r="D225" s="1329"/>
      <c r="E225" s="1329"/>
      <c r="F225" s="1329"/>
      <c r="G225" s="1329"/>
      <c r="H225" s="1329"/>
      <c r="I225" s="1329"/>
      <c r="J225" s="1329"/>
      <c r="K225" s="1329"/>
      <c r="L225" s="1329"/>
      <c r="M225" s="1329"/>
    </row>
    <row r="226" spans="1:13">
      <c r="A226" s="1329" t="str">
        <f xml:space="preserve"> A3</f>
        <v>PROYECCION DE RECURSOS HUMANOS  PARA EL AÑO 2017</v>
      </c>
      <c r="B226" s="1329"/>
      <c r="C226" s="1329"/>
      <c r="D226" s="1329"/>
      <c r="E226" s="1329"/>
      <c r="F226" s="1329"/>
      <c r="G226" s="1329"/>
      <c r="H226" s="1329"/>
      <c r="I226" s="1329"/>
      <c r="J226" s="1329"/>
      <c r="K226" s="1329"/>
      <c r="L226" s="1329"/>
      <c r="M226" s="1329"/>
    </row>
    <row r="227" spans="1:13" ht="13.5" thickBot="1">
      <c r="A227" s="1088"/>
      <c r="B227" s="766"/>
      <c r="C227" s="1088"/>
      <c r="D227" s="730"/>
      <c r="E227" s="1088"/>
      <c r="F227" s="527"/>
      <c r="G227" s="1088"/>
      <c r="H227" s="1088"/>
      <c r="I227" s="1088"/>
      <c r="J227" s="1088"/>
      <c r="K227" s="1088"/>
      <c r="L227" s="1088" t="s">
        <v>99</v>
      </c>
      <c r="M227" s="1088"/>
    </row>
    <row r="228" spans="1:13" ht="13.5" thickBot="1">
      <c r="A228" s="1339" t="s">
        <v>630</v>
      </c>
      <c r="B228" s="1386" t="s">
        <v>631</v>
      </c>
      <c r="C228" s="1363" t="s">
        <v>831</v>
      </c>
      <c r="D228" s="1366" t="s">
        <v>632</v>
      </c>
      <c r="E228" s="1367"/>
      <c r="F228" s="1344" t="s">
        <v>633</v>
      </c>
      <c r="G228" s="1345"/>
      <c r="H228" s="1345"/>
      <c r="I228" s="1345"/>
      <c r="J228" s="1345"/>
      <c r="K228" s="1345"/>
      <c r="L228" s="1346"/>
      <c r="M228" s="726" t="s">
        <v>635</v>
      </c>
    </row>
    <row r="229" spans="1:13">
      <c r="A229" s="1340"/>
      <c r="B229" s="1387"/>
      <c r="C229" s="1364"/>
      <c r="D229" s="1368"/>
      <c r="E229" s="1331"/>
      <c r="F229" s="1364" t="s">
        <v>638</v>
      </c>
      <c r="G229" s="1342" t="s">
        <v>634</v>
      </c>
      <c r="H229" s="1343"/>
      <c r="I229" s="1343"/>
      <c r="J229" s="1343"/>
      <c r="K229" s="1388" t="s">
        <v>806</v>
      </c>
      <c r="L229" s="1361" t="s">
        <v>415</v>
      </c>
      <c r="M229" s="335"/>
    </row>
    <row r="230" spans="1:13" ht="18">
      <c r="A230" s="1340"/>
      <c r="B230" s="1387"/>
      <c r="C230" s="1364"/>
      <c r="D230" s="1368"/>
      <c r="E230" s="1331"/>
      <c r="F230" s="1364"/>
      <c r="G230" s="280" t="s">
        <v>293</v>
      </c>
      <c r="H230" s="1348" t="s">
        <v>292</v>
      </c>
      <c r="I230" s="1349"/>
      <c r="J230" s="1349"/>
      <c r="K230" s="1336"/>
      <c r="L230" s="1361"/>
      <c r="M230" s="335"/>
    </row>
    <row r="231" spans="1:13">
      <c r="A231" s="1341"/>
      <c r="B231" s="1387"/>
      <c r="C231" s="1365"/>
      <c r="D231" s="731" t="s">
        <v>636</v>
      </c>
      <c r="E231" s="371" t="s">
        <v>637</v>
      </c>
      <c r="F231" s="1364"/>
      <c r="G231" s="372" t="s">
        <v>639</v>
      </c>
      <c r="H231" s="373" t="s">
        <v>640</v>
      </c>
      <c r="I231" s="374" t="s">
        <v>296</v>
      </c>
      <c r="J231" s="374" t="s">
        <v>641</v>
      </c>
      <c r="K231" s="1389"/>
      <c r="L231" s="1361"/>
      <c r="M231" s="375" t="s">
        <v>643</v>
      </c>
    </row>
    <row r="232" spans="1:13" ht="14.25" thickBot="1">
      <c r="A232" s="652">
        <v>1</v>
      </c>
      <c r="B232" s="1028" t="s">
        <v>1239</v>
      </c>
      <c r="C232" s="1029">
        <v>9</v>
      </c>
      <c r="D232" s="1033">
        <v>550</v>
      </c>
      <c r="E232" s="1033">
        <f>D232*12</f>
        <v>6600</v>
      </c>
      <c r="F232" s="498">
        <f>D232*0.8</f>
        <v>440</v>
      </c>
      <c r="G232" s="1034">
        <f>(E232+K232)*6.75%</f>
        <v>445.50000000000006</v>
      </c>
      <c r="H232" s="736">
        <f>(E232+K232)*7.5%</f>
        <v>495</v>
      </c>
      <c r="I232" s="736"/>
      <c r="J232" s="1034"/>
      <c r="K232" s="1034"/>
      <c r="L232" s="1034">
        <f>SUM(F232:K232)</f>
        <v>1380.5</v>
      </c>
      <c r="M232" s="736">
        <f>L232+E232</f>
        <v>7980.5</v>
      </c>
    </row>
    <row r="233" spans="1:13" ht="13.5" thickBot="1">
      <c r="A233" s="1030" t="s">
        <v>415</v>
      </c>
      <c r="B233" s="1031"/>
      <c r="C233" s="1032"/>
      <c r="D233" s="1035">
        <f>SUM(D232)</f>
        <v>550</v>
      </c>
      <c r="E233" s="1036">
        <f t="shared" ref="E233:M233" si="68">SUM(E232)</f>
        <v>6600</v>
      </c>
      <c r="F233" s="1036">
        <f t="shared" si="68"/>
        <v>440</v>
      </c>
      <c r="G233" s="1036">
        <f t="shared" si="68"/>
        <v>445.50000000000006</v>
      </c>
      <c r="H233" s="1036">
        <f t="shared" si="68"/>
        <v>495</v>
      </c>
      <c r="I233" s="1036">
        <f t="shared" si="68"/>
        <v>0</v>
      </c>
      <c r="J233" s="1036">
        <f t="shared" si="68"/>
        <v>0</v>
      </c>
      <c r="K233" s="1036">
        <f t="shared" si="68"/>
        <v>0</v>
      </c>
      <c r="L233" s="1036">
        <f t="shared" si="68"/>
        <v>1380.5</v>
      </c>
      <c r="M233" s="1037">
        <f t="shared" si="68"/>
        <v>7980.5</v>
      </c>
    </row>
    <row r="235" spans="1:13">
      <c r="M235" s="300"/>
    </row>
    <row r="238" spans="1:13">
      <c r="B238" s="92"/>
      <c r="C238" s="92"/>
      <c r="D238" s="92"/>
      <c r="F238" s="92"/>
    </row>
    <row r="239" spans="1:13">
      <c r="B239" s="92"/>
      <c r="C239" s="92"/>
      <c r="D239" s="92"/>
      <c r="F239" s="92"/>
    </row>
    <row r="240" spans="1:13">
      <c r="B240" s="92"/>
      <c r="C240" s="92"/>
      <c r="D240" s="92"/>
      <c r="F240" s="92"/>
    </row>
    <row r="241" spans="2:6">
      <c r="B241" s="92"/>
      <c r="C241" s="92"/>
      <c r="D241" s="92"/>
      <c r="F241" s="92"/>
    </row>
    <row r="242" spans="2:6">
      <c r="B242" s="92"/>
      <c r="C242" s="92"/>
      <c r="D242" s="92"/>
      <c r="F242" s="92"/>
    </row>
    <row r="243" spans="2:6">
      <c r="B243" s="92"/>
      <c r="C243" s="92"/>
      <c r="D243" s="92"/>
      <c r="F243" s="92"/>
    </row>
    <row r="244" spans="2:6">
      <c r="B244" s="92"/>
      <c r="C244" s="92"/>
      <c r="D244" s="92"/>
      <c r="F244" s="92"/>
    </row>
    <row r="245" spans="2:6">
      <c r="B245" s="92"/>
      <c r="C245" s="92"/>
      <c r="D245" s="92"/>
      <c r="F245" s="92"/>
    </row>
    <row r="246" spans="2:6">
      <c r="B246" s="92"/>
      <c r="C246" s="92"/>
      <c r="D246" s="92"/>
      <c r="F246" s="92"/>
    </row>
    <row r="247" spans="2:6">
      <c r="B247" s="92"/>
      <c r="C247" s="92"/>
      <c r="D247" s="92"/>
      <c r="F247" s="92"/>
    </row>
    <row r="249" spans="2:6">
      <c r="B249" s="92"/>
      <c r="C249" s="92"/>
      <c r="D249" s="92"/>
      <c r="F249" s="92"/>
    </row>
    <row r="250" spans="2:6" hidden="1">
      <c r="D250" s="1402">
        <f>M70+M142+L160+M199+M210+M233</f>
        <v>875199.62450000015</v>
      </c>
      <c r="E250" s="1402"/>
    </row>
  </sheetData>
  <autoFilter ref="F1:F250"/>
  <mergeCells count="103">
    <mergeCell ref="A202:M202"/>
    <mergeCell ref="A203:M203"/>
    <mergeCell ref="A205:A208"/>
    <mergeCell ref="B205:B208"/>
    <mergeCell ref="C205:C208"/>
    <mergeCell ref="D205:E207"/>
    <mergeCell ref="F205:L205"/>
    <mergeCell ref="F206:F208"/>
    <mergeCell ref="G206:J206"/>
    <mergeCell ref="K206:K208"/>
    <mergeCell ref="L206:L208"/>
    <mergeCell ref="H207:J207"/>
    <mergeCell ref="D250:E250"/>
    <mergeCell ref="A149:M149"/>
    <mergeCell ref="A150:M150"/>
    <mergeCell ref="A151:M151"/>
    <mergeCell ref="A153:A156"/>
    <mergeCell ref="B153:B156"/>
    <mergeCell ref="C153:C156"/>
    <mergeCell ref="G154:J154"/>
    <mergeCell ref="K154:K156"/>
    <mergeCell ref="L154:L156"/>
    <mergeCell ref="H155:J155"/>
    <mergeCell ref="A224:M224"/>
    <mergeCell ref="A225:M225"/>
    <mergeCell ref="A226:M226"/>
    <mergeCell ref="A228:A231"/>
    <mergeCell ref="A179:M179"/>
    <mergeCell ref="L182:L184"/>
    <mergeCell ref="H183:J183"/>
    <mergeCell ref="K182:K184"/>
    <mergeCell ref="G182:J182"/>
    <mergeCell ref="E156:F156"/>
    <mergeCell ref="D153:F155"/>
    <mergeCell ref="E157:F157"/>
    <mergeCell ref="A201:M201"/>
    <mergeCell ref="A88:M88"/>
    <mergeCell ref="A89:M89"/>
    <mergeCell ref="A90:M90"/>
    <mergeCell ref="A92:A95"/>
    <mergeCell ref="B92:B95"/>
    <mergeCell ref="C92:C95"/>
    <mergeCell ref="D92:E94"/>
    <mergeCell ref="F92:L92"/>
    <mergeCell ref="F93:F95"/>
    <mergeCell ref="G93:J93"/>
    <mergeCell ref="A47:A50"/>
    <mergeCell ref="B47:B50"/>
    <mergeCell ref="C47:C50"/>
    <mergeCell ref="D47:E49"/>
    <mergeCell ref="F47:L47"/>
    <mergeCell ref="F48:F50"/>
    <mergeCell ref="G48:J48"/>
    <mergeCell ref="L48:L50"/>
    <mergeCell ref="H49:J49"/>
    <mergeCell ref="A141:C141"/>
    <mergeCell ref="A142:L142"/>
    <mergeCell ref="K48:K50"/>
    <mergeCell ref="A44:M44"/>
    <mergeCell ref="A1:M1"/>
    <mergeCell ref="A2:M2"/>
    <mergeCell ref="A3:M3"/>
    <mergeCell ref="A5:A8"/>
    <mergeCell ref="B5:B8"/>
    <mergeCell ref="C5:C8"/>
    <mergeCell ref="D5:E7"/>
    <mergeCell ref="F5:L5"/>
    <mergeCell ref="F6:F8"/>
    <mergeCell ref="G6:J6"/>
    <mergeCell ref="L6:L8"/>
    <mergeCell ref="H7:J7"/>
    <mergeCell ref="A37:C37"/>
    <mergeCell ref="A43:M43"/>
    <mergeCell ref="K6:K8"/>
    <mergeCell ref="A51:C51"/>
    <mergeCell ref="K93:K95"/>
    <mergeCell ref="L93:L95"/>
    <mergeCell ref="H94:J94"/>
    <mergeCell ref="A45:M45"/>
    <mergeCell ref="E158:F158"/>
    <mergeCell ref="G153:K153"/>
    <mergeCell ref="L159:M159"/>
    <mergeCell ref="L160:M160"/>
    <mergeCell ref="L161:M161"/>
    <mergeCell ref="B228:B231"/>
    <mergeCell ref="C228:C231"/>
    <mergeCell ref="D228:E230"/>
    <mergeCell ref="F228:L228"/>
    <mergeCell ref="F229:F231"/>
    <mergeCell ref="G229:J229"/>
    <mergeCell ref="K229:K231"/>
    <mergeCell ref="L229:L231"/>
    <mergeCell ref="H230:J230"/>
    <mergeCell ref="A198:B198"/>
    <mergeCell ref="A199:L199"/>
    <mergeCell ref="A181:A184"/>
    <mergeCell ref="B181:B184"/>
    <mergeCell ref="C181:C184"/>
    <mergeCell ref="D181:E183"/>
    <mergeCell ref="F181:L181"/>
    <mergeCell ref="A177:M177"/>
    <mergeCell ref="A178:M178"/>
    <mergeCell ref="F182:F184"/>
  </mergeCells>
  <pageMargins left="0.36" right="0.17" top="0.33" bottom="0.33" header="0" footer="0"/>
  <pageSetup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CARAT</vt:lpstr>
      <vt:lpstr>Decreto</vt:lpstr>
      <vt:lpstr>PRESU.INSTITUCIONAL</vt:lpstr>
      <vt:lpstr>ESTR. PRES</vt:lpstr>
      <vt:lpstr>LT</vt:lpstr>
      <vt:lpstr>CEP</vt:lpstr>
      <vt:lpstr>SUELDOS </vt:lpstr>
      <vt:lpstr>SUELDOS PROYECTADOS2012</vt:lpstr>
      <vt:lpstr>SUELDOS APROBADOS 2017</vt:lpstr>
      <vt:lpstr>Remurac. X Lt</vt:lpstr>
      <vt:lpstr>Plan 1</vt:lpstr>
      <vt:lpstr>Plan 2</vt:lpstr>
      <vt:lpstr>Plan 3</vt:lpstr>
      <vt:lpstr>Plan 4</vt:lpstr>
      <vt:lpstr>Plan 5</vt:lpstr>
      <vt:lpstr>Plan 8</vt:lpstr>
      <vt:lpstr>Plan 10</vt:lpstr>
      <vt:lpstr>Plan 12</vt:lpstr>
      <vt:lpstr>Plan 13</vt:lpstr>
      <vt:lpstr>desagregacion de ctas.</vt:lpstr>
      <vt:lpstr>comparativo de ingresos</vt:lpstr>
      <vt:lpstr>comparativo egresos</vt:lpstr>
      <vt:lpstr>Flujo de caja año 2010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Adelaida</cp:lastModifiedBy>
  <cp:lastPrinted>2017-03-10T20:13:33Z</cp:lastPrinted>
  <dcterms:created xsi:type="dcterms:W3CDTF">2003-05-13T17:03:48Z</dcterms:created>
  <dcterms:modified xsi:type="dcterms:W3CDTF">2017-12-05T17:06:57Z</dcterms:modified>
</cp:coreProperties>
</file>