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nformacion Oficiosa\4. Presupuesto\2017\"/>
    </mc:Choice>
  </mc:AlternateContent>
  <bookViews>
    <workbookView xWindow="0" yWindow="60" windowWidth="15600" windowHeight="7590" tabRatio="730"/>
  </bookViews>
  <sheets>
    <sheet name="Ingresos" sheetId="8" r:id="rId1"/>
    <sheet name="FODES25%" sheetId="3" r:id="rId2"/>
    <sheet name="FODES 75% (2)" sheetId="19" r:id="rId3"/>
    <sheet name="Fondos Propios (2)" sheetId="20" r:id="rId4"/>
  </sheets>
  <definedNames>
    <definedName name="_xlnm.Print_Titles" localSheetId="0">Ingresos!$1:$8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19" l="1"/>
  <c r="S126" i="20" l="1"/>
  <c r="S125" i="20" s="1"/>
  <c r="S124" i="20" s="1"/>
  <c r="N126" i="20"/>
  <c r="G126" i="20"/>
  <c r="G125" i="20" s="1"/>
  <c r="G124" i="20" s="1"/>
  <c r="R125" i="20"/>
  <c r="R124" i="20" s="1"/>
  <c r="Q125" i="20"/>
  <c r="Q124" i="20" s="1"/>
  <c r="P125" i="20"/>
  <c r="P124" i="20" s="1"/>
  <c r="O125" i="20"/>
  <c r="O124" i="20" s="1"/>
  <c r="N125" i="20"/>
  <c r="N124" i="20" s="1"/>
  <c r="M125" i="20"/>
  <c r="M124" i="20" s="1"/>
  <c r="L125" i="20"/>
  <c r="L124" i="20" s="1"/>
  <c r="K125" i="20"/>
  <c r="J125" i="20"/>
  <c r="J124" i="20" s="1"/>
  <c r="I125" i="20"/>
  <c r="H125" i="20"/>
  <c r="H124" i="20" s="1"/>
  <c r="F125" i="20"/>
  <c r="F124" i="20" s="1"/>
  <c r="E125" i="20"/>
  <c r="E124" i="20" s="1"/>
  <c r="D125" i="20"/>
  <c r="D124" i="20" s="1"/>
  <c r="K124" i="20"/>
  <c r="I124" i="20"/>
  <c r="S123" i="20"/>
  <c r="S122" i="20" s="1"/>
  <c r="S121" i="20" s="1"/>
  <c r="N123" i="20"/>
  <c r="N122" i="20" s="1"/>
  <c r="N121" i="20" s="1"/>
  <c r="G123" i="20"/>
  <c r="R122" i="20"/>
  <c r="R121" i="20" s="1"/>
  <c r="Q122" i="20"/>
  <c r="P122" i="20"/>
  <c r="P121" i="20" s="1"/>
  <c r="O122" i="20"/>
  <c r="O121" i="20" s="1"/>
  <c r="M122" i="20"/>
  <c r="M121" i="20" s="1"/>
  <c r="L122" i="20"/>
  <c r="L121" i="20" s="1"/>
  <c r="K122" i="20"/>
  <c r="K121" i="20" s="1"/>
  <c r="J122" i="20"/>
  <c r="J121" i="20" s="1"/>
  <c r="I122" i="20"/>
  <c r="I121" i="20" s="1"/>
  <c r="H122" i="20"/>
  <c r="G122" i="20"/>
  <c r="G121" i="20" s="1"/>
  <c r="F122" i="20"/>
  <c r="F121" i="20" s="1"/>
  <c r="E122" i="20"/>
  <c r="E121" i="20" s="1"/>
  <c r="D122" i="20"/>
  <c r="Q121" i="20"/>
  <c r="H121" i="20"/>
  <c r="D121" i="20"/>
  <c r="S120" i="20"/>
  <c r="N120" i="20"/>
  <c r="G120" i="20"/>
  <c r="S119" i="20"/>
  <c r="N119" i="20"/>
  <c r="G119" i="20"/>
  <c r="S118" i="20"/>
  <c r="N118" i="20"/>
  <c r="G118" i="20"/>
  <c r="S117" i="20"/>
  <c r="N117" i="20"/>
  <c r="G117" i="20"/>
  <c r="S116" i="20"/>
  <c r="N116" i="20"/>
  <c r="G116" i="20"/>
  <c r="S115" i="20"/>
  <c r="N115" i="20"/>
  <c r="G115" i="20"/>
  <c r="S114" i="20"/>
  <c r="N114" i="20"/>
  <c r="G114" i="20"/>
  <c r="R113" i="20"/>
  <c r="Q113" i="20"/>
  <c r="P113" i="20"/>
  <c r="O113" i="20"/>
  <c r="M113" i="20"/>
  <c r="L113" i="20"/>
  <c r="K113" i="20"/>
  <c r="J113" i="20"/>
  <c r="I113" i="20"/>
  <c r="H113" i="20"/>
  <c r="F113" i="20"/>
  <c r="E113" i="20"/>
  <c r="D113" i="20"/>
  <c r="S112" i="20"/>
  <c r="S111" i="20" s="1"/>
  <c r="N112" i="20"/>
  <c r="N111" i="20" s="1"/>
  <c r="G112" i="20"/>
  <c r="G111" i="20" s="1"/>
  <c r="R111" i="20"/>
  <c r="Q111" i="20"/>
  <c r="P111" i="20"/>
  <c r="O111" i="20"/>
  <c r="M111" i="20"/>
  <c r="L111" i="20"/>
  <c r="K111" i="20"/>
  <c r="J111" i="20"/>
  <c r="I111" i="20"/>
  <c r="H111" i="20"/>
  <c r="F111" i="20"/>
  <c r="E111" i="20"/>
  <c r="D111" i="20"/>
  <c r="S110" i="20"/>
  <c r="S109" i="20" s="1"/>
  <c r="N110" i="20"/>
  <c r="N109" i="20" s="1"/>
  <c r="G110" i="20"/>
  <c r="R109" i="20"/>
  <c r="Q109" i="20"/>
  <c r="P109" i="20"/>
  <c r="O109" i="20"/>
  <c r="M109" i="20"/>
  <c r="L109" i="20"/>
  <c r="K109" i="20"/>
  <c r="J109" i="20"/>
  <c r="I109" i="20"/>
  <c r="H109" i="20"/>
  <c r="G109" i="20"/>
  <c r="F109" i="20"/>
  <c r="E109" i="20"/>
  <c r="D109" i="20"/>
  <c r="S108" i="20"/>
  <c r="N108" i="20"/>
  <c r="G108" i="20"/>
  <c r="S107" i="20"/>
  <c r="N107" i="20"/>
  <c r="G107" i="20"/>
  <c r="S106" i="20"/>
  <c r="N106" i="20"/>
  <c r="G106" i="20"/>
  <c r="R105" i="20"/>
  <c r="Q105" i="20"/>
  <c r="P105" i="20"/>
  <c r="O105" i="20"/>
  <c r="M105" i="20"/>
  <c r="L105" i="20"/>
  <c r="K105" i="20"/>
  <c r="J105" i="20"/>
  <c r="I105" i="20"/>
  <c r="H105" i="20"/>
  <c r="F105" i="20"/>
  <c r="E105" i="20"/>
  <c r="D105" i="20"/>
  <c r="S103" i="20"/>
  <c r="G103" i="20"/>
  <c r="S102" i="20"/>
  <c r="S101" i="20"/>
  <c r="G101" i="20"/>
  <c r="S100" i="20"/>
  <c r="G100" i="20"/>
  <c r="R99" i="20"/>
  <c r="Q99" i="20"/>
  <c r="P99" i="20"/>
  <c r="O99" i="20"/>
  <c r="N99" i="20"/>
  <c r="M99" i="20"/>
  <c r="L99" i="20"/>
  <c r="K99" i="20"/>
  <c r="J99" i="20"/>
  <c r="I99" i="20"/>
  <c r="H99" i="20"/>
  <c r="F99" i="20"/>
  <c r="E99" i="20"/>
  <c r="D99" i="20"/>
  <c r="R98" i="20"/>
  <c r="P98" i="20"/>
  <c r="P97" i="20" s="1"/>
  <c r="P96" i="20" s="1"/>
  <c r="O98" i="20"/>
  <c r="D98" i="20"/>
  <c r="G98" i="20" s="1"/>
  <c r="G97" i="20" s="1"/>
  <c r="R97" i="20"/>
  <c r="R96" i="20" s="1"/>
  <c r="Q97" i="20"/>
  <c r="N97" i="20"/>
  <c r="M97" i="20"/>
  <c r="L97" i="20"/>
  <c r="K97" i="20"/>
  <c r="J97" i="20"/>
  <c r="I97" i="20"/>
  <c r="H97" i="20"/>
  <c r="F97" i="20"/>
  <c r="F96" i="20" s="1"/>
  <c r="E97" i="20"/>
  <c r="E96" i="20" s="1"/>
  <c r="S95" i="20"/>
  <c r="G95" i="20"/>
  <c r="G93" i="20" s="1"/>
  <c r="S94" i="20"/>
  <c r="G94" i="20"/>
  <c r="R93" i="20"/>
  <c r="Q93" i="20"/>
  <c r="P93" i="20"/>
  <c r="O93" i="20"/>
  <c r="N93" i="20"/>
  <c r="M93" i="20"/>
  <c r="L93" i="20"/>
  <c r="K93" i="20"/>
  <c r="J93" i="20"/>
  <c r="I93" i="20"/>
  <c r="H93" i="20"/>
  <c r="F93" i="20"/>
  <c r="E93" i="20"/>
  <c r="D93" i="20"/>
  <c r="D86" i="20" s="1"/>
  <c r="S92" i="20"/>
  <c r="G92" i="20"/>
  <c r="O91" i="20"/>
  <c r="O90" i="20" s="1"/>
  <c r="G91" i="20"/>
  <c r="G90" i="20" s="1"/>
  <c r="R90" i="20"/>
  <c r="Q90" i="20"/>
  <c r="P90" i="20"/>
  <c r="N90" i="20"/>
  <c r="M90" i="20"/>
  <c r="L90" i="20"/>
  <c r="K90" i="20"/>
  <c r="J90" i="20"/>
  <c r="J86" i="20" s="1"/>
  <c r="I90" i="20"/>
  <c r="H90" i="20"/>
  <c r="F90" i="20"/>
  <c r="F86" i="20" s="1"/>
  <c r="E90" i="20"/>
  <c r="D90" i="20"/>
  <c r="S89" i="20"/>
  <c r="G89" i="20"/>
  <c r="G87" i="20" s="1"/>
  <c r="S88" i="20"/>
  <c r="S87" i="20" s="1"/>
  <c r="G88" i="20"/>
  <c r="R87" i="20"/>
  <c r="Q87" i="20"/>
  <c r="P87" i="20"/>
  <c r="P86" i="20" s="1"/>
  <c r="O87" i="20"/>
  <c r="N87" i="20"/>
  <c r="M87" i="20"/>
  <c r="L87" i="20"/>
  <c r="L86" i="20" s="1"/>
  <c r="K87" i="20"/>
  <c r="J87" i="20"/>
  <c r="I87" i="20"/>
  <c r="H87" i="20"/>
  <c r="H86" i="20" s="1"/>
  <c r="F87" i="20"/>
  <c r="E87" i="20"/>
  <c r="D87" i="20"/>
  <c r="N86" i="20"/>
  <c r="S85" i="20"/>
  <c r="G85" i="20"/>
  <c r="G84" i="20" s="1"/>
  <c r="R84" i="20"/>
  <c r="Q84" i="20"/>
  <c r="P84" i="20"/>
  <c r="O84" i="20"/>
  <c r="N84" i="20"/>
  <c r="M84" i="20"/>
  <c r="L84" i="20"/>
  <c r="K84" i="20"/>
  <c r="J84" i="20"/>
  <c r="I84" i="20"/>
  <c r="H84" i="20"/>
  <c r="F84" i="20"/>
  <c r="E84" i="20"/>
  <c r="D84" i="20"/>
  <c r="S83" i="20"/>
  <c r="G83" i="20"/>
  <c r="S82" i="20"/>
  <c r="G82" i="20"/>
  <c r="S81" i="20"/>
  <c r="G81" i="20"/>
  <c r="S80" i="20"/>
  <c r="G80" i="20"/>
  <c r="S79" i="20"/>
  <c r="G79" i="20"/>
  <c r="R78" i="20"/>
  <c r="Q78" i="20"/>
  <c r="P78" i="20"/>
  <c r="O78" i="20"/>
  <c r="N78" i="20"/>
  <c r="M78" i="20"/>
  <c r="L78" i="20"/>
  <c r="K78" i="20"/>
  <c r="J78" i="20"/>
  <c r="I78" i="20"/>
  <c r="H78" i="20"/>
  <c r="F78" i="20"/>
  <c r="E78" i="20"/>
  <c r="D78" i="20"/>
  <c r="S77" i="20"/>
  <c r="G77" i="20"/>
  <c r="S76" i="20"/>
  <c r="G76" i="20"/>
  <c r="S75" i="20"/>
  <c r="G75" i="20"/>
  <c r="R74" i="20"/>
  <c r="Q74" i="20"/>
  <c r="P74" i="20"/>
  <c r="O74" i="20"/>
  <c r="N74" i="20"/>
  <c r="M74" i="20"/>
  <c r="L74" i="20"/>
  <c r="K74" i="20"/>
  <c r="J74" i="20"/>
  <c r="I74" i="20"/>
  <c r="H74" i="20"/>
  <c r="F74" i="20"/>
  <c r="E74" i="20"/>
  <c r="D74" i="20"/>
  <c r="S73" i="20"/>
  <c r="S72" i="20"/>
  <c r="N72" i="20"/>
  <c r="G72" i="20"/>
  <c r="S71" i="20"/>
  <c r="N71" i="20"/>
  <c r="G71" i="20"/>
  <c r="O70" i="20"/>
  <c r="N70" i="20"/>
  <c r="G70" i="20"/>
  <c r="S69" i="20"/>
  <c r="N69" i="20"/>
  <c r="G69" i="20"/>
  <c r="S68" i="20"/>
  <c r="N68" i="20"/>
  <c r="G68" i="20"/>
  <c r="S67" i="20"/>
  <c r="N67" i="20"/>
  <c r="G67" i="20"/>
  <c r="O66" i="20"/>
  <c r="S66" i="20" s="1"/>
  <c r="N66" i="20"/>
  <c r="G66" i="20"/>
  <c r="S65" i="20"/>
  <c r="N65" i="20"/>
  <c r="G65" i="20"/>
  <c r="S64" i="20"/>
  <c r="N64" i="20"/>
  <c r="G64" i="20"/>
  <c r="S63" i="20"/>
  <c r="N63" i="20"/>
  <c r="G63" i="20"/>
  <c r="R62" i="20"/>
  <c r="Q62" i="20"/>
  <c r="P62" i="20"/>
  <c r="M62" i="20"/>
  <c r="L62" i="20"/>
  <c r="K62" i="20"/>
  <c r="J62" i="20"/>
  <c r="I62" i="20"/>
  <c r="H62" i="20"/>
  <c r="F62" i="20"/>
  <c r="E62" i="20"/>
  <c r="D62" i="20"/>
  <c r="C62" i="20"/>
  <c r="S61" i="20"/>
  <c r="N61" i="20"/>
  <c r="G61" i="20"/>
  <c r="S60" i="20"/>
  <c r="N60" i="20"/>
  <c r="G60" i="20"/>
  <c r="S59" i="20"/>
  <c r="N59" i="20"/>
  <c r="C59" i="20"/>
  <c r="G59" i="20" s="1"/>
  <c r="S58" i="20"/>
  <c r="N58" i="20"/>
  <c r="C58" i="20"/>
  <c r="G58" i="20" s="1"/>
  <c r="S57" i="20"/>
  <c r="N57" i="20"/>
  <c r="G57" i="20"/>
  <c r="R56" i="20"/>
  <c r="Q56" i="20"/>
  <c r="P56" i="20"/>
  <c r="O56" i="20"/>
  <c r="M56" i="20"/>
  <c r="L56" i="20"/>
  <c r="K56" i="20"/>
  <c r="J56" i="20"/>
  <c r="I56" i="20"/>
  <c r="H56" i="20"/>
  <c r="F56" i="20"/>
  <c r="E56" i="20"/>
  <c r="D56" i="20"/>
  <c r="O55" i="20"/>
  <c r="S55" i="20" s="1"/>
  <c r="N55" i="20"/>
  <c r="G55" i="20"/>
  <c r="S54" i="20"/>
  <c r="N54" i="20"/>
  <c r="G54" i="20"/>
  <c r="S53" i="20"/>
  <c r="N53" i="20"/>
  <c r="G53" i="20"/>
  <c r="S52" i="20"/>
  <c r="N52" i="20"/>
  <c r="G52" i="20"/>
  <c r="S51" i="20"/>
  <c r="N51" i="20"/>
  <c r="G51" i="20"/>
  <c r="S50" i="20"/>
  <c r="N50" i="20"/>
  <c r="G50" i="20"/>
  <c r="O49" i="20"/>
  <c r="S49" i="20" s="1"/>
  <c r="N49" i="20"/>
  <c r="G49" i="20"/>
  <c r="O48" i="20"/>
  <c r="S48" i="20" s="1"/>
  <c r="N48" i="20"/>
  <c r="G48" i="20"/>
  <c r="O47" i="20"/>
  <c r="S47" i="20" s="1"/>
  <c r="N47" i="20"/>
  <c r="G47" i="20"/>
  <c r="S46" i="20"/>
  <c r="N46" i="20"/>
  <c r="G46" i="20"/>
  <c r="S45" i="20"/>
  <c r="N45" i="20"/>
  <c r="G45" i="20"/>
  <c r="S44" i="20"/>
  <c r="N44" i="20"/>
  <c r="G44" i="20"/>
  <c r="S43" i="20"/>
  <c r="N43" i="20"/>
  <c r="G43" i="20"/>
  <c r="S42" i="20"/>
  <c r="N42" i="20"/>
  <c r="G42" i="20"/>
  <c r="O41" i="20"/>
  <c r="N41" i="20"/>
  <c r="G41" i="20"/>
  <c r="O40" i="20"/>
  <c r="S40" i="20" s="1"/>
  <c r="N40" i="20"/>
  <c r="C40" i="20"/>
  <c r="G40" i="20" s="1"/>
  <c r="S39" i="20"/>
  <c r="N39" i="20"/>
  <c r="G39" i="20"/>
  <c r="O38" i="20"/>
  <c r="S38" i="20" s="1"/>
  <c r="N38" i="20"/>
  <c r="G38" i="20"/>
  <c r="R37" i="20"/>
  <c r="R36" i="20" s="1"/>
  <c r="Q37" i="20"/>
  <c r="P37" i="20"/>
  <c r="P36" i="20" s="1"/>
  <c r="M37" i="20"/>
  <c r="L37" i="20"/>
  <c r="K37" i="20"/>
  <c r="J37" i="20"/>
  <c r="J36" i="20" s="1"/>
  <c r="I37" i="20"/>
  <c r="H37" i="20"/>
  <c r="F37" i="20"/>
  <c r="E37" i="20"/>
  <c r="D37" i="20"/>
  <c r="S35" i="20"/>
  <c r="S34" i="20" s="1"/>
  <c r="N35" i="20"/>
  <c r="N34" i="20" s="1"/>
  <c r="G35" i="20"/>
  <c r="R34" i="20"/>
  <c r="Q34" i="20"/>
  <c r="P34" i="20"/>
  <c r="O34" i="20"/>
  <c r="M34" i="20"/>
  <c r="L34" i="20"/>
  <c r="K34" i="20"/>
  <c r="J34" i="20"/>
  <c r="I34" i="20"/>
  <c r="H34" i="20"/>
  <c r="G34" i="20"/>
  <c r="F34" i="20"/>
  <c r="E34" i="20"/>
  <c r="D34" i="20"/>
  <c r="C34" i="20"/>
  <c r="S33" i="20"/>
  <c r="N33" i="20"/>
  <c r="G33" i="20"/>
  <c r="S32" i="20"/>
  <c r="N32" i="20"/>
  <c r="G32" i="20"/>
  <c r="R31" i="20"/>
  <c r="Q31" i="20"/>
  <c r="P31" i="20"/>
  <c r="O31" i="20"/>
  <c r="M31" i="20"/>
  <c r="L31" i="20"/>
  <c r="K31" i="20"/>
  <c r="J31" i="20"/>
  <c r="I31" i="20"/>
  <c r="H31" i="20"/>
  <c r="F31" i="20"/>
  <c r="E31" i="20"/>
  <c r="D31" i="20"/>
  <c r="C31" i="20"/>
  <c r="S30" i="20"/>
  <c r="S29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S27" i="20"/>
  <c r="N27" i="20"/>
  <c r="G27" i="20"/>
  <c r="R26" i="20"/>
  <c r="R25" i="20" s="1"/>
  <c r="P26" i="20"/>
  <c r="N26" i="20"/>
  <c r="G26" i="20"/>
  <c r="G25" i="20" s="1"/>
  <c r="Q25" i="20"/>
  <c r="P25" i="20"/>
  <c r="O25" i="20"/>
  <c r="M25" i="20"/>
  <c r="L25" i="20"/>
  <c r="K25" i="20"/>
  <c r="J25" i="20"/>
  <c r="I25" i="20"/>
  <c r="H25" i="20"/>
  <c r="F25" i="20"/>
  <c r="E25" i="20"/>
  <c r="D25" i="20"/>
  <c r="C25" i="20"/>
  <c r="S24" i="20"/>
  <c r="N24" i="20"/>
  <c r="G24" i="20"/>
  <c r="R23" i="20"/>
  <c r="R22" i="20" s="1"/>
  <c r="P23" i="20"/>
  <c r="N23" i="20"/>
  <c r="G23" i="20"/>
  <c r="G22" i="20" s="1"/>
  <c r="Q22" i="20"/>
  <c r="P22" i="20"/>
  <c r="O22" i="20"/>
  <c r="M22" i="20"/>
  <c r="L22" i="20"/>
  <c r="K22" i="20"/>
  <c r="J22" i="20"/>
  <c r="I22" i="20"/>
  <c r="H22" i="20"/>
  <c r="F22" i="20"/>
  <c r="E22" i="20"/>
  <c r="D22" i="20"/>
  <c r="C22" i="20"/>
  <c r="S21" i="20"/>
  <c r="N21" i="20"/>
  <c r="G21" i="20"/>
  <c r="S20" i="20"/>
  <c r="N20" i="20"/>
  <c r="G20" i="20"/>
  <c r="O19" i="20"/>
  <c r="O18" i="20" s="1"/>
  <c r="N19" i="20"/>
  <c r="G19" i="20"/>
  <c r="R18" i="20"/>
  <c r="Q18" i="20"/>
  <c r="P18" i="20"/>
  <c r="M18" i="20"/>
  <c r="L18" i="20"/>
  <c r="K18" i="20"/>
  <c r="J18" i="20"/>
  <c r="I18" i="20"/>
  <c r="H18" i="20"/>
  <c r="F18" i="20"/>
  <c r="E18" i="20"/>
  <c r="D18" i="20"/>
  <c r="C18" i="20"/>
  <c r="S17" i="20"/>
  <c r="S16" i="20"/>
  <c r="S15" i="20"/>
  <c r="S14" i="20"/>
  <c r="N14" i="20"/>
  <c r="G14" i="20"/>
  <c r="S13" i="20"/>
  <c r="N13" i="20"/>
  <c r="F13" i="20"/>
  <c r="G13" i="20" s="1"/>
  <c r="Q12" i="20"/>
  <c r="Q11" i="20" s="1"/>
  <c r="P12" i="20"/>
  <c r="P11" i="20" s="1"/>
  <c r="P10" i="20" s="1"/>
  <c r="O12" i="20"/>
  <c r="O11" i="20" s="1"/>
  <c r="N12" i="20"/>
  <c r="F12" i="20"/>
  <c r="F11" i="20" s="1"/>
  <c r="F10" i="20" s="1"/>
  <c r="R11" i="20"/>
  <c r="M11" i="20"/>
  <c r="L11" i="20"/>
  <c r="K11" i="20"/>
  <c r="J11" i="20"/>
  <c r="I11" i="20"/>
  <c r="H11" i="20"/>
  <c r="E11" i="20"/>
  <c r="D11" i="20"/>
  <c r="C11" i="20"/>
  <c r="S121" i="19"/>
  <c r="N121" i="19"/>
  <c r="N120" i="19" s="1"/>
  <c r="N119" i="19" s="1"/>
  <c r="G121" i="19"/>
  <c r="G120" i="19" s="1"/>
  <c r="G119" i="19" s="1"/>
  <c r="R120" i="19"/>
  <c r="R119" i="19" s="1"/>
  <c r="Q120" i="19"/>
  <c r="Q119" i="19" s="1"/>
  <c r="P120" i="19"/>
  <c r="P119" i="19" s="1"/>
  <c r="O120" i="19"/>
  <c r="O119" i="19" s="1"/>
  <c r="M120" i="19"/>
  <c r="M119" i="19" s="1"/>
  <c r="L120" i="19"/>
  <c r="L119" i="19" s="1"/>
  <c r="K120" i="19"/>
  <c r="J120" i="19"/>
  <c r="J119" i="19" s="1"/>
  <c r="I120" i="19"/>
  <c r="I119" i="19" s="1"/>
  <c r="H120" i="19"/>
  <c r="H119" i="19" s="1"/>
  <c r="F120" i="19"/>
  <c r="F119" i="19" s="1"/>
  <c r="E120" i="19"/>
  <c r="E119" i="19" s="1"/>
  <c r="D120" i="19"/>
  <c r="D119" i="19" s="1"/>
  <c r="K119" i="19"/>
  <c r="S118" i="19"/>
  <c r="S117" i="19" s="1"/>
  <c r="S116" i="19" s="1"/>
  <c r="N118" i="19"/>
  <c r="G118" i="19"/>
  <c r="G117" i="19" s="1"/>
  <c r="G116" i="19" s="1"/>
  <c r="R117" i="19"/>
  <c r="R116" i="19" s="1"/>
  <c r="Q117" i="19"/>
  <c r="P117" i="19"/>
  <c r="P116" i="19" s="1"/>
  <c r="O117" i="19"/>
  <c r="O116" i="19" s="1"/>
  <c r="M117" i="19"/>
  <c r="M116" i="19" s="1"/>
  <c r="L117" i="19"/>
  <c r="L116" i="19" s="1"/>
  <c r="K117" i="19"/>
  <c r="K116" i="19" s="1"/>
  <c r="J117" i="19"/>
  <c r="J116" i="19" s="1"/>
  <c r="I117" i="19"/>
  <c r="H117" i="19"/>
  <c r="H116" i="19" s="1"/>
  <c r="F117" i="19"/>
  <c r="F116" i="19" s="1"/>
  <c r="E117" i="19"/>
  <c r="E116" i="19" s="1"/>
  <c r="D117" i="19"/>
  <c r="D116" i="19" s="1"/>
  <c r="Q116" i="19"/>
  <c r="I116" i="19"/>
  <c r="S115" i="19"/>
  <c r="N115" i="19"/>
  <c r="G115" i="19"/>
  <c r="S114" i="19"/>
  <c r="N114" i="19"/>
  <c r="G114" i="19"/>
  <c r="S113" i="19"/>
  <c r="N113" i="19"/>
  <c r="G113" i="19"/>
  <c r="S112" i="19"/>
  <c r="N112" i="19"/>
  <c r="G112" i="19"/>
  <c r="S111" i="19"/>
  <c r="N111" i="19"/>
  <c r="G111" i="19"/>
  <c r="S110" i="19"/>
  <c r="N110" i="19"/>
  <c r="G110" i="19"/>
  <c r="S109" i="19"/>
  <c r="N109" i="19"/>
  <c r="G109" i="19"/>
  <c r="R108" i="19"/>
  <c r="Q108" i="19"/>
  <c r="P108" i="19"/>
  <c r="O108" i="19"/>
  <c r="M108" i="19"/>
  <c r="L108" i="19"/>
  <c r="K108" i="19"/>
  <c r="J108" i="19"/>
  <c r="H108" i="19"/>
  <c r="F108" i="19"/>
  <c r="E108" i="19"/>
  <c r="D108" i="19"/>
  <c r="S107" i="19"/>
  <c r="S106" i="19" s="1"/>
  <c r="N107" i="19"/>
  <c r="T107" i="19" s="1"/>
  <c r="T106" i="19" s="1"/>
  <c r="G107" i="19"/>
  <c r="G106" i="19" s="1"/>
  <c r="R106" i="19"/>
  <c r="Q106" i="19"/>
  <c r="P106" i="19"/>
  <c r="O106" i="19"/>
  <c r="M106" i="19"/>
  <c r="L106" i="19"/>
  <c r="K106" i="19"/>
  <c r="J106" i="19"/>
  <c r="I106" i="19"/>
  <c r="H106" i="19"/>
  <c r="F106" i="19"/>
  <c r="E106" i="19"/>
  <c r="D106" i="19"/>
  <c r="S105" i="19"/>
  <c r="I104" i="19"/>
  <c r="G105" i="19"/>
  <c r="G104" i="19" s="1"/>
  <c r="R104" i="19"/>
  <c r="Q104" i="19"/>
  <c r="P104" i="19"/>
  <c r="O104" i="19"/>
  <c r="M104" i="19"/>
  <c r="L104" i="19"/>
  <c r="K104" i="19"/>
  <c r="J104" i="19"/>
  <c r="H104" i="19"/>
  <c r="F104" i="19"/>
  <c r="E104" i="19"/>
  <c r="D104" i="19"/>
  <c r="S103" i="19"/>
  <c r="N103" i="19"/>
  <c r="G103" i="19"/>
  <c r="T103" i="19" s="1"/>
  <c r="S102" i="19"/>
  <c r="N102" i="19"/>
  <c r="G102" i="19"/>
  <c r="S101" i="19"/>
  <c r="S100" i="19" s="1"/>
  <c r="N101" i="19"/>
  <c r="G101" i="19"/>
  <c r="R100" i="19"/>
  <c r="R99" i="19" s="1"/>
  <c r="Q100" i="19"/>
  <c r="P100" i="19"/>
  <c r="O100" i="19"/>
  <c r="N100" i="19"/>
  <c r="M100" i="19"/>
  <c r="M99" i="19" s="1"/>
  <c r="L100" i="19"/>
  <c r="K100" i="19"/>
  <c r="J100" i="19"/>
  <c r="I100" i="19"/>
  <c r="H100" i="19"/>
  <c r="F100" i="19"/>
  <c r="E100" i="19"/>
  <c r="D100" i="19"/>
  <c r="S98" i="19"/>
  <c r="G98" i="19"/>
  <c r="S97" i="19"/>
  <c r="G97" i="19"/>
  <c r="S96" i="19"/>
  <c r="G96" i="19"/>
  <c r="R95" i="19"/>
  <c r="Q95" i="19"/>
  <c r="P95" i="19"/>
  <c r="O95" i="19"/>
  <c r="N95" i="19"/>
  <c r="M95" i="19"/>
  <c r="L95" i="19"/>
  <c r="K95" i="19"/>
  <c r="J95" i="19"/>
  <c r="I95" i="19"/>
  <c r="H95" i="19"/>
  <c r="F95" i="19"/>
  <c r="E95" i="19"/>
  <c r="D95" i="19"/>
  <c r="R94" i="19"/>
  <c r="Q94" i="19"/>
  <c r="Q93" i="19" s="1"/>
  <c r="P94" i="19"/>
  <c r="O94" i="19"/>
  <c r="D94" i="19"/>
  <c r="R93" i="19"/>
  <c r="P93" i="19"/>
  <c r="O93" i="19"/>
  <c r="N93" i="19"/>
  <c r="M93" i="19"/>
  <c r="L93" i="19"/>
  <c r="K93" i="19"/>
  <c r="J93" i="19"/>
  <c r="I93" i="19"/>
  <c r="H93" i="19"/>
  <c r="F93" i="19"/>
  <c r="F92" i="19" s="1"/>
  <c r="E93" i="19"/>
  <c r="E92" i="19" s="1"/>
  <c r="S91" i="19"/>
  <c r="G91" i="19"/>
  <c r="S90" i="19"/>
  <c r="G90" i="19"/>
  <c r="R89" i="19"/>
  <c r="Q89" i="19"/>
  <c r="P89" i="19"/>
  <c r="O89" i="19"/>
  <c r="N89" i="19"/>
  <c r="M89" i="19"/>
  <c r="L89" i="19"/>
  <c r="K89" i="19"/>
  <c r="J89" i="19"/>
  <c r="I89" i="19"/>
  <c r="H89" i="19"/>
  <c r="F89" i="19"/>
  <c r="E89" i="19"/>
  <c r="D89" i="19"/>
  <c r="S88" i="19"/>
  <c r="G88" i="19"/>
  <c r="S87" i="19"/>
  <c r="G87" i="19"/>
  <c r="R86" i="19"/>
  <c r="Q86" i="19"/>
  <c r="P86" i="19"/>
  <c r="O86" i="19"/>
  <c r="O82" i="19" s="1"/>
  <c r="N86" i="19"/>
  <c r="M86" i="19"/>
  <c r="L86" i="19"/>
  <c r="K86" i="19"/>
  <c r="J86" i="19"/>
  <c r="I86" i="19"/>
  <c r="H86" i="19"/>
  <c r="F86" i="19"/>
  <c r="E86" i="19"/>
  <c r="D86" i="19"/>
  <c r="S85" i="19"/>
  <c r="G85" i="19"/>
  <c r="S84" i="19"/>
  <c r="G84" i="19"/>
  <c r="R83" i="19"/>
  <c r="Q83" i="19"/>
  <c r="Q82" i="19" s="1"/>
  <c r="P83" i="19"/>
  <c r="O83" i="19"/>
  <c r="N83" i="19"/>
  <c r="M83" i="19"/>
  <c r="M82" i="19" s="1"/>
  <c r="L83" i="19"/>
  <c r="K83" i="19"/>
  <c r="J83" i="19"/>
  <c r="I83" i="19"/>
  <c r="I82" i="19" s="1"/>
  <c r="H83" i="19"/>
  <c r="F83" i="19"/>
  <c r="E83" i="19"/>
  <c r="D83" i="19"/>
  <c r="D82" i="19" s="1"/>
  <c r="K82" i="19"/>
  <c r="S81" i="19"/>
  <c r="G81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F80" i="19"/>
  <c r="E80" i="19"/>
  <c r="D80" i="19"/>
  <c r="S79" i="19"/>
  <c r="G79" i="19"/>
  <c r="T79" i="19" s="1"/>
  <c r="S78" i="19"/>
  <c r="G78" i="19"/>
  <c r="S77" i="19"/>
  <c r="G77" i="19"/>
  <c r="S76" i="19"/>
  <c r="G76" i="19"/>
  <c r="S75" i="19"/>
  <c r="G75" i="19"/>
  <c r="R74" i="19"/>
  <c r="Q74" i="19"/>
  <c r="P74" i="19"/>
  <c r="O74" i="19"/>
  <c r="N74" i="19"/>
  <c r="M74" i="19"/>
  <c r="L74" i="19"/>
  <c r="K74" i="19"/>
  <c r="J74" i="19"/>
  <c r="I74" i="19"/>
  <c r="H74" i="19"/>
  <c r="F74" i="19"/>
  <c r="E74" i="19"/>
  <c r="D74" i="19"/>
  <c r="S73" i="19"/>
  <c r="G73" i="19"/>
  <c r="S72" i="19"/>
  <c r="T72" i="19" s="1"/>
  <c r="G72" i="19"/>
  <c r="S71" i="19"/>
  <c r="T71" i="19" s="1"/>
  <c r="G71" i="19"/>
  <c r="G70" i="19" s="1"/>
  <c r="R70" i="19"/>
  <c r="Q70" i="19"/>
  <c r="P70" i="19"/>
  <c r="O70" i="19"/>
  <c r="N70" i="19"/>
  <c r="M70" i="19"/>
  <c r="L70" i="19"/>
  <c r="K70" i="19"/>
  <c r="J70" i="19"/>
  <c r="I70" i="19"/>
  <c r="H70" i="19"/>
  <c r="F70" i="19"/>
  <c r="E70" i="19"/>
  <c r="D70" i="19"/>
  <c r="S69" i="19"/>
  <c r="N69" i="19"/>
  <c r="G69" i="19"/>
  <c r="S68" i="19"/>
  <c r="N68" i="19"/>
  <c r="G68" i="19"/>
  <c r="O67" i="19"/>
  <c r="S67" i="19" s="1"/>
  <c r="N67" i="19"/>
  <c r="G67" i="19"/>
  <c r="S66" i="19"/>
  <c r="N66" i="19"/>
  <c r="G66" i="19"/>
  <c r="S65" i="19"/>
  <c r="N65" i="19"/>
  <c r="G65" i="19"/>
  <c r="O64" i="19"/>
  <c r="S64" i="19" s="1"/>
  <c r="N64" i="19"/>
  <c r="G64" i="19"/>
  <c r="O63" i="19"/>
  <c r="S63" i="19" s="1"/>
  <c r="N63" i="19"/>
  <c r="G63" i="19"/>
  <c r="S62" i="19"/>
  <c r="N62" i="19"/>
  <c r="G62" i="19"/>
  <c r="S61" i="19"/>
  <c r="N61" i="19"/>
  <c r="G61" i="19"/>
  <c r="S60" i="19"/>
  <c r="N60" i="19"/>
  <c r="G60" i="19"/>
  <c r="R59" i="19"/>
  <c r="Q59" i="19"/>
  <c r="P59" i="19"/>
  <c r="M59" i="19"/>
  <c r="L59" i="19"/>
  <c r="K59" i="19"/>
  <c r="J59" i="19"/>
  <c r="I59" i="19"/>
  <c r="H59" i="19"/>
  <c r="F59" i="19"/>
  <c r="E59" i="19"/>
  <c r="D59" i="19"/>
  <c r="C59" i="19"/>
  <c r="S58" i="19"/>
  <c r="N58" i="19"/>
  <c r="G58" i="19"/>
  <c r="S57" i="19"/>
  <c r="N57" i="19"/>
  <c r="G57" i="19"/>
  <c r="S56" i="19"/>
  <c r="N56" i="19"/>
  <c r="C56" i="19"/>
  <c r="G56" i="19" s="1"/>
  <c r="S55" i="19"/>
  <c r="N55" i="19"/>
  <c r="C55" i="19"/>
  <c r="G55" i="19" s="1"/>
  <c r="S54" i="19"/>
  <c r="N54" i="19"/>
  <c r="G54" i="19"/>
  <c r="R53" i="19"/>
  <c r="Q53" i="19"/>
  <c r="P53" i="19"/>
  <c r="O53" i="19"/>
  <c r="M53" i="19"/>
  <c r="L53" i="19"/>
  <c r="K53" i="19"/>
  <c r="J53" i="19"/>
  <c r="I53" i="19"/>
  <c r="H53" i="19"/>
  <c r="F53" i="19"/>
  <c r="E53" i="19"/>
  <c r="D53" i="19"/>
  <c r="S52" i="19"/>
  <c r="N52" i="19"/>
  <c r="G52" i="19"/>
  <c r="S51" i="19"/>
  <c r="N51" i="19"/>
  <c r="G51" i="19"/>
  <c r="S50" i="19"/>
  <c r="N50" i="19"/>
  <c r="G50" i="19"/>
  <c r="S49" i="19"/>
  <c r="N49" i="19"/>
  <c r="G49" i="19"/>
  <c r="S48" i="19"/>
  <c r="N48" i="19"/>
  <c r="G48" i="19"/>
  <c r="S47" i="19"/>
  <c r="N47" i="19"/>
  <c r="G47" i="19"/>
  <c r="S46" i="19"/>
  <c r="N46" i="19"/>
  <c r="G46" i="19"/>
  <c r="S45" i="19"/>
  <c r="N45" i="19"/>
  <c r="G45" i="19"/>
  <c r="S44" i="19"/>
  <c r="N44" i="19"/>
  <c r="G44" i="19"/>
  <c r="S43" i="19"/>
  <c r="N43" i="19"/>
  <c r="G43" i="19"/>
  <c r="S42" i="19"/>
  <c r="N42" i="19"/>
  <c r="G42" i="19"/>
  <c r="S41" i="19"/>
  <c r="N41" i="19"/>
  <c r="G41" i="19"/>
  <c r="S40" i="19"/>
  <c r="N40" i="19"/>
  <c r="G40" i="19"/>
  <c r="S39" i="19"/>
  <c r="N39" i="19"/>
  <c r="G39" i="19"/>
  <c r="S38" i="19"/>
  <c r="N38" i="19"/>
  <c r="G38" i="19"/>
  <c r="S37" i="19"/>
  <c r="N37" i="19"/>
  <c r="C37" i="19"/>
  <c r="C34" i="19" s="1"/>
  <c r="S36" i="19"/>
  <c r="N36" i="19"/>
  <c r="G36" i="19"/>
  <c r="S35" i="19"/>
  <c r="N35" i="19"/>
  <c r="G35" i="19"/>
  <c r="R34" i="19"/>
  <c r="Q34" i="19"/>
  <c r="P34" i="19"/>
  <c r="O34" i="19"/>
  <c r="M34" i="19"/>
  <c r="L34" i="19"/>
  <c r="K34" i="19"/>
  <c r="J34" i="19"/>
  <c r="I34" i="19"/>
  <c r="H34" i="19"/>
  <c r="F34" i="19"/>
  <c r="E34" i="19"/>
  <c r="D34" i="19"/>
  <c r="R33" i="19"/>
  <c r="H33" i="19"/>
  <c r="S32" i="19"/>
  <c r="N32" i="19"/>
  <c r="G32" i="19"/>
  <c r="G31" i="19" s="1"/>
  <c r="S31" i="19"/>
  <c r="R31" i="19"/>
  <c r="Q31" i="19"/>
  <c r="P31" i="19"/>
  <c r="O31" i="19"/>
  <c r="M31" i="19"/>
  <c r="L31" i="19"/>
  <c r="K31" i="19"/>
  <c r="J31" i="19"/>
  <c r="I31" i="19"/>
  <c r="H31" i="19"/>
  <c r="F31" i="19"/>
  <c r="E31" i="19"/>
  <c r="D31" i="19"/>
  <c r="C31" i="19"/>
  <c r="S30" i="19"/>
  <c r="N30" i="19"/>
  <c r="N28" i="19" s="1"/>
  <c r="G30" i="19"/>
  <c r="S29" i="19"/>
  <c r="N29" i="19"/>
  <c r="G29" i="19"/>
  <c r="G28" i="19" s="1"/>
  <c r="R28" i="19"/>
  <c r="Q28" i="19"/>
  <c r="P28" i="19"/>
  <c r="O28" i="19"/>
  <c r="M28" i="19"/>
  <c r="L28" i="19"/>
  <c r="K28" i="19"/>
  <c r="J28" i="19"/>
  <c r="I28" i="19"/>
  <c r="H28" i="19"/>
  <c r="F28" i="19"/>
  <c r="E28" i="19"/>
  <c r="D28" i="19"/>
  <c r="C28" i="19"/>
  <c r="S27" i="19"/>
  <c r="T27" i="19" s="1"/>
  <c r="S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C25" i="19"/>
  <c r="O24" i="19"/>
  <c r="S24" i="19" s="1"/>
  <c r="N24" i="19"/>
  <c r="N22" i="19" s="1"/>
  <c r="G24" i="19"/>
  <c r="G22" i="19" s="1"/>
  <c r="R23" i="19"/>
  <c r="Q23" i="19"/>
  <c r="P23" i="19"/>
  <c r="P22" i="19" s="1"/>
  <c r="O23" i="19"/>
  <c r="S23" i="19" s="1"/>
  <c r="N23" i="19"/>
  <c r="G23" i="19"/>
  <c r="R22" i="19"/>
  <c r="Q22" i="19"/>
  <c r="M22" i="19"/>
  <c r="L22" i="19"/>
  <c r="K22" i="19"/>
  <c r="J22" i="19"/>
  <c r="I22" i="19"/>
  <c r="H22" i="19"/>
  <c r="F22" i="19"/>
  <c r="E22" i="19"/>
  <c r="D22" i="19"/>
  <c r="C22" i="19"/>
  <c r="O21" i="19"/>
  <c r="S21" i="19" s="1"/>
  <c r="N21" i="19"/>
  <c r="G21" i="19"/>
  <c r="R20" i="19"/>
  <c r="R19" i="19" s="1"/>
  <c r="Q20" i="19"/>
  <c r="Q19" i="19" s="1"/>
  <c r="P20" i="19"/>
  <c r="P19" i="19" s="1"/>
  <c r="O20" i="19"/>
  <c r="N20" i="19"/>
  <c r="G20" i="19"/>
  <c r="G19" i="19" s="1"/>
  <c r="N19" i="19"/>
  <c r="M19" i="19"/>
  <c r="L19" i="19"/>
  <c r="K19" i="19"/>
  <c r="J19" i="19"/>
  <c r="I19" i="19"/>
  <c r="H19" i="19"/>
  <c r="F19" i="19"/>
  <c r="E19" i="19"/>
  <c r="D19" i="19"/>
  <c r="C19" i="19"/>
  <c r="S18" i="19"/>
  <c r="N18" i="19"/>
  <c r="G18" i="19"/>
  <c r="G15" i="19" s="1"/>
  <c r="S17" i="19"/>
  <c r="N17" i="19"/>
  <c r="G17" i="19"/>
  <c r="S16" i="19"/>
  <c r="T16" i="19" s="1"/>
  <c r="N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F15" i="19"/>
  <c r="F10" i="19" s="1"/>
  <c r="E15" i="19"/>
  <c r="D15" i="19"/>
  <c r="C15" i="19"/>
  <c r="S14" i="19"/>
  <c r="N14" i="19"/>
  <c r="G14" i="19"/>
  <c r="S13" i="19"/>
  <c r="N13" i="19"/>
  <c r="F13" i="19"/>
  <c r="G13" i="19" s="1"/>
  <c r="S12" i="19"/>
  <c r="N12" i="19"/>
  <c r="F12" i="19"/>
  <c r="G12" i="19" s="1"/>
  <c r="R11" i="19"/>
  <c r="Q11" i="19"/>
  <c r="P11" i="19"/>
  <c r="O11" i="19"/>
  <c r="M11" i="19"/>
  <c r="L11" i="19"/>
  <c r="K11" i="19"/>
  <c r="J11" i="19"/>
  <c r="I11" i="19"/>
  <c r="H11" i="19"/>
  <c r="F11" i="19"/>
  <c r="E11" i="19"/>
  <c r="D11" i="19"/>
  <c r="C11" i="19"/>
  <c r="G11" i="19" l="1"/>
  <c r="Q10" i="19"/>
  <c r="I10" i="19"/>
  <c r="M10" i="19"/>
  <c r="R10" i="19"/>
  <c r="S11" i="19"/>
  <c r="S15" i="19"/>
  <c r="J10" i="19"/>
  <c r="L33" i="19"/>
  <c r="Q33" i="19"/>
  <c r="T69" i="19"/>
  <c r="G12" i="20"/>
  <c r="G31" i="20"/>
  <c r="F36" i="20"/>
  <c r="F127" i="20" s="1"/>
  <c r="F128" i="20" s="1"/>
  <c r="F129" i="20" s="1"/>
  <c r="N105" i="20"/>
  <c r="N104" i="20" s="1"/>
  <c r="T18" i="19"/>
  <c r="O19" i="19"/>
  <c r="S28" i="19"/>
  <c r="T32" i="19"/>
  <c r="T31" i="19" s="1"/>
  <c r="D33" i="19"/>
  <c r="T63" i="19"/>
  <c r="T68" i="19"/>
  <c r="T77" i="19"/>
  <c r="J82" i="19"/>
  <c r="N82" i="19"/>
  <c r="R82" i="19"/>
  <c r="R122" i="19" s="1"/>
  <c r="R123" i="19" s="1"/>
  <c r="R124" i="19" s="1"/>
  <c r="T91" i="19"/>
  <c r="F99" i="19"/>
  <c r="T111" i="19"/>
  <c r="C37" i="20"/>
  <c r="S105" i="20"/>
  <c r="G105" i="20"/>
  <c r="T14" i="19"/>
  <c r="T17" i="19"/>
  <c r="T15" i="19" s="1"/>
  <c r="E33" i="19"/>
  <c r="J33" i="19"/>
  <c r="T36" i="19"/>
  <c r="K33" i="19"/>
  <c r="P33" i="19"/>
  <c r="T56" i="19"/>
  <c r="T96" i="19"/>
  <c r="D36" i="20"/>
  <c r="K86" i="20"/>
  <c r="T121" i="19"/>
  <c r="T120" i="19" s="1"/>
  <c r="T119" i="19" s="1"/>
  <c r="S120" i="19"/>
  <c r="S119" i="19" s="1"/>
  <c r="T114" i="19"/>
  <c r="S31" i="20"/>
  <c r="I86" i="20"/>
  <c r="M86" i="20"/>
  <c r="Q86" i="20"/>
  <c r="D97" i="20"/>
  <c r="D96" i="20" s="1"/>
  <c r="G74" i="20"/>
  <c r="G78" i="20"/>
  <c r="E86" i="20"/>
  <c r="Q96" i="20"/>
  <c r="G113" i="20"/>
  <c r="G104" i="20" s="1"/>
  <c r="N113" i="20"/>
  <c r="S113" i="20"/>
  <c r="I10" i="20"/>
  <c r="S28" i="20"/>
  <c r="K36" i="20"/>
  <c r="R86" i="20"/>
  <c r="L104" i="20"/>
  <c r="D10" i="20"/>
  <c r="E10" i="20"/>
  <c r="M10" i="20"/>
  <c r="N37" i="20"/>
  <c r="S99" i="20"/>
  <c r="G99" i="20"/>
  <c r="P104" i="20"/>
  <c r="P127" i="20" s="1"/>
  <c r="P128" i="20" s="1"/>
  <c r="P129" i="20" s="1"/>
  <c r="Q10" i="20"/>
  <c r="C10" i="20"/>
  <c r="G62" i="20"/>
  <c r="O62" i="20"/>
  <c r="G96" i="20"/>
  <c r="H104" i="20"/>
  <c r="K10" i="20"/>
  <c r="N11" i="20"/>
  <c r="G18" i="20"/>
  <c r="N56" i="20"/>
  <c r="S98" i="20"/>
  <c r="S97" i="20" s="1"/>
  <c r="S96" i="20" s="1"/>
  <c r="D104" i="20"/>
  <c r="O10" i="20"/>
  <c r="S19" i="20"/>
  <c r="S18" i="20" s="1"/>
  <c r="H10" i="20"/>
  <c r="L10" i="20"/>
  <c r="N31" i="20"/>
  <c r="Q36" i="20"/>
  <c r="S91" i="20"/>
  <c r="S90" i="20" s="1"/>
  <c r="K104" i="20"/>
  <c r="O104" i="20"/>
  <c r="F104" i="20"/>
  <c r="J104" i="20"/>
  <c r="R104" i="20"/>
  <c r="S12" i="20"/>
  <c r="N18" i="20"/>
  <c r="H36" i="20"/>
  <c r="L36" i="20"/>
  <c r="O86" i="20"/>
  <c r="O97" i="20"/>
  <c r="O96" i="20" s="1"/>
  <c r="I104" i="20"/>
  <c r="M104" i="20"/>
  <c r="Q104" i="20"/>
  <c r="J10" i="20"/>
  <c r="E36" i="20"/>
  <c r="I36" i="20"/>
  <c r="M36" i="20"/>
  <c r="E104" i="20"/>
  <c r="N25" i="20"/>
  <c r="G11" i="20"/>
  <c r="Q127" i="20"/>
  <c r="Q128" i="20" s="1"/>
  <c r="Q129" i="20" s="1"/>
  <c r="S26" i="20"/>
  <c r="O37" i="20"/>
  <c r="S41" i="20"/>
  <c r="G56" i="20"/>
  <c r="N22" i="20"/>
  <c r="G37" i="20"/>
  <c r="R10" i="20"/>
  <c r="S11" i="20"/>
  <c r="S23" i="20"/>
  <c r="G86" i="20"/>
  <c r="C56" i="20"/>
  <c r="C36" i="20" s="1"/>
  <c r="S56" i="20"/>
  <c r="N62" i="20"/>
  <c r="S70" i="20"/>
  <c r="S74" i="20"/>
  <c r="S78" i="20"/>
  <c r="S84" i="20"/>
  <c r="S93" i="20"/>
  <c r="T113" i="19"/>
  <c r="T21" i="19"/>
  <c r="I33" i="19"/>
  <c r="M33" i="19"/>
  <c r="G37" i="19"/>
  <c r="T37" i="19" s="1"/>
  <c r="C53" i="19"/>
  <c r="C33" i="19" s="1"/>
  <c r="T54" i="19"/>
  <c r="O59" i="19"/>
  <c r="O33" i="19" s="1"/>
  <c r="T62" i="19"/>
  <c r="S70" i="19"/>
  <c r="E99" i="19"/>
  <c r="N106" i="19"/>
  <c r="T110" i="19"/>
  <c r="T118" i="19"/>
  <c r="T117" i="19" s="1"/>
  <c r="T116" i="19" s="1"/>
  <c r="S94" i="19"/>
  <c r="K99" i="19"/>
  <c r="K122" i="19" s="1"/>
  <c r="K123" i="19" s="1"/>
  <c r="K124" i="19" s="1"/>
  <c r="O99" i="19"/>
  <c r="N105" i="19"/>
  <c r="N104" i="19" s="1"/>
  <c r="I108" i="19"/>
  <c r="I99" i="19" s="1"/>
  <c r="T115" i="19"/>
  <c r="C10" i="19"/>
  <c r="K10" i="19"/>
  <c r="P10" i="19"/>
  <c r="O22" i="19"/>
  <c r="O10" i="19" s="1"/>
  <c r="O122" i="19" s="1"/>
  <c r="O123" i="19" s="1"/>
  <c r="O124" i="19" s="1"/>
  <c r="T24" i="19"/>
  <c r="E10" i="19"/>
  <c r="T38" i="19"/>
  <c r="T42" i="19"/>
  <c r="T46" i="19"/>
  <c r="T50" i="19"/>
  <c r="G53" i="19"/>
  <c r="T61" i="19"/>
  <c r="N59" i="19"/>
  <c r="T66" i="19"/>
  <c r="F82" i="19"/>
  <c r="G89" i="19"/>
  <c r="D10" i="19"/>
  <c r="H10" i="19"/>
  <c r="L10" i="19"/>
  <c r="N11" i="19"/>
  <c r="T13" i="19"/>
  <c r="S20" i="19"/>
  <c r="T20" i="19" s="1"/>
  <c r="T19" i="19" s="1"/>
  <c r="S25" i="19"/>
  <c r="T30" i="19"/>
  <c r="F33" i="19"/>
  <c r="T35" i="19"/>
  <c r="T41" i="19"/>
  <c r="T45" i="19"/>
  <c r="T49" i="19"/>
  <c r="T60" i="19"/>
  <c r="T65" i="19"/>
  <c r="T67" i="19"/>
  <c r="T73" i="19"/>
  <c r="T78" i="19"/>
  <c r="H82" i="19"/>
  <c r="L82" i="19"/>
  <c r="P82" i="19"/>
  <c r="T84" i="19"/>
  <c r="E82" i="19"/>
  <c r="S108" i="19"/>
  <c r="T102" i="19"/>
  <c r="P99" i="19"/>
  <c r="J99" i="19"/>
  <c r="J122" i="19" s="1"/>
  <c r="J123" i="19" s="1"/>
  <c r="J124" i="19" s="1"/>
  <c r="D99" i="19"/>
  <c r="L99" i="19"/>
  <c r="N108" i="19"/>
  <c r="H99" i="19"/>
  <c r="G10" i="19"/>
  <c r="S22" i="19"/>
  <c r="T23" i="19"/>
  <c r="T22" i="19" s="1"/>
  <c r="N31" i="19"/>
  <c r="N10" i="19" s="1"/>
  <c r="T87" i="19"/>
  <c r="G86" i="19"/>
  <c r="S95" i="19"/>
  <c r="T98" i="19"/>
  <c r="T12" i="19"/>
  <c r="T11" i="19" s="1"/>
  <c r="T26" i="19"/>
  <c r="T25" i="19" s="1"/>
  <c r="T29" i="19"/>
  <c r="T40" i="19"/>
  <c r="T44" i="19"/>
  <c r="T48" i="19"/>
  <c r="T52" i="19"/>
  <c r="S53" i="19"/>
  <c r="T58" i="19"/>
  <c r="S59" i="19"/>
  <c r="T64" i="19"/>
  <c r="T75" i="19"/>
  <c r="G74" i="19"/>
  <c r="G95" i="19"/>
  <c r="T97" i="19"/>
  <c r="Q99" i="19"/>
  <c r="Q122" i="19" s="1"/>
  <c r="Q123" i="19" s="1"/>
  <c r="Q124" i="19" s="1"/>
  <c r="T109" i="19"/>
  <c r="N117" i="19"/>
  <c r="N116" i="19" s="1"/>
  <c r="S74" i="19"/>
  <c r="T76" i="19"/>
  <c r="G83" i="19"/>
  <c r="T85" i="19"/>
  <c r="T101" i="19"/>
  <c r="G100" i="19"/>
  <c r="N34" i="19"/>
  <c r="T39" i="19"/>
  <c r="T43" i="19"/>
  <c r="T47" i="19"/>
  <c r="T51" i="19"/>
  <c r="N53" i="19"/>
  <c r="T55" i="19"/>
  <c r="T57" i="19"/>
  <c r="T53" i="19" s="1"/>
  <c r="G59" i="19"/>
  <c r="T70" i="19"/>
  <c r="D93" i="19"/>
  <c r="D92" i="19" s="1"/>
  <c r="G92" i="19" s="1"/>
  <c r="G94" i="19"/>
  <c r="G93" i="19" s="1"/>
  <c r="S104" i="19"/>
  <c r="S99" i="19" s="1"/>
  <c r="T112" i="19"/>
  <c r="M122" i="19"/>
  <c r="M123" i="19" s="1"/>
  <c r="M124" i="19" s="1"/>
  <c r="T81" i="19"/>
  <c r="T80" i="19" s="1"/>
  <c r="G80" i="19"/>
  <c r="S86" i="19"/>
  <c r="T88" i="19"/>
  <c r="T90" i="19"/>
  <c r="S89" i="19"/>
  <c r="S93" i="19"/>
  <c r="S92" i="19" s="1"/>
  <c r="G108" i="19"/>
  <c r="S34" i="19"/>
  <c r="S83" i="19"/>
  <c r="I122" i="19" l="1"/>
  <c r="I123" i="19" s="1"/>
  <c r="I124" i="19" s="1"/>
  <c r="G10" i="20"/>
  <c r="T28" i="19"/>
  <c r="T10" i="19" s="1"/>
  <c r="D127" i="20"/>
  <c r="D128" i="20" s="1"/>
  <c r="D129" i="20" s="1"/>
  <c r="S104" i="20"/>
  <c r="S82" i="19"/>
  <c r="T83" i="19"/>
  <c r="E122" i="19"/>
  <c r="E123" i="19" s="1"/>
  <c r="E124" i="19" s="1"/>
  <c r="T89" i="19"/>
  <c r="S19" i="19"/>
  <c r="S10" i="19" s="1"/>
  <c r="F122" i="19"/>
  <c r="F123" i="19" s="1"/>
  <c r="F124" i="19" s="1"/>
  <c r="D122" i="19"/>
  <c r="D123" i="19" s="1"/>
  <c r="D124" i="19" s="1"/>
  <c r="T59" i="19"/>
  <c r="I127" i="20"/>
  <c r="I128" i="20" s="1"/>
  <c r="I129" i="20" s="1"/>
  <c r="K127" i="20"/>
  <c r="K128" i="20" s="1"/>
  <c r="K129" i="20" s="1"/>
  <c r="T108" i="19"/>
  <c r="N99" i="19"/>
  <c r="C127" i="20"/>
  <c r="C128" i="20" s="1"/>
  <c r="C129" i="20" s="1"/>
  <c r="E127" i="20"/>
  <c r="E128" i="20" s="1"/>
  <c r="E129" i="20" s="1"/>
  <c r="N36" i="20"/>
  <c r="L127" i="20"/>
  <c r="L128" i="20" s="1"/>
  <c r="L129" i="20" s="1"/>
  <c r="O36" i="20"/>
  <c r="S86" i="20"/>
  <c r="H127" i="20"/>
  <c r="H128" i="20" s="1"/>
  <c r="H129" i="20" s="1"/>
  <c r="J127" i="20"/>
  <c r="J128" i="20" s="1"/>
  <c r="J129" i="20" s="1"/>
  <c r="O127" i="20"/>
  <c r="O128" i="20" s="1"/>
  <c r="O129" i="20" s="1"/>
  <c r="M127" i="20"/>
  <c r="M128" i="20" s="1"/>
  <c r="M129" i="20" s="1"/>
  <c r="R127" i="20"/>
  <c r="R128" i="20" s="1"/>
  <c r="R129" i="20" s="1"/>
  <c r="N10" i="20"/>
  <c r="S22" i="20"/>
  <c r="G36" i="20"/>
  <c r="G127" i="20" s="1"/>
  <c r="G128" i="20" s="1"/>
  <c r="G129" i="20" s="1"/>
  <c r="S37" i="20"/>
  <c r="S25" i="20"/>
  <c r="S62" i="20"/>
  <c r="L122" i="19"/>
  <c r="L123" i="19" s="1"/>
  <c r="L124" i="19" s="1"/>
  <c r="T100" i="19"/>
  <c r="H122" i="19"/>
  <c r="H123" i="19" s="1"/>
  <c r="H124" i="19" s="1"/>
  <c r="P122" i="19"/>
  <c r="P123" i="19" s="1"/>
  <c r="P124" i="19" s="1"/>
  <c r="C122" i="19"/>
  <c r="C123" i="19" s="1"/>
  <c r="C124" i="19" s="1"/>
  <c r="G34" i="19"/>
  <c r="G33" i="19" s="1"/>
  <c r="T105" i="19"/>
  <c r="T104" i="19" s="1"/>
  <c r="T34" i="19"/>
  <c r="T33" i="19" s="1"/>
  <c r="G99" i="19"/>
  <c r="T74" i="19"/>
  <c r="N33" i="19"/>
  <c r="N122" i="19" s="1"/>
  <c r="N123" i="19" s="1"/>
  <c r="N124" i="19" s="1"/>
  <c r="G82" i="19"/>
  <c r="T95" i="19"/>
  <c r="S33" i="19"/>
  <c r="S122" i="19" s="1"/>
  <c r="T94" i="19"/>
  <c r="T93" i="19" s="1"/>
  <c r="T86" i="19"/>
  <c r="T82" i="19" s="1"/>
  <c r="G122" i="19" l="1"/>
  <c r="G123" i="19" s="1"/>
  <c r="G124" i="19" s="1"/>
  <c r="T92" i="19"/>
  <c r="T99" i="19"/>
  <c r="N127" i="20"/>
  <c r="N128" i="20" s="1"/>
  <c r="N129" i="20" s="1"/>
  <c r="S36" i="20"/>
  <c r="S10" i="20"/>
  <c r="S123" i="19"/>
  <c r="S124" i="19" s="1"/>
  <c r="T122" i="19"/>
  <c r="T123" i="19" s="1"/>
  <c r="T124" i="19" s="1"/>
  <c r="S127" i="20" l="1"/>
  <c r="S128" i="20" s="1"/>
  <c r="S129" i="20" s="1"/>
  <c r="D60" i="8" l="1"/>
  <c r="D53" i="8"/>
  <c r="D52" i="8"/>
  <c r="D49" i="8"/>
  <c r="C55" i="3" l="1"/>
  <c r="F12" i="3" l="1"/>
  <c r="D12" i="3"/>
  <c r="E12" i="3"/>
  <c r="C12" i="3" l="1"/>
  <c r="C31" i="3" l="1"/>
  <c r="G12" i="3"/>
  <c r="G52" i="3"/>
  <c r="G47" i="3"/>
  <c r="G46" i="3"/>
  <c r="G43" i="3"/>
  <c r="G37" i="3"/>
  <c r="G32" i="3"/>
  <c r="G31" i="3" s="1"/>
  <c r="G16" i="3"/>
  <c r="G14" i="3"/>
  <c r="G13" i="3"/>
  <c r="G55" i="3"/>
  <c r="G59" i="3"/>
  <c r="G11" i="3" l="1"/>
  <c r="F39" i="8" l="1"/>
  <c r="F46" i="8"/>
  <c r="F44" i="8"/>
  <c r="F35" i="8"/>
  <c r="F34" i="8" s="1"/>
  <c r="F31" i="8"/>
  <c r="F17" i="8"/>
  <c r="F16" i="8" s="1"/>
  <c r="F10" i="8"/>
  <c r="F9" i="8" s="1"/>
  <c r="F38" i="8" l="1"/>
  <c r="F60" i="8" s="1"/>
  <c r="J59" i="8" l="1"/>
  <c r="J58" i="8"/>
  <c r="J57" i="8"/>
  <c r="J48" i="8"/>
  <c r="J47" i="8"/>
  <c r="J46" i="8"/>
  <c r="J45" i="8"/>
  <c r="J44" i="8"/>
  <c r="J43" i="8"/>
  <c r="J42" i="8"/>
  <c r="J41" i="8"/>
  <c r="J40" i="8"/>
  <c r="J39" i="8"/>
  <c r="J36" i="8"/>
  <c r="J35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1" i="8"/>
  <c r="J12" i="8"/>
  <c r="J13" i="8"/>
  <c r="J14" i="8"/>
  <c r="J15" i="8"/>
  <c r="J10" i="8"/>
  <c r="J9" i="8"/>
  <c r="J37" i="8"/>
  <c r="E60" i="8"/>
  <c r="G60" i="8"/>
  <c r="H60" i="8"/>
  <c r="I60" i="8"/>
  <c r="C60" i="8"/>
  <c r="E50" i="8"/>
  <c r="E49" i="8" s="1"/>
  <c r="F50" i="8"/>
  <c r="F49" i="8" s="1"/>
  <c r="G50" i="8"/>
  <c r="G49" i="8" s="1"/>
  <c r="H50" i="8"/>
  <c r="H49" i="8" s="1"/>
  <c r="I50" i="8"/>
  <c r="I49" i="8" s="1"/>
  <c r="C50" i="8"/>
  <c r="C49" i="8" s="1"/>
  <c r="J60" i="8" l="1"/>
  <c r="J34" i="8"/>
  <c r="J56" i="8"/>
  <c r="J55" i="8" s="1"/>
  <c r="J38" i="8"/>
  <c r="J50" i="8"/>
  <c r="J49" i="8" s="1"/>
  <c r="J54" i="8" l="1"/>
  <c r="J53" i="8" l="1"/>
  <c r="J52" i="8" s="1"/>
  <c r="J51" i="8" s="1"/>
  <c r="J16" i="8"/>
  <c r="K57" i="8"/>
  <c r="G17" i="3" l="1"/>
  <c r="G18" i="3"/>
  <c r="C19" i="3"/>
  <c r="D19" i="3"/>
  <c r="E19" i="3"/>
  <c r="F19" i="3"/>
  <c r="G20" i="3"/>
  <c r="G21" i="3"/>
  <c r="C22" i="3"/>
  <c r="D22" i="3"/>
  <c r="E22" i="3"/>
  <c r="F22" i="3"/>
  <c r="G23" i="3"/>
  <c r="G24" i="3"/>
  <c r="C25" i="3"/>
  <c r="D25" i="3"/>
  <c r="E25" i="3"/>
  <c r="F25" i="3"/>
  <c r="G25" i="3"/>
  <c r="C28" i="3"/>
  <c r="D28" i="3"/>
  <c r="E28" i="3"/>
  <c r="F28" i="3"/>
  <c r="G29" i="3"/>
  <c r="G30" i="3"/>
  <c r="C15" i="3"/>
  <c r="D15" i="3"/>
  <c r="E15" i="3"/>
  <c r="F15" i="3"/>
  <c r="G122" i="3"/>
  <c r="F121" i="3"/>
  <c r="F120" i="3" s="1"/>
  <c r="E121" i="3"/>
  <c r="E120" i="3" s="1"/>
  <c r="D121" i="3"/>
  <c r="D120" i="3" s="1"/>
  <c r="G119" i="3"/>
  <c r="F118" i="3"/>
  <c r="F117" i="3" s="1"/>
  <c r="E118" i="3"/>
  <c r="E117" i="3" s="1"/>
  <c r="D118" i="3"/>
  <c r="D117" i="3" s="1"/>
  <c r="G116" i="3"/>
  <c r="G115" i="3"/>
  <c r="G114" i="3"/>
  <c r="G113" i="3"/>
  <c r="G112" i="3"/>
  <c r="G111" i="3"/>
  <c r="G110" i="3"/>
  <c r="F109" i="3"/>
  <c r="E109" i="3"/>
  <c r="D109" i="3"/>
  <c r="G108" i="3"/>
  <c r="F107" i="3"/>
  <c r="E107" i="3"/>
  <c r="D107" i="3"/>
  <c r="G106" i="3"/>
  <c r="F105" i="3"/>
  <c r="E105" i="3"/>
  <c r="D105" i="3"/>
  <c r="G104" i="3"/>
  <c r="G103" i="3"/>
  <c r="G102" i="3"/>
  <c r="F101" i="3"/>
  <c r="E101" i="3"/>
  <c r="D101" i="3"/>
  <c r="G99" i="3"/>
  <c r="G98" i="3"/>
  <c r="G97" i="3"/>
  <c r="F96" i="3"/>
  <c r="E96" i="3"/>
  <c r="D96" i="3"/>
  <c r="G95" i="3"/>
  <c r="F94" i="3"/>
  <c r="E94" i="3"/>
  <c r="E93" i="3" s="1"/>
  <c r="G92" i="3"/>
  <c r="G91" i="3"/>
  <c r="F90" i="3"/>
  <c r="E90" i="3"/>
  <c r="D90" i="3"/>
  <c r="G89" i="3"/>
  <c r="G88" i="3"/>
  <c r="F87" i="3"/>
  <c r="E87" i="3"/>
  <c r="D87" i="3"/>
  <c r="G86" i="3"/>
  <c r="G85" i="3"/>
  <c r="F84" i="3"/>
  <c r="E84" i="3"/>
  <c r="D84" i="3"/>
  <c r="G82" i="3"/>
  <c r="F81" i="3"/>
  <c r="E81" i="3"/>
  <c r="D81" i="3"/>
  <c r="G80" i="3"/>
  <c r="G79" i="3"/>
  <c r="G78" i="3"/>
  <c r="G77" i="3"/>
  <c r="G76" i="3"/>
  <c r="F75" i="3"/>
  <c r="E75" i="3"/>
  <c r="D75" i="3"/>
  <c r="G74" i="3"/>
  <c r="G73" i="3"/>
  <c r="G72" i="3"/>
  <c r="F71" i="3"/>
  <c r="E71" i="3"/>
  <c r="D71" i="3"/>
  <c r="G70" i="3"/>
  <c r="G69" i="3"/>
  <c r="G68" i="3"/>
  <c r="G67" i="3"/>
  <c r="G66" i="3"/>
  <c r="G65" i="3"/>
  <c r="G64" i="3"/>
  <c r="G63" i="3"/>
  <c r="G62" i="3"/>
  <c r="G61" i="3"/>
  <c r="F60" i="3"/>
  <c r="E60" i="3"/>
  <c r="D60" i="3"/>
  <c r="C60" i="3"/>
  <c r="G58" i="3"/>
  <c r="G57" i="3"/>
  <c r="G56" i="3"/>
  <c r="F54" i="3"/>
  <c r="E54" i="3"/>
  <c r="D54" i="3"/>
  <c r="G53" i="3"/>
  <c r="G50" i="3"/>
  <c r="G49" i="3"/>
  <c r="G48" i="3"/>
  <c r="G45" i="3"/>
  <c r="G44" i="3"/>
  <c r="G42" i="3"/>
  <c r="G41" i="3"/>
  <c r="G40" i="3"/>
  <c r="G39" i="3"/>
  <c r="G38" i="3"/>
  <c r="G36" i="3"/>
  <c r="G35" i="3"/>
  <c r="F34" i="3"/>
  <c r="E34" i="3"/>
  <c r="D34" i="3"/>
  <c r="F31" i="3"/>
  <c r="E31" i="3"/>
  <c r="D31" i="3"/>
  <c r="E11" i="3"/>
  <c r="D11" i="3"/>
  <c r="C11" i="3"/>
  <c r="G121" i="3" l="1"/>
  <c r="G105" i="3"/>
  <c r="G107" i="3"/>
  <c r="G15" i="3"/>
  <c r="G81" i="3"/>
  <c r="G118" i="3"/>
  <c r="G54" i="3"/>
  <c r="G34" i="3"/>
  <c r="F93" i="3"/>
  <c r="G94" i="3"/>
  <c r="G22" i="3"/>
  <c r="D10" i="3"/>
  <c r="E33" i="3"/>
  <c r="D100" i="3"/>
  <c r="F100" i="3"/>
  <c r="F83" i="3"/>
  <c r="G90" i="3"/>
  <c r="E100" i="3"/>
  <c r="G109" i="3"/>
  <c r="G19" i="3"/>
  <c r="F33" i="3"/>
  <c r="G28" i="3"/>
  <c r="G87" i="3"/>
  <c r="G75" i="3"/>
  <c r="G96" i="3"/>
  <c r="E83" i="3"/>
  <c r="E10" i="3"/>
  <c r="D83" i="3"/>
  <c r="C10" i="3"/>
  <c r="G71" i="3"/>
  <c r="G101" i="3"/>
  <c r="D33" i="3"/>
  <c r="G60" i="3"/>
  <c r="G84" i="3"/>
  <c r="F11" i="3"/>
  <c r="C34" i="3"/>
  <c r="C54" i="3"/>
  <c r="D123" i="3" l="1"/>
  <c r="D124" i="3" s="1"/>
  <c r="D125" i="3" s="1"/>
  <c r="G117" i="3"/>
  <c r="G10" i="3"/>
  <c r="G120" i="3"/>
  <c r="G93" i="3"/>
  <c r="G33" i="3" s="1"/>
  <c r="G100" i="3"/>
  <c r="G83" i="3"/>
  <c r="E123" i="3"/>
  <c r="E124" i="3" s="1"/>
  <c r="E125" i="3" s="1"/>
  <c r="F10" i="3"/>
  <c r="F123" i="3" s="1"/>
  <c r="F124" i="3" s="1"/>
  <c r="F125" i="3" s="1"/>
  <c r="C33" i="3"/>
  <c r="C123" i="3" s="1"/>
  <c r="C124" i="3" s="1"/>
  <c r="C125" i="3" s="1"/>
  <c r="G123" i="3" l="1"/>
  <c r="G124" i="3"/>
  <c r="G125" i="3" l="1"/>
</calcChain>
</file>

<file path=xl/sharedStrings.xml><?xml version="1.0" encoding="utf-8"?>
<sst xmlns="http://schemas.openxmlformats.org/spreadsheetml/2006/main" count="542" uniqueCount="231">
  <si>
    <t>FUENTE DE FINANCIAMIENTO 2 (FF29</t>
  </si>
  <si>
    <t>FONDOS PROPIOS</t>
  </si>
  <si>
    <t>AREA DE GESTION</t>
  </si>
  <si>
    <t>CONDUC. ADMINISTRAR (AG 1)</t>
  </si>
  <si>
    <t>GRAN</t>
  </si>
  <si>
    <t>TOTAL</t>
  </si>
  <si>
    <t>0101 Dir. Superior</t>
  </si>
  <si>
    <t>0102 Admon. Financiera</t>
  </si>
  <si>
    <t>0201 Serv. Mp. Div.</t>
  </si>
  <si>
    <t>0202 Serv. Ext.</t>
  </si>
  <si>
    <t>Sub Total</t>
  </si>
  <si>
    <t>FODES 75%</t>
  </si>
  <si>
    <t>SUB TOTAL</t>
  </si>
  <si>
    <t>0301 Preinversión</t>
  </si>
  <si>
    <t>0302 Proy. Des. Social</t>
  </si>
  <si>
    <t>0401 Proy. Des. Econ.</t>
  </si>
  <si>
    <t>0305 Préstamos</t>
  </si>
  <si>
    <t>0501 Amort. Endeu. Púb.</t>
  </si>
  <si>
    <t>Des. Social</t>
  </si>
  <si>
    <t>Des. Econom.</t>
  </si>
  <si>
    <t>Deuda Púb.</t>
  </si>
  <si>
    <t>AG3</t>
  </si>
  <si>
    <t>AG 4</t>
  </si>
  <si>
    <t>(AG5)</t>
  </si>
  <si>
    <t>CONDUCCION ADMINISTRATIVA</t>
  </si>
  <si>
    <t>FODES 25%</t>
  </si>
  <si>
    <t>FUENTE DE FINANCIAMIENTO 1 (FF1)</t>
  </si>
  <si>
    <t>CONCEPTO</t>
  </si>
  <si>
    <t>CODIGO</t>
  </si>
  <si>
    <t>TOTALES</t>
  </si>
  <si>
    <t>REMUNERACIONES</t>
  </si>
  <si>
    <t>REMUNERACIONES PERMANENTES</t>
  </si>
  <si>
    <t>SUELDOS</t>
  </si>
  <si>
    <t>AGUINALDOS</t>
  </si>
  <si>
    <t>DIETAS</t>
  </si>
  <si>
    <t>REMUNERACIONES EVENTUALES</t>
  </si>
  <si>
    <t>SALARIOS POR JORNAL</t>
  </si>
  <si>
    <t>CONTRIB. PATRON. A INST. SEG. SOCIAL PUB.</t>
  </si>
  <si>
    <t>POR REMUNERACIONES PERMANENTES</t>
  </si>
  <si>
    <t>POR REMUNERACIONES EVENTUALES</t>
  </si>
  <si>
    <t>CONTRIB. PATRON. A INST. SEG. SOCIAL PRIV.</t>
  </si>
  <si>
    <t>GASTOS DE REPRESENTACION</t>
  </si>
  <si>
    <t>POR PRESTACION DE SERVICIOS EN EL PAIS</t>
  </si>
  <si>
    <t>POR PRESTACION DE SERVICIOS EN EL EXT.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</si>
  <si>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</si>
  <si>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</si>
  <si>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</si>
  <si>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</si>
  <si>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</si>
  <si>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AGROP. Y FORESTALES</t>
  </si>
  <si>
    <t>PRODUCTOS TEXTILES Y DE VESTUARIO</t>
  </si>
  <si>
    <t>PRODUCTOS DE PAPEL Y CARTON</t>
  </si>
  <si>
    <t>PRODUCTOS DE CUERO Y CAUCHO</t>
  </si>
  <si>
    <t>PRODUCTOS QUIMICOS</t>
  </si>
  <si>
    <t>PRODUCTOS FARMACEUTICOS Y MED.</t>
  </si>
  <si>
    <t>LLANTAS Y NEUMATICOS</t>
  </si>
  <si>
    <t>COMBUSTIBLES Y LUBRICANTES</t>
  </si>
  <si>
    <t>MINERALES NO METALICOS Y PROD. DER.</t>
  </si>
  <si>
    <t>MINERALES METALICOS Y PROD. DER.</t>
  </si>
  <si>
    <t>MATERIALES DE OFICINA</t>
  </si>
  <si>
    <t>MATERIALES INFORMATICOS</t>
  </si>
  <si>
    <t>LIBROS, TEXTOS Y UTILES DE ENSEÑANZA</t>
  </si>
  <si>
    <t>HERRAMIENTAS, REPUESTOS Y ACCESORIOS</t>
  </si>
  <si>
    <t>MATERIALES ELECTRICOS</t>
  </si>
  <si>
    <t>ESPECIES MUNICIPALES DIVERSAS</t>
  </si>
  <si>
    <t>SERVICIOS BASICOS</t>
  </si>
  <si>
    <t>SERVICIOS DE ENERGIA ELECTRICA</t>
  </si>
  <si>
    <t>SERVICIOS DE AGUA</t>
  </si>
  <si>
    <t>SERVICIOS DE TELECOMUNICACIONES</t>
  </si>
  <si>
    <t>CORREOS</t>
  </si>
  <si>
    <t>ALUMBRADO PUBLICO</t>
  </si>
  <si>
    <t>SERVICIOS GENERALES Y ARRENDAMIENTOS</t>
  </si>
  <si>
    <t>MANTTO. Y REP. DE BIENES MUEBLES</t>
  </si>
  <si>
    <t>MANTTO. Y REP. DE VEHICULOS</t>
  </si>
  <si>
    <t>MANTENIMIENTO Y REPARACION DE BIENES</t>
  </si>
  <si>
    <t>TRANSPORTE, FLETES Y ALMACENAMIENTO</t>
  </si>
  <si>
    <t>SERVICIOS DE PUBLICIDAD</t>
  </si>
  <si>
    <t>SERVICIOS DE LIMPIEZA Y FUMIGACIONES</t>
  </si>
  <si>
    <t>SERVICIOS EDUCATIVOS</t>
  </si>
  <si>
    <t>IMPRESIONES, PUBLICACIONES Y REPROD.</t>
  </si>
  <si>
    <t>ATENCIONES OFICIALES</t>
  </si>
  <si>
    <t>RUBRO DE AGRUPACION</t>
  </si>
  <si>
    <t>CUENTA PRESUPUESTARIA</t>
  </si>
  <si>
    <t>TOTALES DE OBJETOS ESPECIFICOS</t>
  </si>
  <si>
    <t>INDEMNIZACIONES</t>
  </si>
  <si>
    <t>INDEMNIZACIONES SERVICIOS EVENTUALES</t>
  </si>
  <si>
    <t>PASAJES Y VIATICOS</t>
  </si>
  <si>
    <t>PASAJES AL INTERIOR</t>
  </si>
  <si>
    <t>PASAJES AL EXTERIOR</t>
  </si>
  <si>
    <t>VIATICOS POR COMISION INTERNA</t>
  </si>
  <si>
    <t>SERVICIOS TECNICOS Y PROFESIONALES</t>
  </si>
  <si>
    <t>SERVICIOS DE MEDIO AMBIENTE Y RECURSOS</t>
  </si>
  <si>
    <t>SERVICIOS JURIDICOS</t>
  </si>
  <si>
    <t>SERVICIOS DE CONTABILIDAD Y AUDITORIA</t>
  </si>
  <si>
    <t>SERVICIOS DE CAPACITACION</t>
  </si>
  <si>
    <t>CONSULTORIAS, ESTUDIOS E INVESTIG. DIVERSAS</t>
  </si>
  <si>
    <t>TRATAMIENTO DE DESECHOS</t>
  </si>
  <si>
    <t>DEPOSITO DE DESECHOS</t>
  </si>
  <si>
    <t>GASTOS FINANCIEROS Y OTROS</t>
  </si>
  <si>
    <t>INTERESES Y COMISIONES DE LA DEUDA PUBLICA</t>
  </si>
  <si>
    <t>DE INSTITUCIONES DESCENT. NO EMPRESARIALES</t>
  </si>
  <si>
    <t>DE EMPRESAS PUBLICAS FINANCIERAS</t>
  </si>
  <si>
    <t>SEGUROS, COMISIONES Y GASTOS BANCARIOS</t>
  </si>
  <si>
    <t>PRIMAS Y GASTOS DE SEGUROS DE BIENES</t>
  </si>
  <si>
    <t>COMISIONES Y GASTOS BANCARIOS (POR CERT. CH)</t>
  </si>
  <si>
    <t>OTROS GASTOS NO CLASIFICADOS</t>
  </si>
  <si>
    <t>MULTAS Y COSTAS JUDICIALES</t>
  </si>
  <si>
    <t>GASTOS DIVERSOS</t>
  </si>
  <si>
    <t>TRANSFERENCIAS CORRIENTES</t>
  </si>
  <si>
    <t>TRANSFERENCIAS CORRIENTES SECTOR PUBLIC.</t>
  </si>
  <si>
    <t>TRANSFERENCIAS CORRIENTES. SECTOR PUB.</t>
  </si>
  <si>
    <t>TRANSFERENCIAS CORRIENTES SECTOR PRIVADO</t>
  </si>
  <si>
    <t>EMPRESAS PRIVADAS NO FINANCIERAS</t>
  </si>
  <si>
    <t>A ORGANISMOS SIN FINES DE LUCRO</t>
  </si>
  <si>
    <t>BECAS</t>
  </si>
  <si>
    <t>INVERSIONES EN ACTIVOS FIJOS</t>
  </si>
  <si>
    <t>BIENES MUEBLES</t>
  </si>
  <si>
    <t>MAQUINARIA Y EQUIPO</t>
  </si>
  <si>
    <t>EQUIPOS INFORMATICOS</t>
  </si>
  <si>
    <t>BIENES MUEBLES DIVERSOS</t>
  </si>
  <si>
    <t>BIENES INMUEBLES</t>
  </si>
  <si>
    <t>TERRENOS</t>
  </si>
  <si>
    <t>ESTUDIOS DE PREINVERSION</t>
  </si>
  <si>
    <t>PROYECTOS Y PROGRAMAS DE INVERSION DIV.</t>
  </si>
  <si>
    <t>INFRAESTRUCTURA</t>
  </si>
  <si>
    <t>VIALES</t>
  </si>
  <si>
    <t>DE EDUCACION Y RECREACION</t>
  </si>
  <si>
    <t>ELECTRICAS Y COMUNICACIONES</t>
  </si>
  <si>
    <t>SUPERVISION DE INFRAESTRUCTURA</t>
  </si>
  <si>
    <t>OBRAS DE INFRAESTRUCTURA DIVERSA</t>
  </si>
  <si>
    <t>AMORTIZACION DE ENDEUDAMIENTO PUBLICO</t>
  </si>
  <si>
    <t>AMOTIZACION EMPRESTITOS INT.</t>
  </si>
  <si>
    <t>SALDO AÑOS ANTERIORES</t>
  </si>
  <si>
    <t>CUENTAS POR PAGAR AÑOS ANTERIORES</t>
  </si>
  <si>
    <t>INDEMNIZACIONES SERVICIOS PERMANENTES</t>
  </si>
  <si>
    <t>ARRENDAMIENTO DE BIENES MUEBLES</t>
  </si>
  <si>
    <t>SALUD Y SANEAMIENTO</t>
  </si>
  <si>
    <t>OFICINAS ADMINISTRATIVAS</t>
  </si>
  <si>
    <t>ALCALDIA MUNICIPAL DE CHIRILAGUA</t>
  </si>
  <si>
    <t xml:space="preserve">FODES 25% </t>
  </si>
  <si>
    <t>6. DONACIONES</t>
  </si>
  <si>
    <t>5. INFORME DE CREDITOS SOLICITADOS</t>
  </si>
  <si>
    <t>4. TRANSFERENCIAS GOES</t>
  </si>
  <si>
    <t>3. HISTORIAL DE SALDOS BANCARIOS</t>
  </si>
  <si>
    <t>2. HISTORIAL DE RECUPERACION DE MOROSIDAD</t>
  </si>
  <si>
    <t>1. BASE DE GENERACION DE AVISOS DE CONTRIBUYENTES</t>
  </si>
  <si>
    <t>INSUMOS BASICOS:</t>
  </si>
  <si>
    <t>(14) TOTAL INGRESOS</t>
  </si>
  <si>
    <t>Cuentas por cobrar de años anteriores</t>
  </si>
  <si>
    <t>32202</t>
  </si>
  <si>
    <t>Saldo Inicial en caja y bancos</t>
  </si>
  <si>
    <t>32102</t>
  </si>
  <si>
    <t>Transf. De Capital del S.P.</t>
  </si>
  <si>
    <t>22201</t>
  </si>
  <si>
    <t>Transf. Ctes. Del S.P.</t>
  </si>
  <si>
    <t>16201</t>
  </si>
  <si>
    <t>Rentabilidad de cuentas bancarias</t>
  </si>
  <si>
    <t>Pavimentacion</t>
  </si>
  <si>
    <t>FISDL/PFGL</t>
  </si>
  <si>
    <t>(6) Inversión</t>
  </si>
  <si>
    <t>(5) Funcionamiento</t>
  </si>
  <si>
    <t>(7) OTROS</t>
  </si>
  <si>
    <t>(4) FODES</t>
  </si>
  <si>
    <t xml:space="preserve">(13) T O T A L  </t>
  </si>
  <si>
    <t>(12) Fondos BCIE</t>
  </si>
  <si>
    <t>(11) Préstamos Internos</t>
  </si>
  <si>
    <t>( 10) FONDOS FISDL</t>
  </si>
  <si>
    <t>(9) Fondos Propios</t>
  </si>
  <si>
    <t>(3) Fondo General</t>
  </si>
  <si>
    <t>(2) DENOMINACION</t>
  </si>
  <si>
    <t>DETALLE CONSOLIDADO DE INGRESOS POR ESPECIFICO Y FUENTE DE FINANCIAMIENTO</t>
  </si>
  <si>
    <t>(En Dolares de los Estados Unidos de America)</t>
  </si>
  <si>
    <t>DEPARTAMENTO DE SAN MIGUEL</t>
  </si>
  <si>
    <t>Financieros</t>
  </si>
  <si>
    <t xml:space="preserve">Impuestos                                                       </t>
  </si>
  <si>
    <t xml:space="preserve">Impuestos municipales                                           </t>
  </si>
  <si>
    <t xml:space="preserve">De comercio                                                      </t>
  </si>
  <si>
    <t>De servicios</t>
  </si>
  <si>
    <t xml:space="preserve">Bares y restaurantes        </t>
  </si>
  <si>
    <t>Vialidad</t>
  </si>
  <si>
    <t>Tasas y derechos</t>
  </si>
  <si>
    <t>Tasas</t>
  </si>
  <si>
    <t xml:space="preserve">Por expedicion de documentos de identificacion                 </t>
  </si>
  <si>
    <t>Alumbrado publico</t>
  </si>
  <si>
    <t>Aseo publico</t>
  </si>
  <si>
    <t>Cementerios municipales</t>
  </si>
  <si>
    <t>Desechos</t>
  </si>
  <si>
    <t>Fiestas</t>
  </si>
  <si>
    <t>Mercados</t>
  </si>
  <si>
    <t>Postes, torres y antenas</t>
  </si>
  <si>
    <t>Rastro y tiangue</t>
  </si>
  <si>
    <t>Baños y lavaderos publicos</t>
  </si>
  <si>
    <t>Tasas diversas</t>
  </si>
  <si>
    <t>Derechos</t>
  </si>
  <si>
    <t>Permisos y licencias municipales</t>
  </si>
  <si>
    <t>Cotejo de fierros</t>
  </si>
  <si>
    <t>Ventas de bienes y servicios</t>
  </si>
  <si>
    <t>Ingresos por prestacion de servicios publicos</t>
  </si>
  <si>
    <t>Servicios diversos</t>
  </si>
  <si>
    <t>Venta de bienes diversos</t>
  </si>
  <si>
    <t>Multas e intereses por mora</t>
  </si>
  <si>
    <t>Multas por mora de impuestos</t>
  </si>
  <si>
    <t>Intereses por mora de impuestos</t>
  </si>
  <si>
    <t>Multas por registro civil</t>
  </si>
  <si>
    <t>Multas e intereses diversos</t>
  </si>
  <si>
    <t>Arrendamiento de bienes</t>
  </si>
  <si>
    <t>Arrendamientos de bienes diversos</t>
  </si>
  <si>
    <t>Otros ingresos no clasificados</t>
  </si>
  <si>
    <t>Ingresos diversos</t>
  </si>
  <si>
    <t>16</t>
  </si>
  <si>
    <t>162</t>
  </si>
  <si>
    <t>Transferencias Corrientes del Sector Publico</t>
  </si>
  <si>
    <t xml:space="preserve">Transferencias Corrientes </t>
  </si>
  <si>
    <t>22</t>
  </si>
  <si>
    <t>Transferencias de Capital</t>
  </si>
  <si>
    <t>222</t>
  </si>
  <si>
    <t>Transferencias de Capital del sector Publico</t>
  </si>
  <si>
    <t>Ingresos financieros y otros</t>
  </si>
  <si>
    <t>32</t>
  </si>
  <si>
    <t>Saldo de Años Anteriores</t>
  </si>
  <si>
    <t>321</t>
  </si>
  <si>
    <t>Saldo de Caja y Bancos</t>
  </si>
  <si>
    <t xml:space="preserve">Por servicios de certificacion o visado        </t>
  </si>
  <si>
    <t>Total</t>
  </si>
  <si>
    <t>ARRENDAMIENTO DE BIENES INMUEBLES</t>
  </si>
  <si>
    <t>A PERSONAS NATURALES</t>
  </si>
  <si>
    <t>SUELDOS POR CONTRATO</t>
  </si>
  <si>
    <t>FORMULACIÓN DEL PRESUPUESTO MUNICIPAL DE INGRESOS 2017</t>
  </si>
  <si>
    <t xml:space="preserve"> Total</t>
  </si>
  <si>
    <t>PRESUPUESTO 2017</t>
  </si>
  <si>
    <t>PRESUPUESTO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</si>
</sst>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-[$€-2]* #,##0.00_-;\-[$€-2]* #,##0.00_-;_-[$€-2]* &quot;-&quot;??_-"/>
    <numFmt numFmtId="168" formatCode="_-[$$-540A]* #,##0.00_ ;_-[$$-540A]* \-#,##0.00\ ;_-[$$-540A]* &quot;-&quot;??_ ;_-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Arial"/>
      <family val="2"/>
    </font>
    <font>
      <b/>
      <sz val="12"/>
      <name val="Trebuchet MS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name val="Trebuchet MS"/>
      <family val="2"/>
    </font>
    <font>
      <sz val="14"/>
      <name val="Arial"/>
      <family val="2"/>
    </font>
    <font>
      <sz val="14"/>
      <name val="Trebuchet MS"/>
      <family val="2"/>
    </font>
    <font>
      <sz val="16"/>
      <name val="Trebuchet MS"/>
      <family val="2"/>
    </font>
    <font>
      <sz val="16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gray125">
        <fgColor indexed="22"/>
        <bgColor indexed="11"/>
      </patternFill>
    </fill>
    <fill>
      <patternFill patternType="lightTrellis">
        <fgColor indexed="22"/>
        <bgColor indexed="11"/>
      </patternFill>
    </fill>
    <fill>
      <patternFill patternType="gray125">
        <fgColor indexed="22"/>
        <bgColor indexed="49"/>
      </patternFill>
    </fill>
    <fill>
      <patternFill patternType="gray125">
        <fgColor indexed="22"/>
        <bgColor indexed="43"/>
      </patternFill>
    </fill>
    <fill>
      <patternFill patternType="gray125">
        <fgColor indexed="22"/>
        <bgColor indexed="53"/>
      </patternFill>
    </fill>
    <fill>
      <patternFill patternType="gray125">
        <fgColor indexed="22"/>
        <bgColor indexed="13"/>
      </patternFill>
    </fill>
    <fill>
      <patternFill patternType="gray125">
        <fgColor indexed="22"/>
        <bgColor indexed="44"/>
      </patternFill>
    </fill>
    <fill>
      <patternFill patternType="gray125">
        <fgColor indexed="22"/>
        <bgColor indexed="52"/>
      </patternFill>
    </fill>
    <fill>
      <patternFill patternType="gray125">
        <fgColor indexed="22"/>
        <bgColor indexed="17"/>
      </patternFill>
    </fill>
    <fill>
      <patternFill patternType="gray125">
        <fgColor indexed="22"/>
        <bgColor indexed="31"/>
      </patternFill>
    </fill>
    <fill>
      <patternFill patternType="lightTrellis">
        <fgColor indexed="22"/>
        <bgColor indexed="29"/>
      </patternFill>
    </fill>
    <fill>
      <patternFill patternType="lightTrellis">
        <fgColor indexed="22"/>
        <bgColor indexed="36"/>
      </patternFill>
    </fill>
    <fill>
      <patternFill patternType="gray125">
        <fgColor indexed="22"/>
        <bgColor indexed="27"/>
      </patternFill>
    </fill>
    <fill>
      <patternFill patternType="gray125">
        <fgColor indexed="22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0" fontId="8" fillId="0" borderId="0"/>
    <xf numFmtId="165" fontId="4" fillId="0" borderId="0" applyFont="0" applyFill="0" applyBorder="0" applyAlignment="0" applyProtection="0"/>
  </cellStyleXfs>
  <cellXfs count="260"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" xfId="0" applyFont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7" xfId="0" applyFont="1" applyBorder="1"/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8" xfId="0" applyFont="1" applyBorder="1" applyAlignment="1">
      <alignment wrapText="1"/>
    </xf>
    <xf numFmtId="0" fontId="0" fillId="0" borderId="20" xfId="0" applyBorder="1"/>
    <xf numFmtId="0" fontId="0" fillId="0" borderId="29" xfId="0" applyBorder="1"/>
    <xf numFmtId="0" fontId="0" fillId="0" borderId="30" xfId="0" applyBorder="1"/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Fill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0" fillId="0" borderId="2" xfId="0" applyNumberFormat="1" applyBorder="1"/>
    <xf numFmtId="164" fontId="3" fillId="0" borderId="2" xfId="0" applyNumberFormat="1" applyFont="1" applyBorder="1"/>
    <xf numFmtId="164" fontId="1" fillId="0" borderId="32" xfId="0" applyNumberFormat="1" applyFont="1" applyBorder="1"/>
    <xf numFmtId="164" fontId="1" fillId="0" borderId="33" xfId="0" applyNumberFormat="1" applyFont="1" applyBorder="1"/>
    <xf numFmtId="164" fontId="0" fillId="0" borderId="32" xfId="0" applyNumberFormat="1" applyBorder="1"/>
    <xf numFmtId="164" fontId="1" fillId="0" borderId="34" xfId="0" applyNumberFormat="1" applyFont="1" applyBorder="1"/>
    <xf numFmtId="164" fontId="3" fillId="0" borderId="32" xfId="0" applyNumberFormat="1" applyFont="1" applyBorder="1"/>
    <xf numFmtId="164" fontId="3" fillId="0" borderId="33" xfId="0" applyNumberFormat="1" applyFont="1" applyBorder="1"/>
    <xf numFmtId="164" fontId="0" fillId="0" borderId="33" xfId="0" applyNumberForma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22" xfId="0" applyFont="1" applyBorder="1"/>
    <xf numFmtId="164" fontId="0" fillId="0" borderId="33" xfId="0" applyNumberFormat="1" applyFont="1" applyBorder="1"/>
    <xf numFmtId="164" fontId="0" fillId="0" borderId="2" xfId="0" applyNumberFormat="1" applyFont="1" applyBorder="1"/>
    <xf numFmtId="164" fontId="1" fillId="2" borderId="0" xfId="1" applyFont="1" applyFill="1"/>
    <xf numFmtId="165" fontId="0" fillId="0" borderId="1" xfId="0" applyNumberFormat="1" applyFont="1" applyBorder="1" applyAlignment="1">
      <alignment wrapText="1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0" fontId="8" fillId="0" borderId="0" xfId="2"/>
    <xf numFmtId="0" fontId="8" fillId="3" borderId="0" xfId="2" applyFill="1"/>
    <xf numFmtId="0" fontId="9" fillId="3" borderId="0" xfId="2" applyFont="1" applyFill="1"/>
    <xf numFmtId="0" fontId="10" fillId="3" borderId="0" xfId="2" applyFont="1" applyFill="1"/>
    <xf numFmtId="0" fontId="10" fillId="3" borderId="0" xfId="2" applyFont="1" applyFill="1" applyAlignment="1">
      <alignment horizontal="center"/>
    </xf>
    <xf numFmtId="0" fontId="14" fillId="0" borderId="0" xfId="2" applyFont="1"/>
    <xf numFmtId="0" fontId="14" fillId="3" borderId="0" xfId="2" applyFont="1" applyFill="1"/>
    <xf numFmtId="0" fontId="11" fillId="3" borderId="0" xfId="2" applyFont="1" applyFill="1"/>
    <xf numFmtId="49" fontId="13" fillId="3" borderId="0" xfId="2" applyNumberFormat="1" applyFont="1" applyFill="1" applyBorder="1" applyAlignment="1">
      <alignment horizontal="left"/>
    </xf>
    <xf numFmtId="0" fontId="13" fillId="4" borderId="0" xfId="2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horizontal="center"/>
    </xf>
    <xf numFmtId="0" fontId="12" fillId="6" borderId="40" xfId="2" applyFont="1" applyFill="1" applyBorder="1" applyAlignment="1">
      <alignment vertical="center" wrapText="1"/>
    </xf>
    <xf numFmtId="0" fontId="8" fillId="0" borderId="0" xfId="2" applyFill="1"/>
    <xf numFmtId="0" fontId="13" fillId="12" borderId="39" xfId="2" applyFont="1" applyFill="1" applyBorder="1" applyAlignment="1">
      <alignment horizontal="center" vertical="center" textRotation="90" wrapText="1"/>
    </xf>
    <xf numFmtId="0" fontId="13" fillId="13" borderId="40" xfId="2" applyFont="1" applyFill="1" applyBorder="1" applyAlignment="1">
      <alignment horizontal="center" vertical="center" textRotation="90" wrapText="1"/>
    </xf>
    <xf numFmtId="0" fontId="13" fillId="16" borderId="19" xfId="2" applyFont="1" applyFill="1" applyBorder="1" applyAlignment="1">
      <alignment horizontal="center" vertical="center" textRotation="90" wrapText="1"/>
    </xf>
    <xf numFmtId="0" fontId="11" fillId="17" borderId="40" xfId="2" applyFont="1" applyFill="1" applyBorder="1" applyAlignment="1">
      <alignment horizontal="center" wrapText="1"/>
    </xf>
    <xf numFmtId="0" fontId="13" fillId="16" borderId="18" xfId="2" applyFont="1" applyFill="1" applyBorder="1" applyAlignment="1">
      <alignment horizontal="center" vertical="center" textRotation="90" wrapText="1"/>
    </xf>
    <xf numFmtId="0" fontId="13" fillId="16" borderId="17" xfId="2" applyFont="1" applyFill="1" applyBorder="1" applyAlignment="1">
      <alignment horizontal="center" vertical="center" textRotation="90" wrapText="1"/>
    </xf>
    <xf numFmtId="0" fontId="11" fillId="3" borderId="0" xfId="2" applyFont="1" applyFill="1" applyAlignment="1">
      <alignment wrapText="1"/>
    </xf>
    <xf numFmtId="0" fontId="10" fillId="3" borderId="0" xfId="2" applyFont="1" applyFill="1" applyAlignment="1">
      <alignment wrapText="1"/>
    </xf>
    <xf numFmtId="164" fontId="5" fillId="0" borderId="1" xfId="0" applyNumberFormat="1" applyFont="1" applyBorder="1"/>
    <xf numFmtId="164" fontId="21" fillId="0" borderId="1" xfId="0" applyNumberFormat="1" applyFont="1" applyBorder="1"/>
    <xf numFmtId="0" fontId="23" fillId="3" borderId="0" xfId="2" applyFont="1" applyFill="1"/>
    <xf numFmtId="0" fontId="23" fillId="0" borderId="0" xfId="2" applyFont="1"/>
    <xf numFmtId="0" fontId="22" fillId="3" borderId="0" xfId="2" applyFont="1" applyFill="1"/>
    <xf numFmtId="0" fontId="22" fillId="0" borderId="0" xfId="2" applyFont="1"/>
    <xf numFmtId="0" fontId="8" fillId="0" borderId="0" xfId="2" applyFont="1"/>
    <xf numFmtId="0" fontId="13" fillId="14" borderId="40" xfId="2" applyFont="1" applyFill="1" applyBorder="1" applyAlignment="1">
      <alignment horizontal="center" vertical="center" textRotation="90" wrapText="1"/>
    </xf>
    <xf numFmtId="0" fontId="23" fillId="19" borderId="0" xfId="2" applyFont="1" applyFill="1"/>
    <xf numFmtId="0" fontId="22" fillId="19" borderId="0" xfId="2" applyFont="1" applyFill="1"/>
    <xf numFmtId="166" fontId="23" fillId="19" borderId="0" xfId="2" applyNumberFormat="1" applyFont="1" applyFill="1"/>
    <xf numFmtId="164" fontId="1" fillId="19" borderId="0" xfId="0" applyNumberFormat="1" applyFont="1" applyFill="1"/>
    <xf numFmtId="49" fontId="12" fillId="3" borderId="47" xfId="2" applyNumberFormat="1" applyFont="1" applyFill="1" applyBorder="1" applyAlignment="1">
      <alignment horizontal="center"/>
    </xf>
    <xf numFmtId="0" fontId="21" fillId="0" borderId="10" xfId="0" applyFont="1" applyBorder="1" applyAlignment="1">
      <alignment vertical="center" wrapText="1"/>
    </xf>
    <xf numFmtId="166" fontId="12" fillId="3" borderId="44" xfId="3" applyFont="1" applyFill="1" applyBorder="1" applyAlignment="1">
      <alignment horizontal="center"/>
    </xf>
    <xf numFmtId="166" fontId="12" fillId="3" borderId="47" xfId="3" applyFont="1" applyFill="1" applyBorder="1" applyAlignment="1">
      <alignment horizontal="center"/>
    </xf>
    <xf numFmtId="49" fontId="24" fillId="3" borderId="44" xfId="2" applyNumberFormat="1" applyFont="1" applyFill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166" fontId="24" fillId="3" borderId="44" xfId="3" applyFont="1" applyFill="1" applyBorder="1" applyAlignment="1">
      <alignment horizontal="center"/>
    </xf>
    <xf numFmtId="0" fontId="24" fillId="0" borderId="46" xfId="2" applyFont="1" applyFill="1" applyBorder="1" applyAlignment="1">
      <alignment horizontal="center" vertical="center" wrapText="1"/>
    </xf>
    <xf numFmtId="0" fontId="12" fillId="0" borderId="46" xfId="2" applyFont="1" applyFill="1" applyBorder="1" applyAlignment="1">
      <alignment horizontal="center" vertical="center" wrapText="1"/>
    </xf>
    <xf numFmtId="49" fontId="24" fillId="3" borderId="46" xfId="2" applyNumberFormat="1" applyFont="1" applyFill="1" applyBorder="1" applyAlignment="1">
      <alignment horizontal="center"/>
    </xf>
    <xf numFmtId="49" fontId="24" fillId="3" borderId="45" xfId="2" applyNumberFormat="1" applyFont="1" applyFill="1" applyBorder="1" applyAlignment="1">
      <alignment horizontal="center"/>
    </xf>
    <xf numFmtId="49" fontId="12" fillId="3" borderId="45" xfId="2" applyNumberFormat="1" applyFont="1" applyFill="1" applyBorder="1" applyAlignment="1">
      <alignment horizontal="center"/>
    </xf>
    <xf numFmtId="166" fontId="12" fillId="3" borderId="41" xfId="3" applyFont="1" applyFill="1" applyBorder="1" applyAlignment="1">
      <alignment horizontal="center"/>
    </xf>
    <xf numFmtId="166" fontId="24" fillId="3" borderId="41" xfId="3" applyFont="1" applyFill="1" applyBorder="1" applyAlignment="1">
      <alignment horizontal="center"/>
    </xf>
    <xf numFmtId="0" fontId="24" fillId="3" borderId="10" xfId="2" applyFont="1" applyFill="1" applyBorder="1" applyAlignment="1">
      <alignment horizontal="justify" vertical="justify" wrapText="1"/>
    </xf>
    <xf numFmtId="168" fontId="24" fillId="19" borderId="44" xfId="3" applyNumberFormat="1" applyFont="1" applyFill="1" applyBorder="1" applyAlignment="1">
      <alignment horizontal="center"/>
    </xf>
    <xf numFmtId="166" fontId="24" fillId="19" borderId="46" xfId="3" applyFont="1" applyFill="1" applyBorder="1" applyAlignment="1">
      <alignment horizontal="center"/>
    </xf>
    <xf numFmtId="0" fontId="12" fillId="3" borderId="50" xfId="2" applyFont="1" applyFill="1" applyBorder="1" applyAlignment="1">
      <alignment horizontal="justify" vertical="justify" wrapText="1"/>
    </xf>
    <xf numFmtId="168" fontId="12" fillId="19" borderId="44" xfId="3" applyNumberFormat="1" applyFont="1" applyFill="1" applyBorder="1" applyAlignment="1">
      <alignment horizontal="center"/>
    </xf>
    <xf numFmtId="166" fontId="12" fillId="19" borderId="44" xfId="3" applyFont="1" applyFill="1" applyBorder="1" applyAlignment="1">
      <alignment horizontal="center"/>
    </xf>
    <xf numFmtId="0" fontId="24" fillId="3" borderId="50" xfId="2" applyFont="1" applyFill="1" applyBorder="1" applyAlignment="1">
      <alignment horizontal="justify" vertical="justify" wrapText="1"/>
    </xf>
    <xf numFmtId="166" fontId="24" fillId="19" borderId="44" xfId="3" applyFont="1" applyFill="1" applyBorder="1" applyAlignment="1">
      <alignment horizontal="center"/>
    </xf>
    <xf numFmtId="0" fontId="12" fillId="6" borderId="37" xfId="2" applyFont="1" applyFill="1" applyBorder="1" applyAlignment="1">
      <alignment vertical="center" wrapText="1"/>
    </xf>
    <xf numFmtId="166" fontId="12" fillId="5" borderId="40" xfId="3" applyFont="1" applyFill="1" applyBorder="1" applyAlignment="1">
      <alignment vertical="center" wrapText="1"/>
    </xf>
    <xf numFmtId="166" fontId="12" fillId="5" borderId="19" xfId="3" applyFont="1" applyFill="1" applyBorder="1" applyAlignment="1">
      <alignment vertical="center" wrapText="1"/>
    </xf>
    <xf numFmtId="49" fontId="12" fillId="20" borderId="45" xfId="2" applyNumberFormat="1" applyFont="1" applyFill="1" applyBorder="1" applyAlignment="1">
      <alignment horizontal="center"/>
    </xf>
    <xf numFmtId="0" fontId="12" fillId="20" borderId="50" xfId="2" applyFont="1" applyFill="1" applyBorder="1" applyAlignment="1">
      <alignment horizontal="justify" vertical="justify" wrapText="1"/>
    </xf>
    <xf numFmtId="168" fontId="12" fillId="20" borderId="44" xfId="3" applyNumberFormat="1" applyFont="1" applyFill="1" applyBorder="1" applyAlignment="1">
      <alignment horizontal="center"/>
    </xf>
    <xf numFmtId="166" fontId="12" fillId="20" borderId="44" xfId="3" applyFont="1" applyFill="1" applyBorder="1" applyAlignment="1">
      <alignment horizontal="center"/>
    </xf>
    <xf numFmtId="49" fontId="24" fillId="20" borderId="45" xfId="2" applyNumberFormat="1" applyFont="1" applyFill="1" applyBorder="1" applyAlignment="1">
      <alignment horizontal="center"/>
    </xf>
    <xf numFmtId="0" fontId="24" fillId="20" borderId="50" xfId="2" applyFont="1" applyFill="1" applyBorder="1" applyAlignment="1">
      <alignment horizontal="justify" vertical="justify" wrapText="1"/>
    </xf>
    <xf numFmtId="168" fontId="24" fillId="20" borderId="44" xfId="3" applyNumberFormat="1" applyFont="1" applyFill="1" applyBorder="1" applyAlignment="1">
      <alignment horizontal="center"/>
    </xf>
    <xf numFmtId="166" fontId="24" fillId="20" borderId="44" xfId="3" applyFont="1" applyFill="1" applyBorder="1" applyAlignment="1">
      <alignment horizontal="center"/>
    </xf>
    <xf numFmtId="49" fontId="24" fillId="20" borderId="49" xfId="2" applyNumberFormat="1" applyFont="1" applyFill="1" applyBorder="1" applyAlignment="1">
      <alignment horizontal="center"/>
    </xf>
    <xf numFmtId="164" fontId="11" fillId="3" borderId="0" xfId="2" applyNumberFormat="1" applyFont="1" applyFill="1"/>
    <xf numFmtId="44" fontId="11" fillId="3" borderId="0" xfId="2" applyNumberFormat="1" applyFont="1" applyFill="1"/>
    <xf numFmtId="168" fontId="10" fillId="3" borderId="0" xfId="2" applyNumberFormat="1" applyFont="1" applyFill="1"/>
    <xf numFmtId="0" fontId="0" fillId="19" borderId="20" xfId="0" applyFill="1" applyBorder="1"/>
    <xf numFmtId="0" fontId="0" fillId="19" borderId="17" xfId="0" applyFill="1" applyBorder="1"/>
    <xf numFmtId="0" fontId="0" fillId="19" borderId="0" xfId="0" applyFill="1"/>
    <xf numFmtId="0" fontId="0" fillId="19" borderId="29" xfId="0" applyFill="1" applyBorder="1"/>
    <xf numFmtId="0" fontId="0" fillId="19" borderId="18" xfId="0" applyFill="1" applyBorder="1"/>
    <xf numFmtId="0" fontId="1" fillId="19" borderId="29" xfId="0" applyFont="1" applyFill="1" applyBorder="1" applyAlignment="1">
      <alignment horizontal="center"/>
    </xf>
    <xf numFmtId="0" fontId="1" fillId="19" borderId="18" xfId="0" applyFont="1" applyFill="1" applyBorder="1" applyAlignment="1">
      <alignment horizontal="center"/>
    </xf>
    <xf numFmtId="0" fontId="0" fillId="19" borderId="30" xfId="0" applyFill="1" applyBorder="1"/>
    <xf numFmtId="0" fontId="0" fillId="19" borderId="19" xfId="0" applyFill="1" applyBorder="1"/>
    <xf numFmtId="0" fontId="2" fillId="19" borderId="28" xfId="0" applyFont="1" applyFill="1" applyBorder="1" applyAlignment="1">
      <alignment wrapText="1"/>
    </xf>
    <xf numFmtId="0" fontId="2" fillId="19" borderId="25" xfId="0" applyFont="1" applyFill="1" applyBorder="1" applyAlignment="1">
      <alignment wrapText="1"/>
    </xf>
    <xf numFmtId="0" fontId="2" fillId="19" borderId="27" xfId="0" applyFont="1" applyFill="1" applyBorder="1" applyAlignment="1">
      <alignment wrapText="1"/>
    </xf>
    <xf numFmtId="0" fontId="3" fillId="19" borderId="9" xfId="0" applyFont="1" applyFill="1" applyBorder="1" applyAlignment="1">
      <alignment horizontal="left"/>
    </xf>
    <xf numFmtId="0" fontId="3" fillId="19" borderId="4" xfId="0" applyFont="1" applyFill="1" applyBorder="1"/>
    <xf numFmtId="164" fontId="1" fillId="19" borderId="1" xfId="0" applyNumberFormat="1" applyFont="1" applyFill="1" applyBorder="1"/>
    <xf numFmtId="164" fontId="1" fillId="19" borderId="33" xfId="0" applyNumberFormat="1" applyFont="1" applyFill="1" applyBorder="1"/>
    <xf numFmtId="0" fontId="3" fillId="19" borderId="32" xfId="0" applyFont="1" applyFill="1" applyBorder="1" applyAlignment="1">
      <alignment horizontal="left"/>
    </xf>
    <xf numFmtId="0" fontId="3" fillId="19" borderId="1" xfId="0" applyFont="1" applyFill="1" applyBorder="1"/>
    <xf numFmtId="0" fontId="2" fillId="19" borderId="32" xfId="0" applyFont="1" applyFill="1" applyBorder="1" applyAlignment="1">
      <alignment horizontal="left"/>
    </xf>
    <xf numFmtId="0" fontId="2" fillId="19" borderId="1" xfId="0" applyFont="1" applyFill="1" applyBorder="1"/>
    <xf numFmtId="164" fontId="0" fillId="19" borderId="1" xfId="0" applyNumberFormat="1" applyFill="1" applyBorder="1"/>
    <xf numFmtId="164" fontId="0" fillId="19" borderId="33" xfId="0" applyNumberFormat="1" applyFont="1" applyFill="1" applyBorder="1"/>
    <xf numFmtId="164" fontId="0" fillId="19" borderId="33" xfId="0" applyNumberFormat="1" applyFill="1" applyBorder="1"/>
    <xf numFmtId="164" fontId="3" fillId="19" borderId="1" xfId="0" applyNumberFormat="1" applyFont="1" applyFill="1" applyBorder="1"/>
    <xf numFmtId="164" fontId="3" fillId="19" borderId="33" xfId="0" applyNumberFormat="1" applyFont="1" applyFill="1" applyBorder="1"/>
    <xf numFmtId="164" fontId="2" fillId="19" borderId="1" xfId="0" applyNumberFormat="1" applyFont="1" applyFill="1" applyBorder="1"/>
    <xf numFmtId="164" fontId="25" fillId="19" borderId="1" xfId="1" applyFont="1" applyFill="1" applyBorder="1"/>
    <xf numFmtId="164" fontId="2" fillId="19" borderId="1" xfId="1" applyFont="1" applyFill="1" applyBorder="1"/>
    <xf numFmtId="0" fontId="1" fillId="19" borderId="42" xfId="0" applyFont="1" applyFill="1" applyBorder="1"/>
    <xf numFmtId="0" fontId="1" fillId="19" borderId="43" xfId="0" applyFont="1" applyFill="1" applyBorder="1"/>
    <xf numFmtId="164" fontId="1" fillId="19" borderId="6" xfId="0" applyNumberFormat="1" applyFont="1" applyFill="1" applyBorder="1"/>
    <xf numFmtId="164" fontId="1" fillId="19" borderId="7" xfId="0" applyNumberFormat="1" applyFont="1" applyFill="1" applyBorder="1"/>
    <xf numFmtId="164" fontId="0" fillId="19" borderId="0" xfId="0" applyNumberFormat="1" applyFill="1"/>
    <xf numFmtId="164" fontId="1" fillId="19" borderId="0" xfId="1" applyFont="1" applyFill="1"/>
    <xf numFmtId="0" fontId="1" fillId="19" borderId="0" xfId="0" applyFont="1" applyFill="1"/>
    <xf numFmtId="168" fontId="12" fillId="19" borderId="46" xfId="3" applyNumberFormat="1" applyFont="1" applyFill="1" applyBorder="1" applyAlignment="1">
      <alignment horizontal="center"/>
    </xf>
    <xf numFmtId="164" fontId="0" fillId="19" borderId="0" xfId="1" applyFont="1" applyFill="1"/>
    <xf numFmtId="0" fontId="1" fillId="19" borderId="37" xfId="0" applyFont="1" applyFill="1" applyBorder="1" applyAlignment="1"/>
    <xf numFmtId="0" fontId="1" fillId="19" borderId="38" xfId="0" applyFont="1" applyFill="1" applyBorder="1" applyAlignment="1"/>
    <xf numFmtId="0" fontId="1" fillId="19" borderId="39" xfId="0" applyFont="1" applyFill="1" applyBorder="1" applyAlignment="1"/>
    <xf numFmtId="0" fontId="2" fillId="19" borderId="35" xfId="0" applyFont="1" applyFill="1" applyBorder="1"/>
    <xf numFmtId="0" fontId="2" fillId="19" borderId="36" xfId="0" applyFont="1" applyFill="1" applyBorder="1"/>
    <xf numFmtId="0" fontId="2" fillId="19" borderId="22" xfId="0" applyFont="1" applyFill="1" applyBorder="1"/>
    <xf numFmtId="0" fontId="2" fillId="19" borderId="9" xfId="0" applyFont="1" applyFill="1" applyBorder="1" applyAlignment="1">
      <alignment horizontal="center"/>
    </xf>
    <xf numFmtId="0" fontId="2" fillId="19" borderId="13" xfId="0" applyFont="1" applyFill="1" applyBorder="1" applyAlignment="1">
      <alignment horizontal="center"/>
    </xf>
    <xf numFmtId="0" fontId="2" fillId="19" borderId="23" xfId="0" applyFont="1" applyFill="1" applyBorder="1" applyAlignment="1">
      <alignment horizontal="center"/>
    </xf>
    <xf numFmtId="0" fontId="2" fillId="19" borderId="26" xfId="0" applyFont="1" applyFill="1" applyBorder="1" applyAlignment="1">
      <alignment wrapText="1"/>
    </xf>
    <xf numFmtId="0" fontId="2" fillId="19" borderId="24" xfId="0" applyFont="1" applyFill="1" applyBorder="1" applyAlignment="1">
      <alignment wrapText="1"/>
    </xf>
    <xf numFmtId="0" fontId="2" fillId="19" borderId="27" xfId="0" applyFont="1" applyFill="1" applyBorder="1"/>
    <xf numFmtId="0" fontId="2" fillId="19" borderId="5" xfId="0" applyFont="1" applyFill="1" applyBorder="1" applyAlignment="1">
      <alignment wrapText="1"/>
    </xf>
    <xf numFmtId="0" fontId="2" fillId="19" borderId="6" xfId="0" applyFont="1" applyFill="1" applyBorder="1" applyAlignment="1">
      <alignment wrapText="1"/>
    </xf>
    <xf numFmtId="0" fontId="2" fillId="19" borderId="7" xfId="0" applyFont="1" applyFill="1" applyBorder="1" applyAlignment="1">
      <alignment wrapText="1"/>
    </xf>
    <xf numFmtId="0" fontId="3" fillId="19" borderId="4" xfId="0" applyFont="1" applyFill="1" applyBorder="1" applyAlignment="1">
      <alignment horizontal="left"/>
    </xf>
    <xf numFmtId="164" fontId="1" fillId="19" borderId="2" xfId="0" applyNumberFormat="1" applyFont="1" applyFill="1" applyBorder="1"/>
    <xf numFmtId="164" fontId="1" fillId="19" borderId="32" xfId="0" applyNumberFormat="1" applyFont="1" applyFill="1" applyBorder="1"/>
    <xf numFmtId="0" fontId="3" fillId="19" borderId="1" xfId="0" applyFont="1" applyFill="1" applyBorder="1" applyAlignment="1">
      <alignment horizontal="left"/>
    </xf>
    <xf numFmtId="0" fontId="2" fillId="19" borderId="1" xfId="0" applyFont="1" applyFill="1" applyBorder="1" applyAlignment="1">
      <alignment horizontal="left"/>
    </xf>
    <xf numFmtId="164" fontId="0" fillId="19" borderId="2" xfId="0" applyNumberFormat="1" applyFont="1" applyFill="1" applyBorder="1"/>
    <xf numFmtId="164" fontId="0" fillId="19" borderId="32" xfId="0" applyNumberFormat="1" applyFill="1" applyBorder="1"/>
    <xf numFmtId="164" fontId="1" fillId="19" borderId="34" xfId="0" applyNumberFormat="1" applyFont="1" applyFill="1" applyBorder="1"/>
    <xf numFmtId="164" fontId="26" fillId="19" borderId="1" xfId="0" applyNumberFormat="1" applyFont="1" applyFill="1" applyBorder="1"/>
    <xf numFmtId="164" fontId="0" fillId="19" borderId="1" xfId="1" applyFont="1" applyFill="1" applyBorder="1"/>
    <xf numFmtId="164" fontId="0" fillId="19" borderId="2" xfId="0" applyNumberFormat="1" applyFill="1" applyBorder="1"/>
    <xf numFmtId="164" fontId="3" fillId="19" borderId="2" xfId="0" applyNumberFormat="1" applyFont="1" applyFill="1" applyBorder="1"/>
    <xf numFmtId="164" fontId="3" fillId="19" borderId="32" xfId="0" applyNumberFormat="1" applyFont="1" applyFill="1" applyBorder="1"/>
    <xf numFmtId="165" fontId="0" fillId="19" borderId="1" xfId="0" applyNumberFormat="1" applyFont="1" applyFill="1" applyBorder="1" applyAlignment="1">
      <alignment wrapText="1"/>
    </xf>
    <xf numFmtId="0" fontId="1" fillId="19" borderId="2" xfId="0" applyFont="1" applyFill="1" applyBorder="1"/>
    <xf numFmtId="0" fontId="1" fillId="19" borderId="3" xfId="0" applyFont="1" applyFill="1" applyBorder="1"/>
    <xf numFmtId="164" fontId="1" fillId="19" borderId="5" xfId="0" applyNumberFormat="1" applyFont="1" applyFill="1" applyBorder="1"/>
    <xf numFmtId="0" fontId="21" fillId="0" borderId="12" xfId="0" applyFont="1" applyBorder="1" applyAlignment="1">
      <alignment vertical="center" wrapText="1"/>
    </xf>
    <xf numFmtId="0" fontId="13" fillId="8" borderId="22" xfId="2" applyFont="1" applyFill="1" applyBorder="1" applyAlignment="1">
      <alignment horizontal="center" vertical="center" textRotation="90" wrapText="1"/>
    </xf>
    <xf numFmtId="0" fontId="13" fillId="8" borderId="23" xfId="2" applyFont="1" applyFill="1" applyBorder="1" applyAlignment="1">
      <alignment horizontal="center" vertical="center" textRotation="90" wrapText="1"/>
    </xf>
    <xf numFmtId="0" fontId="13" fillId="8" borderId="31" xfId="2" applyFont="1" applyFill="1" applyBorder="1" applyAlignment="1">
      <alignment horizontal="center" vertical="center" textRotation="90" wrapText="1"/>
    </xf>
    <xf numFmtId="0" fontId="13" fillId="7" borderId="17" xfId="2" applyFont="1" applyFill="1" applyBorder="1" applyAlignment="1" applyProtection="1">
      <alignment horizontal="center" vertical="center" textRotation="90" wrapText="1"/>
      <protection locked="0" hidden="1"/>
    </xf>
    <xf numFmtId="0" fontId="13" fillId="7" borderId="18" xfId="2" applyFont="1" applyFill="1" applyBorder="1" applyAlignment="1" applyProtection="1">
      <alignment horizontal="center" vertical="center" textRotation="90" wrapText="1"/>
      <protection locked="0" hidden="1"/>
    </xf>
    <xf numFmtId="0" fontId="13" fillId="7" borderId="19" xfId="2" applyFont="1" applyFill="1" applyBorder="1" applyAlignment="1" applyProtection="1">
      <alignment horizontal="center" vertical="center" textRotation="90" wrapText="1"/>
      <protection locked="0" hidden="1"/>
    </xf>
    <xf numFmtId="0" fontId="13" fillId="11" borderId="22" xfId="2" applyFont="1" applyFill="1" applyBorder="1" applyAlignment="1">
      <alignment horizontal="center" vertical="center" textRotation="90" wrapText="1"/>
    </xf>
    <xf numFmtId="0" fontId="13" fillId="11" borderId="23" xfId="2" applyFont="1" applyFill="1" applyBorder="1" applyAlignment="1">
      <alignment horizontal="center" vertical="center" textRotation="90" wrapText="1"/>
    </xf>
    <xf numFmtId="0" fontId="13" fillId="11" borderId="31" xfId="2" applyFont="1" applyFill="1" applyBorder="1" applyAlignment="1">
      <alignment horizontal="center" vertical="center" textRotation="90" wrapText="1"/>
    </xf>
    <xf numFmtId="0" fontId="13" fillId="10" borderId="22" xfId="2" applyFont="1" applyFill="1" applyBorder="1" applyAlignment="1">
      <alignment horizontal="center" vertical="center" textRotation="90" wrapText="1"/>
    </xf>
    <xf numFmtId="0" fontId="13" fillId="10" borderId="23" xfId="2" applyFont="1" applyFill="1" applyBorder="1" applyAlignment="1">
      <alignment horizontal="center" vertical="center" textRotation="90" wrapText="1"/>
    </xf>
    <xf numFmtId="0" fontId="13" fillId="10" borderId="31" xfId="2" applyFont="1" applyFill="1" applyBorder="1" applyAlignment="1">
      <alignment horizontal="center" vertical="center" textRotation="90" wrapText="1"/>
    </xf>
    <xf numFmtId="0" fontId="13" fillId="9" borderId="22" xfId="2" applyFont="1" applyFill="1" applyBorder="1" applyAlignment="1">
      <alignment horizontal="center" vertical="center" textRotation="90" wrapText="1"/>
    </xf>
    <xf numFmtId="0" fontId="13" fillId="9" borderId="23" xfId="2" applyFont="1" applyFill="1" applyBorder="1" applyAlignment="1">
      <alignment horizontal="center" vertical="center" textRotation="90" wrapText="1"/>
    </xf>
    <xf numFmtId="0" fontId="13" fillId="9" borderId="31" xfId="2" applyFont="1" applyFill="1" applyBorder="1" applyAlignment="1">
      <alignment horizontal="center" vertical="center" textRotation="90" wrapText="1"/>
    </xf>
    <xf numFmtId="0" fontId="13" fillId="15" borderId="17" xfId="2" applyFont="1" applyFill="1" applyBorder="1" applyAlignment="1">
      <alignment horizontal="center" vertical="center" wrapText="1"/>
    </xf>
    <xf numFmtId="0" fontId="13" fillId="15" borderId="18" xfId="2" applyFont="1" applyFill="1" applyBorder="1" applyAlignment="1">
      <alignment horizontal="center" vertical="center" wrapText="1"/>
    </xf>
    <xf numFmtId="0" fontId="13" fillId="15" borderId="19" xfId="2" applyFont="1" applyFill="1" applyBorder="1" applyAlignment="1">
      <alignment horizontal="center" vertical="center" wrapText="1"/>
    </xf>
    <xf numFmtId="49" fontId="10" fillId="3" borderId="0" xfId="2" applyNumberFormat="1" applyFont="1" applyFill="1" applyBorder="1" applyAlignment="1">
      <alignment horizontal="justify"/>
    </xf>
    <xf numFmtId="0" fontId="13" fillId="18" borderId="37" xfId="2" applyFont="1" applyFill="1" applyBorder="1" applyAlignment="1">
      <alignment horizontal="center"/>
    </xf>
    <xf numFmtId="0" fontId="13" fillId="18" borderId="38" xfId="2" applyFont="1" applyFill="1" applyBorder="1" applyAlignment="1">
      <alignment horizontal="center"/>
    </xf>
    <xf numFmtId="0" fontId="13" fillId="18" borderId="39" xfId="2" applyFont="1" applyFill="1" applyBorder="1" applyAlignment="1">
      <alignment horizontal="center"/>
    </xf>
    <xf numFmtId="0" fontId="11" fillId="17" borderId="37" xfId="2" applyFont="1" applyFill="1" applyBorder="1" applyAlignment="1">
      <alignment horizontal="center"/>
    </xf>
    <xf numFmtId="0" fontId="11" fillId="17" borderId="39" xfId="2" applyFont="1" applyFill="1" applyBorder="1" applyAlignment="1">
      <alignment horizontal="center"/>
    </xf>
    <xf numFmtId="0" fontId="19" fillId="3" borderId="0" xfId="2" applyFont="1" applyFill="1" applyAlignment="1">
      <alignment horizontal="center"/>
    </xf>
    <xf numFmtId="0" fontId="20" fillId="0" borderId="0" xfId="2" applyFont="1" applyAlignment="1">
      <alignment horizontal="center"/>
    </xf>
    <xf numFmtId="0" fontId="18" fillId="3" borderId="0" xfId="2" applyFont="1" applyFill="1" applyAlignment="1">
      <alignment horizontal="center"/>
    </xf>
    <xf numFmtId="0" fontId="17" fillId="0" borderId="0" xfId="2" applyFont="1" applyAlignment="1">
      <alignment horizontal="center"/>
    </xf>
    <xf numFmtId="0" fontId="16" fillId="3" borderId="48" xfId="2" applyFont="1" applyFill="1" applyBorder="1" applyAlignment="1">
      <alignment horizontal="center"/>
    </xf>
    <xf numFmtId="0" fontId="15" fillId="0" borderId="48" xfId="2" applyFont="1" applyBorder="1" applyAlignment="1">
      <alignment horizontal="center"/>
    </xf>
    <xf numFmtId="0" fontId="1" fillId="19" borderId="15" xfId="0" applyFont="1" applyFill="1" applyBorder="1" applyAlignment="1">
      <alignment horizontal="center"/>
    </xf>
    <xf numFmtId="0" fontId="1" fillId="19" borderId="8" xfId="0" applyFont="1" applyFill="1" applyBorder="1" applyAlignment="1">
      <alignment horizontal="center"/>
    </xf>
    <xf numFmtId="0" fontId="1" fillId="19" borderId="0" xfId="0" applyFont="1" applyFill="1" applyBorder="1" applyAlignment="1">
      <alignment horizontal="center"/>
    </xf>
    <xf numFmtId="0" fontId="1" fillId="19" borderId="23" xfId="0" applyFont="1" applyFill="1" applyBorder="1" applyAlignment="1">
      <alignment horizontal="center"/>
    </xf>
    <xf numFmtId="0" fontId="1" fillId="19" borderId="12" xfId="0" applyFont="1" applyFill="1" applyBorder="1" applyAlignment="1">
      <alignment horizontal="center"/>
    </xf>
    <xf numFmtId="0" fontId="1" fillId="19" borderId="4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19" borderId="37" xfId="0" applyFont="1" applyFill="1" applyBorder="1" applyAlignment="1">
      <alignment horizontal="center"/>
    </xf>
    <xf numFmtId="0" fontId="1" fillId="19" borderId="38" xfId="0" applyFont="1" applyFill="1" applyBorder="1" applyAlignment="1">
      <alignment horizontal="center"/>
    </xf>
    <xf numFmtId="0" fontId="1" fillId="19" borderId="3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19" borderId="16" xfId="0" applyFont="1" applyFill="1" applyBorder="1" applyAlignment="1">
      <alignment horizontal="center"/>
    </xf>
    <xf numFmtId="0" fontId="1" fillId="19" borderId="10" xfId="0" applyFont="1" applyFill="1" applyBorder="1" applyAlignment="1">
      <alignment horizontal="center"/>
    </xf>
    <xf numFmtId="0" fontId="1" fillId="19" borderId="11" xfId="0" applyFont="1" applyFill="1" applyBorder="1" applyAlignment="1">
      <alignment horizontal="center"/>
    </xf>
    <xf numFmtId="0" fontId="7" fillId="19" borderId="0" xfId="0" applyFont="1" applyFill="1" applyAlignment="1">
      <alignment horizontal="center"/>
    </xf>
    <xf numFmtId="0" fontId="1" fillId="19" borderId="20" xfId="0" applyFont="1" applyFill="1" applyBorder="1" applyAlignment="1">
      <alignment horizontal="center"/>
    </xf>
    <xf numFmtId="0" fontId="1" fillId="19" borderId="21" xfId="0" applyFont="1" applyFill="1" applyBorder="1" applyAlignment="1">
      <alignment horizontal="center"/>
    </xf>
    <xf numFmtId="0" fontId="1" fillId="19" borderId="22" xfId="0" applyFont="1" applyFill="1" applyBorder="1" applyAlignment="1">
      <alignment horizontal="center"/>
    </xf>
    <xf numFmtId="0" fontId="1" fillId="19" borderId="14" xfId="0" applyFont="1" applyFill="1" applyBorder="1" applyAlignment="1">
      <alignment horizontal="center"/>
    </xf>
  </cellXfs>
  <cellStyles count="8">
    <cellStyle name="Euro" xfId="4"/>
    <cellStyle name="Millares 2" xfId="7"/>
    <cellStyle name="Millares 4" xfId="5"/>
    <cellStyle name="Moneda" xfId="1" builtinId="4"/>
    <cellStyle name="Moneda 2" xfId="3"/>
    <cellStyle name="Normal" xfId="0" builtinId="0"/>
    <cellStyle name="Normal 2" xfId="2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76200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762000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419099</xdr:colOff>
      <xdr:row>0</xdr:row>
      <xdr:rowOff>19050</xdr:rowOff>
    </xdr:from>
    <xdr:to>
      <xdr:col>11</xdr:col>
      <xdr:colOff>60299</xdr:colOff>
      <xdr:row>4</xdr:row>
      <xdr:rowOff>200025</xdr:rowOff>
    </xdr:to>
    <xdr:pic>
      <xdr:nvPicPr>
        <xdr:cNvPr id="4" name="Picture 6" descr="Escudo Mp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4" y="19050"/>
          <a:ext cx="10032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21981</xdr:colOff>
      <xdr:row>0</xdr:row>
      <xdr:rowOff>29308</xdr:rowOff>
    </xdr:from>
    <xdr:to>
      <xdr:col>6</xdr:col>
      <xdr:colOff>856989</xdr:colOff>
      <xdr:row>3</xdr:row>
      <xdr:rowOff>117231</xdr:rowOff>
    </xdr:to>
    <xdr:pic>
      <xdr:nvPicPr>
        <xdr:cNvPr id="2" name="Picture 6" descr="Escudo Mp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269" y="29308"/>
          <a:ext cx="835008" cy="96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326572</xdr:colOff>
      <xdr:row>0</xdr:row>
      <xdr:rowOff>0</xdr:rowOff>
    </xdr:from>
    <xdr:to>
      <xdr:col>14</xdr:col>
      <xdr:colOff>610</xdr:colOff>
      <xdr:row>3</xdr:row>
      <xdr:rowOff>142874</xdr:rowOff>
    </xdr:to>
    <xdr:pic>
      <xdr:nvPicPr>
        <xdr:cNvPr id="2" name="Picture 6" descr="Escudo Mp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9997" y="0"/>
          <a:ext cx="740228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1056409</xdr:colOff>
      <xdr:row>0</xdr:row>
      <xdr:rowOff>0</xdr:rowOff>
    </xdr:from>
    <xdr:to>
      <xdr:col>18</xdr:col>
      <xdr:colOff>839932</xdr:colOff>
      <xdr:row>3</xdr:row>
      <xdr:rowOff>136689</xdr:rowOff>
    </xdr:to>
    <xdr:pic>
      <xdr:nvPicPr>
        <xdr:cNvPr id="2" name="Picture 6" descr="Escudo Mp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0884" y="0"/>
          <a:ext cx="840798" cy="10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8"/>
  <sheetViews>
    <sheetView tabSelected="1" topLeftCell="A2" zoomScale="90" zoomScaleNormal="90" workbookViewId="0">
      <selection activeCell="D8" sqref="D8"/>
    </sheetView>
  </sheetViews>
  <sheetFormatPr baseColWidth="10" defaultRowHeight="15" x14ac:dyDescent="0.3"/>
  <cols>
    <col min="1" max="1" width="8.140625" style="61" customWidth="1"/>
    <col min="2" max="2" width="37.42578125" style="77" customWidth="1"/>
    <col min="3" max="3" width="17.7109375" style="60" customWidth="1"/>
    <col min="4" max="4" width="19.28515625" style="60" customWidth="1"/>
    <col min="5" max="5" width="17.7109375" style="60" customWidth="1"/>
    <col min="6" max="6" width="16.140625" style="60" customWidth="1"/>
    <col min="7" max="8" width="14.5703125" style="60" customWidth="1"/>
    <col min="9" max="9" width="15.28515625" style="60" customWidth="1"/>
    <col min="10" max="10" width="19.5703125" style="59" customWidth="1"/>
    <col min="11" max="11" width="0.85546875" style="58" customWidth="1"/>
    <col min="12" max="12" width="17.42578125" style="57" customWidth="1"/>
    <col min="13" max="16384" width="11.42578125" style="57"/>
  </cols>
  <sheetData>
    <row r="1" spans="1:12" ht="21" x14ac:dyDescent="0.35">
      <c r="A1" s="221" t="s">
        <v>172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2" ht="18.75" x14ac:dyDescent="0.3">
      <c r="A2" s="223" t="s">
        <v>138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18.75" x14ac:dyDescent="0.3">
      <c r="A3" s="223" t="s">
        <v>227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2" ht="18.75" x14ac:dyDescent="0.3">
      <c r="A4" s="223" t="s">
        <v>171</v>
      </c>
      <c r="B4" s="224"/>
      <c r="C4" s="224"/>
      <c r="D4" s="224"/>
      <c r="E4" s="224"/>
      <c r="F4" s="224"/>
      <c r="G4" s="224"/>
      <c r="H4" s="224"/>
      <c r="I4" s="224"/>
      <c r="J4" s="224"/>
    </row>
    <row r="5" spans="1:12" ht="19.5" thickBot="1" x14ac:dyDescent="0.35">
      <c r="A5" s="225" t="s">
        <v>170</v>
      </c>
      <c r="B5" s="226"/>
      <c r="C5" s="226"/>
      <c r="D5" s="226"/>
      <c r="E5" s="226"/>
      <c r="F5" s="226"/>
      <c r="G5" s="226"/>
      <c r="H5" s="226"/>
      <c r="I5" s="226"/>
      <c r="J5" s="226"/>
    </row>
    <row r="6" spans="1:12" ht="15.75" customHeight="1" thickBot="1" x14ac:dyDescent="0.4">
      <c r="A6" s="75"/>
      <c r="B6" s="212" t="s">
        <v>169</v>
      </c>
      <c r="C6" s="216" t="s">
        <v>168</v>
      </c>
      <c r="D6" s="217"/>
      <c r="E6" s="218"/>
      <c r="F6" s="203" t="s">
        <v>167</v>
      </c>
      <c r="G6" s="206" t="s">
        <v>166</v>
      </c>
      <c r="H6" s="209" t="s">
        <v>165</v>
      </c>
      <c r="I6" s="197" t="s">
        <v>164</v>
      </c>
      <c r="J6" s="200" t="s">
        <v>163</v>
      </c>
    </row>
    <row r="7" spans="1:12" ht="18" customHeight="1" thickBot="1" x14ac:dyDescent="0.35">
      <c r="A7" s="74"/>
      <c r="B7" s="213"/>
      <c r="C7" s="219" t="s">
        <v>162</v>
      </c>
      <c r="D7" s="220"/>
      <c r="E7" s="73" t="s">
        <v>161</v>
      </c>
      <c r="F7" s="204"/>
      <c r="G7" s="207"/>
      <c r="H7" s="210"/>
      <c r="I7" s="198"/>
      <c r="J7" s="201"/>
    </row>
    <row r="8" spans="1:12" s="69" customFormat="1" ht="108.75" customHeight="1" thickBot="1" x14ac:dyDescent="0.25">
      <c r="A8" s="72"/>
      <c r="B8" s="214"/>
      <c r="C8" s="85" t="s">
        <v>160</v>
      </c>
      <c r="D8" s="71" t="s">
        <v>159</v>
      </c>
      <c r="E8" s="70" t="s">
        <v>158</v>
      </c>
      <c r="F8" s="205"/>
      <c r="G8" s="208"/>
      <c r="H8" s="211"/>
      <c r="I8" s="199"/>
      <c r="J8" s="202"/>
      <c r="K8" s="58"/>
    </row>
    <row r="9" spans="1:12" s="62" customFormat="1" ht="18" customHeight="1" x14ac:dyDescent="0.25">
      <c r="A9" s="90">
        <v>11</v>
      </c>
      <c r="B9" s="196" t="s">
        <v>174</v>
      </c>
      <c r="C9" s="92"/>
      <c r="D9" s="92"/>
      <c r="E9" s="93"/>
      <c r="F9" s="79">
        <f>F10</f>
        <v>84887.939999999988</v>
      </c>
      <c r="G9" s="92"/>
      <c r="H9" s="92"/>
      <c r="I9" s="92"/>
      <c r="J9" s="92">
        <f>SUM(C9:I9)</f>
        <v>84887.939999999988</v>
      </c>
      <c r="K9" s="82"/>
      <c r="L9" s="83"/>
    </row>
    <row r="10" spans="1:12" ht="18" customHeight="1" x14ac:dyDescent="0.25">
      <c r="A10" s="94">
        <v>118</v>
      </c>
      <c r="B10" s="95" t="s">
        <v>175</v>
      </c>
      <c r="C10" s="96"/>
      <c r="D10" s="96"/>
      <c r="E10" s="96"/>
      <c r="F10" s="79">
        <f>SUM(F11:F15)</f>
        <v>84887.939999999988</v>
      </c>
      <c r="G10" s="96"/>
      <c r="H10" s="96"/>
      <c r="I10" s="96"/>
      <c r="J10" s="96">
        <f>C10+D10+E10+F10+G10+H10+I10</f>
        <v>84887.939999999988</v>
      </c>
      <c r="K10" s="80"/>
      <c r="L10" s="81"/>
    </row>
    <row r="11" spans="1:12" ht="18" customHeight="1" x14ac:dyDescent="0.25">
      <c r="A11" s="94">
        <v>11801</v>
      </c>
      <c r="B11" s="95" t="s">
        <v>176</v>
      </c>
      <c r="C11" s="96"/>
      <c r="D11" s="96"/>
      <c r="E11" s="96"/>
      <c r="F11" s="78">
        <v>77178.19</v>
      </c>
      <c r="G11" s="96"/>
      <c r="H11" s="96"/>
      <c r="I11" s="96"/>
      <c r="J11" s="96">
        <f t="shared" ref="J11:J36" si="0">C11+D11+E11+F11+G11+H11+I11</f>
        <v>77178.19</v>
      </c>
      <c r="K11" s="80"/>
      <c r="L11" s="81"/>
    </row>
    <row r="12" spans="1:12" ht="18" customHeight="1" x14ac:dyDescent="0.25">
      <c r="A12" s="94">
        <v>11803</v>
      </c>
      <c r="B12" s="95" t="s">
        <v>173</v>
      </c>
      <c r="C12" s="96"/>
      <c r="D12" s="96"/>
      <c r="E12" s="96"/>
      <c r="F12" s="78">
        <v>0</v>
      </c>
      <c r="G12" s="96"/>
      <c r="H12" s="96"/>
      <c r="I12" s="96"/>
      <c r="J12" s="96">
        <f t="shared" si="0"/>
        <v>0</v>
      </c>
      <c r="K12" s="80"/>
      <c r="L12" s="81"/>
    </row>
    <row r="13" spans="1:12" ht="18" customHeight="1" x14ac:dyDescent="0.25">
      <c r="A13" s="94">
        <v>11804</v>
      </c>
      <c r="B13" s="95" t="s">
        <v>177</v>
      </c>
      <c r="C13" s="96"/>
      <c r="D13" s="96"/>
      <c r="E13" s="96"/>
      <c r="F13" s="78">
        <v>6340.65</v>
      </c>
      <c r="G13" s="96"/>
      <c r="H13" s="96"/>
      <c r="I13" s="96"/>
      <c r="J13" s="96">
        <f t="shared" si="0"/>
        <v>6340.65</v>
      </c>
      <c r="K13" s="80"/>
      <c r="L13" s="81"/>
    </row>
    <row r="14" spans="1:12" ht="18" customHeight="1" x14ac:dyDescent="0.25">
      <c r="A14" s="97">
        <v>11806</v>
      </c>
      <c r="B14" s="95" t="s">
        <v>178</v>
      </c>
      <c r="C14" s="96"/>
      <c r="D14" s="96"/>
      <c r="E14" s="96"/>
      <c r="F14" s="78">
        <v>900.9</v>
      </c>
      <c r="G14" s="96"/>
      <c r="H14" s="96"/>
      <c r="I14" s="96"/>
      <c r="J14" s="96">
        <f t="shared" si="0"/>
        <v>900.9</v>
      </c>
      <c r="K14" s="80"/>
      <c r="L14" s="81"/>
    </row>
    <row r="15" spans="1:12" ht="18" customHeight="1" x14ac:dyDescent="0.25">
      <c r="A15" s="94">
        <v>11818</v>
      </c>
      <c r="B15" s="95" t="s">
        <v>179</v>
      </c>
      <c r="C15" s="96"/>
      <c r="D15" s="96"/>
      <c r="E15" s="96"/>
      <c r="F15" s="78">
        <v>468.2</v>
      </c>
      <c r="G15" s="96"/>
      <c r="H15" s="96"/>
      <c r="I15" s="96"/>
      <c r="J15" s="96">
        <f t="shared" si="0"/>
        <v>468.2</v>
      </c>
      <c r="K15" s="80"/>
      <c r="L15" s="81"/>
    </row>
    <row r="16" spans="1:12" s="62" customFormat="1" ht="30" customHeight="1" x14ac:dyDescent="0.25">
      <c r="A16" s="98">
        <v>12</v>
      </c>
      <c r="B16" s="91" t="s">
        <v>180</v>
      </c>
      <c r="C16" s="92"/>
      <c r="D16" s="92"/>
      <c r="E16" s="92"/>
      <c r="F16" s="79">
        <f>F17+F31</f>
        <v>303208.01</v>
      </c>
      <c r="G16" s="92"/>
      <c r="H16" s="92"/>
      <c r="I16" s="92"/>
      <c r="J16" s="92">
        <f t="shared" ref="J16" si="1">SUM(C16:I16)</f>
        <v>303208.01</v>
      </c>
      <c r="K16" s="82"/>
      <c r="L16" s="83"/>
    </row>
    <row r="17" spans="1:12" s="84" customFormat="1" ht="29.25" customHeight="1" x14ac:dyDescent="0.25">
      <c r="A17" s="97">
        <v>121</v>
      </c>
      <c r="B17" s="95" t="s">
        <v>181</v>
      </c>
      <c r="C17" s="96"/>
      <c r="D17" s="96"/>
      <c r="E17" s="96"/>
      <c r="F17" s="78">
        <f>SUM(F18:F30)</f>
        <v>292686.90000000002</v>
      </c>
      <c r="G17" s="96"/>
      <c r="H17" s="96"/>
      <c r="I17" s="96"/>
      <c r="J17" s="96">
        <f t="shared" si="0"/>
        <v>292686.90000000002</v>
      </c>
      <c r="K17" s="80"/>
      <c r="L17" s="81"/>
    </row>
    <row r="18" spans="1:12" s="84" customFormat="1" ht="29.25" customHeight="1" x14ac:dyDescent="0.25">
      <c r="A18" s="99">
        <v>12105</v>
      </c>
      <c r="B18" s="95" t="s">
        <v>222</v>
      </c>
      <c r="C18" s="96"/>
      <c r="D18" s="96"/>
      <c r="E18" s="96"/>
      <c r="F18" s="78">
        <v>40759.58</v>
      </c>
      <c r="G18" s="96"/>
      <c r="H18" s="96"/>
      <c r="I18" s="96"/>
      <c r="J18" s="96">
        <f t="shared" si="0"/>
        <v>40759.58</v>
      </c>
      <c r="K18" s="80"/>
      <c r="L18" s="81"/>
    </row>
    <row r="19" spans="1:12" s="84" customFormat="1" ht="32.25" customHeight="1" x14ac:dyDescent="0.25">
      <c r="A19" s="99">
        <v>12106</v>
      </c>
      <c r="B19" s="95" t="s">
        <v>182</v>
      </c>
      <c r="C19" s="96"/>
      <c r="D19" s="96"/>
      <c r="E19" s="96"/>
      <c r="F19" s="78">
        <v>416.54</v>
      </c>
      <c r="G19" s="96"/>
      <c r="H19" s="96"/>
      <c r="I19" s="96"/>
      <c r="J19" s="96">
        <f t="shared" si="0"/>
        <v>416.54</v>
      </c>
      <c r="K19" s="80"/>
      <c r="L19" s="81"/>
    </row>
    <row r="20" spans="1:12" s="84" customFormat="1" ht="18" customHeight="1" x14ac:dyDescent="0.25">
      <c r="A20" s="99">
        <v>12108</v>
      </c>
      <c r="B20" s="95" t="s">
        <v>183</v>
      </c>
      <c r="C20" s="96"/>
      <c r="D20" s="96"/>
      <c r="E20" s="96"/>
      <c r="F20" s="78">
        <v>24016.1</v>
      </c>
      <c r="G20" s="96"/>
      <c r="H20" s="96"/>
      <c r="I20" s="96"/>
      <c r="J20" s="96">
        <f t="shared" si="0"/>
        <v>24016.1</v>
      </c>
      <c r="K20" s="80"/>
      <c r="L20" s="81"/>
    </row>
    <row r="21" spans="1:12" s="84" customFormat="1" ht="18" customHeight="1" x14ac:dyDescent="0.25">
      <c r="A21" s="99">
        <v>12109</v>
      </c>
      <c r="B21" s="95" t="s">
        <v>184</v>
      </c>
      <c r="C21" s="96"/>
      <c r="D21" s="96"/>
      <c r="E21" s="96"/>
      <c r="F21" s="78">
        <v>58016.84</v>
      </c>
      <c r="G21" s="96"/>
      <c r="H21" s="96"/>
      <c r="I21" s="96"/>
      <c r="J21" s="96">
        <f t="shared" si="0"/>
        <v>58016.84</v>
      </c>
      <c r="K21" s="80"/>
      <c r="L21" s="81"/>
    </row>
    <row r="22" spans="1:12" s="84" customFormat="1" ht="18" customHeight="1" x14ac:dyDescent="0.25">
      <c r="A22" s="99">
        <v>12111</v>
      </c>
      <c r="B22" s="95" t="s">
        <v>185</v>
      </c>
      <c r="C22" s="96"/>
      <c r="D22" s="96"/>
      <c r="E22" s="96"/>
      <c r="F22" s="78">
        <v>4926.92</v>
      </c>
      <c r="G22" s="96"/>
      <c r="H22" s="96"/>
      <c r="I22" s="96"/>
      <c r="J22" s="96">
        <f t="shared" si="0"/>
        <v>4926.92</v>
      </c>
      <c r="K22" s="80"/>
      <c r="L22" s="81"/>
    </row>
    <row r="23" spans="1:12" s="84" customFormat="1" ht="18" customHeight="1" x14ac:dyDescent="0.25">
      <c r="A23" s="99">
        <v>12112</v>
      </c>
      <c r="B23" s="95" t="s">
        <v>186</v>
      </c>
      <c r="C23" s="96"/>
      <c r="D23" s="96"/>
      <c r="E23" s="96"/>
      <c r="F23" s="78">
        <v>7942.23</v>
      </c>
      <c r="G23" s="96"/>
      <c r="H23" s="96"/>
      <c r="I23" s="96"/>
      <c r="J23" s="96">
        <f t="shared" si="0"/>
        <v>7942.23</v>
      </c>
      <c r="K23" s="80"/>
      <c r="L23" s="81"/>
    </row>
    <row r="24" spans="1:12" s="84" customFormat="1" ht="18" customHeight="1" x14ac:dyDescent="0.25">
      <c r="A24" s="99">
        <v>12114</v>
      </c>
      <c r="B24" s="95" t="s">
        <v>187</v>
      </c>
      <c r="C24" s="96"/>
      <c r="D24" s="96"/>
      <c r="E24" s="96"/>
      <c r="F24" s="78">
        <v>15674.64</v>
      </c>
      <c r="G24" s="96"/>
      <c r="H24" s="96"/>
      <c r="I24" s="96"/>
      <c r="J24" s="96">
        <f t="shared" si="0"/>
        <v>15674.64</v>
      </c>
      <c r="K24" s="80"/>
      <c r="L24" s="81"/>
    </row>
    <row r="25" spans="1:12" s="84" customFormat="1" ht="18" customHeight="1" x14ac:dyDescent="0.25">
      <c r="A25" s="99">
        <v>12115</v>
      </c>
      <c r="B25" s="95" t="s">
        <v>188</v>
      </c>
      <c r="C25" s="96"/>
      <c r="D25" s="96"/>
      <c r="E25" s="96"/>
      <c r="F25" s="78">
        <v>10615.13</v>
      </c>
      <c r="G25" s="96"/>
      <c r="H25" s="96"/>
      <c r="I25" s="96"/>
      <c r="J25" s="96">
        <f t="shared" si="0"/>
        <v>10615.13</v>
      </c>
      <c r="K25" s="80"/>
      <c r="L25" s="81"/>
    </row>
    <row r="26" spans="1:12" s="84" customFormat="1" ht="18" customHeight="1" x14ac:dyDescent="0.25">
      <c r="A26" s="99">
        <v>12117</v>
      </c>
      <c r="B26" s="95" t="s">
        <v>157</v>
      </c>
      <c r="C26" s="96"/>
      <c r="D26" s="96"/>
      <c r="E26" s="96"/>
      <c r="F26" s="78">
        <v>24557.46</v>
      </c>
      <c r="G26" s="96"/>
      <c r="H26" s="96"/>
      <c r="I26" s="96"/>
      <c r="J26" s="96">
        <f t="shared" si="0"/>
        <v>24557.46</v>
      </c>
      <c r="K26" s="80"/>
      <c r="L26" s="81"/>
    </row>
    <row r="27" spans="1:12" s="84" customFormat="1" ht="18" customHeight="1" x14ac:dyDescent="0.25">
      <c r="A27" s="99">
        <v>12118</v>
      </c>
      <c r="B27" s="95" t="s">
        <v>189</v>
      </c>
      <c r="C27" s="96"/>
      <c r="D27" s="96"/>
      <c r="E27" s="96"/>
      <c r="F27" s="78">
        <v>89730.94</v>
      </c>
      <c r="G27" s="96"/>
      <c r="H27" s="96"/>
      <c r="I27" s="96"/>
      <c r="J27" s="96">
        <f t="shared" si="0"/>
        <v>89730.94</v>
      </c>
      <c r="K27" s="80"/>
      <c r="L27" s="81"/>
    </row>
    <row r="28" spans="1:12" s="84" customFormat="1" ht="18" customHeight="1" x14ac:dyDescent="0.25">
      <c r="A28" s="100">
        <v>12119</v>
      </c>
      <c r="B28" s="95" t="s">
        <v>190</v>
      </c>
      <c r="C28" s="96"/>
      <c r="D28" s="96"/>
      <c r="E28" s="96"/>
      <c r="F28" s="78">
        <v>1440.96</v>
      </c>
      <c r="G28" s="96"/>
      <c r="H28" s="96"/>
      <c r="I28" s="96"/>
      <c r="J28" s="96">
        <f t="shared" si="0"/>
        <v>1440.96</v>
      </c>
      <c r="K28" s="80"/>
      <c r="L28" s="81"/>
    </row>
    <row r="29" spans="1:12" s="84" customFormat="1" ht="18" customHeight="1" x14ac:dyDescent="0.25">
      <c r="A29" s="100">
        <v>12123</v>
      </c>
      <c r="B29" s="95" t="s">
        <v>191</v>
      </c>
      <c r="C29" s="96"/>
      <c r="D29" s="96"/>
      <c r="E29" s="96"/>
      <c r="F29" s="78">
        <v>11774.57</v>
      </c>
      <c r="G29" s="96"/>
      <c r="H29" s="96"/>
      <c r="I29" s="96"/>
      <c r="J29" s="96">
        <f t="shared" si="0"/>
        <v>11774.57</v>
      </c>
      <c r="K29" s="80"/>
      <c r="L29" s="81"/>
    </row>
    <row r="30" spans="1:12" s="84" customFormat="1" ht="18" customHeight="1" x14ac:dyDescent="0.25">
      <c r="A30" s="100">
        <v>12199</v>
      </c>
      <c r="B30" s="95" t="s">
        <v>192</v>
      </c>
      <c r="C30" s="96"/>
      <c r="D30" s="96"/>
      <c r="E30" s="96"/>
      <c r="F30" s="78">
        <v>2814.99</v>
      </c>
      <c r="G30" s="96"/>
      <c r="H30" s="96"/>
      <c r="I30" s="96"/>
      <c r="J30" s="96">
        <f t="shared" si="0"/>
        <v>2814.99</v>
      </c>
      <c r="K30" s="80"/>
      <c r="L30" s="81"/>
    </row>
    <row r="31" spans="1:12" s="84" customFormat="1" ht="18" customHeight="1" x14ac:dyDescent="0.25">
      <c r="A31" s="100">
        <v>122</v>
      </c>
      <c r="B31" s="95" t="s">
        <v>193</v>
      </c>
      <c r="C31" s="96"/>
      <c r="D31" s="96"/>
      <c r="E31" s="96"/>
      <c r="F31" s="78">
        <f>SUM(F32:F33)</f>
        <v>10521.11</v>
      </c>
      <c r="G31" s="96"/>
      <c r="H31" s="96"/>
      <c r="I31" s="96"/>
      <c r="J31" s="96">
        <f t="shared" si="0"/>
        <v>10521.11</v>
      </c>
      <c r="K31" s="80"/>
      <c r="L31" s="81"/>
    </row>
    <row r="32" spans="1:12" s="84" customFormat="1" ht="18" customHeight="1" x14ac:dyDescent="0.25">
      <c r="A32" s="100">
        <v>12210</v>
      </c>
      <c r="B32" s="95" t="s">
        <v>194</v>
      </c>
      <c r="C32" s="96"/>
      <c r="D32" s="96"/>
      <c r="E32" s="96"/>
      <c r="F32" s="78">
        <v>10305.620000000001</v>
      </c>
      <c r="G32" s="96"/>
      <c r="H32" s="96"/>
      <c r="I32" s="96"/>
      <c r="J32" s="96">
        <f t="shared" si="0"/>
        <v>10305.620000000001</v>
      </c>
      <c r="K32" s="80"/>
      <c r="L32" s="81"/>
    </row>
    <row r="33" spans="1:12" s="84" customFormat="1" ht="18" customHeight="1" x14ac:dyDescent="0.25">
      <c r="A33" s="100">
        <v>12211</v>
      </c>
      <c r="B33" s="95" t="s">
        <v>195</v>
      </c>
      <c r="C33" s="96"/>
      <c r="D33" s="96"/>
      <c r="E33" s="96"/>
      <c r="F33" s="78">
        <v>215.49</v>
      </c>
      <c r="G33" s="96"/>
      <c r="H33" s="96"/>
      <c r="I33" s="96"/>
      <c r="J33" s="96">
        <f t="shared" si="0"/>
        <v>215.49</v>
      </c>
      <c r="K33" s="80"/>
      <c r="L33" s="81"/>
    </row>
    <row r="34" spans="1:12" s="62" customFormat="1" ht="18" customHeight="1" x14ac:dyDescent="0.25">
      <c r="A34" s="101">
        <v>14</v>
      </c>
      <c r="B34" s="91" t="s">
        <v>196</v>
      </c>
      <c r="C34" s="92"/>
      <c r="D34" s="92"/>
      <c r="E34" s="92"/>
      <c r="F34" s="79">
        <f>F35</f>
        <v>1945.29</v>
      </c>
      <c r="G34" s="92"/>
      <c r="H34" s="92"/>
      <c r="I34" s="92"/>
      <c r="J34" s="92">
        <f>SUM(J35:J37)</f>
        <v>3890.58</v>
      </c>
      <c r="K34" s="82"/>
      <c r="L34" s="83"/>
    </row>
    <row r="35" spans="1:12" ht="31.5" x14ac:dyDescent="0.25">
      <c r="A35" s="100">
        <v>142</v>
      </c>
      <c r="B35" s="95" t="s">
        <v>197</v>
      </c>
      <c r="C35" s="96"/>
      <c r="D35" s="96"/>
      <c r="E35" s="96"/>
      <c r="F35" s="78">
        <f>F36+F37</f>
        <v>1945.29</v>
      </c>
      <c r="G35" s="96"/>
      <c r="H35" s="96"/>
      <c r="I35" s="96"/>
      <c r="J35" s="96">
        <f t="shared" si="0"/>
        <v>1945.29</v>
      </c>
      <c r="K35" s="80"/>
      <c r="L35" s="81"/>
    </row>
    <row r="36" spans="1:12" ht="18" customHeight="1" x14ac:dyDescent="0.25">
      <c r="A36" s="100">
        <v>14299</v>
      </c>
      <c r="B36" s="95" t="s">
        <v>198</v>
      </c>
      <c r="C36" s="96"/>
      <c r="D36" s="96"/>
      <c r="E36" s="96"/>
      <c r="F36" s="78">
        <v>1945.29</v>
      </c>
      <c r="G36" s="96"/>
      <c r="H36" s="96"/>
      <c r="I36" s="96"/>
      <c r="J36" s="96">
        <f t="shared" si="0"/>
        <v>1945.29</v>
      </c>
      <c r="K36" s="80"/>
      <c r="L36" s="81"/>
    </row>
    <row r="37" spans="1:12" ht="18" customHeight="1" x14ac:dyDescent="0.25">
      <c r="A37" s="100">
        <v>14399</v>
      </c>
      <c r="B37" s="95" t="s">
        <v>199</v>
      </c>
      <c r="C37" s="96"/>
      <c r="D37" s="96"/>
      <c r="E37" s="96"/>
      <c r="F37" s="78">
        <v>0</v>
      </c>
      <c r="G37" s="96"/>
      <c r="H37" s="96"/>
      <c r="I37" s="96"/>
      <c r="J37" s="96">
        <f t="shared" ref="J37" si="2">C37+D37+E37+F37+G37+H37+I38</f>
        <v>0</v>
      </c>
      <c r="K37" s="80"/>
      <c r="L37" s="81"/>
    </row>
    <row r="38" spans="1:12" s="62" customFormat="1" ht="18" customHeight="1" x14ac:dyDescent="0.25">
      <c r="A38" s="101">
        <v>15</v>
      </c>
      <c r="B38" s="91" t="s">
        <v>217</v>
      </c>
      <c r="C38" s="92"/>
      <c r="D38" s="92"/>
      <c r="E38" s="92"/>
      <c r="F38" s="78">
        <f>F39+F44+F46</f>
        <v>35364.880000000005</v>
      </c>
      <c r="G38" s="92"/>
      <c r="H38" s="92"/>
      <c r="I38" s="92"/>
      <c r="J38" s="92">
        <f>SUM(J39:J48)</f>
        <v>70729.760000000009</v>
      </c>
      <c r="K38" s="82"/>
      <c r="L38" s="83"/>
    </row>
    <row r="39" spans="1:12" ht="18" customHeight="1" x14ac:dyDescent="0.25">
      <c r="A39" s="100">
        <v>153</v>
      </c>
      <c r="B39" s="95" t="s">
        <v>200</v>
      </c>
      <c r="C39" s="96"/>
      <c r="D39" s="96"/>
      <c r="E39" s="96"/>
      <c r="F39" s="78">
        <f>SUM(F40:F43)</f>
        <v>10777.17</v>
      </c>
      <c r="G39" s="96"/>
      <c r="H39" s="96"/>
      <c r="I39" s="96"/>
      <c r="J39" s="96">
        <f t="shared" ref="J39:J48" si="3">C39+D39+E39+F39+G39+H39+I39</f>
        <v>10777.17</v>
      </c>
      <c r="K39" s="80"/>
      <c r="L39" s="81"/>
    </row>
    <row r="40" spans="1:12" ht="18" customHeight="1" x14ac:dyDescent="0.25">
      <c r="A40" s="100">
        <v>15301</v>
      </c>
      <c r="B40" s="95" t="s">
        <v>201</v>
      </c>
      <c r="C40" s="96"/>
      <c r="D40" s="96"/>
      <c r="E40" s="96"/>
      <c r="F40" s="78">
        <v>5571.47</v>
      </c>
      <c r="G40" s="96"/>
      <c r="H40" s="96"/>
      <c r="I40" s="96"/>
      <c r="J40" s="96">
        <f t="shared" si="3"/>
        <v>5571.47</v>
      </c>
      <c r="K40" s="80"/>
      <c r="L40" s="81"/>
    </row>
    <row r="41" spans="1:12" ht="18" customHeight="1" x14ac:dyDescent="0.25">
      <c r="A41" s="100">
        <v>15302</v>
      </c>
      <c r="B41" s="95" t="s">
        <v>202</v>
      </c>
      <c r="C41" s="96"/>
      <c r="D41" s="96"/>
      <c r="E41" s="96"/>
      <c r="F41" s="78">
        <v>4444.71</v>
      </c>
      <c r="G41" s="96"/>
      <c r="H41" s="96"/>
      <c r="I41" s="96"/>
      <c r="J41" s="96">
        <f t="shared" si="3"/>
        <v>4444.71</v>
      </c>
      <c r="K41" s="80"/>
      <c r="L41" s="81"/>
    </row>
    <row r="42" spans="1:12" ht="18" customHeight="1" x14ac:dyDescent="0.25">
      <c r="A42" s="100">
        <v>15312</v>
      </c>
      <c r="B42" s="95" t="s">
        <v>203</v>
      </c>
      <c r="C42" s="96"/>
      <c r="D42" s="96"/>
      <c r="E42" s="96"/>
      <c r="F42" s="78">
        <v>126.13</v>
      </c>
      <c r="G42" s="96"/>
      <c r="H42" s="96"/>
      <c r="I42" s="96"/>
      <c r="J42" s="96">
        <f t="shared" si="3"/>
        <v>126.13</v>
      </c>
      <c r="K42" s="80"/>
      <c r="L42" s="81"/>
    </row>
    <row r="43" spans="1:12" ht="18" customHeight="1" x14ac:dyDescent="0.25">
      <c r="A43" s="100">
        <v>15399</v>
      </c>
      <c r="B43" s="95" t="s">
        <v>204</v>
      </c>
      <c r="C43" s="96"/>
      <c r="D43" s="96"/>
      <c r="E43" s="96"/>
      <c r="F43" s="78">
        <v>634.86</v>
      </c>
      <c r="G43" s="96"/>
      <c r="H43" s="96"/>
      <c r="I43" s="96"/>
      <c r="J43" s="96">
        <f t="shared" si="3"/>
        <v>634.86</v>
      </c>
      <c r="K43" s="80"/>
      <c r="L43" s="81"/>
    </row>
    <row r="44" spans="1:12" ht="18" customHeight="1" x14ac:dyDescent="0.25">
      <c r="A44" s="100">
        <v>154</v>
      </c>
      <c r="B44" s="95" t="s">
        <v>205</v>
      </c>
      <c r="C44" s="96"/>
      <c r="D44" s="96"/>
      <c r="E44" s="96"/>
      <c r="F44" s="78">
        <f>F45</f>
        <v>22218.74</v>
      </c>
      <c r="G44" s="96"/>
      <c r="H44" s="96"/>
      <c r="I44" s="96"/>
      <c r="J44" s="96">
        <f t="shared" si="3"/>
        <v>22218.74</v>
      </c>
      <c r="K44" s="80"/>
      <c r="L44" s="81"/>
    </row>
    <row r="45" spans="1:12" ht="18" customHeight="1" x14ac:dyDescent="0.25">
      <c r="A45" s="100">
        <v>15499</v>
      </c>
      <c r="B45" s="95" t="s">
        <v>206</v>
      </c>
      <c r="C45" s="96"/>
      <c r="D45" s="96"/>
      <c r="E45" s="96"/>
      <c r="F45" s="78">
        <v>22218.74</v>
      </c>
      <c r="G45" s="96"/>
      <c r="H45" s="96"/>
      <c r="I45" s="96"/>
      <c r="J45" s="96">
        <f t="shared" si="3"/>
        <v>22218.74</v>
      </c>
      <c r="K45" s="80"/>
      <c r="L45" s="81"/>
    </row>
    <row r="46" spans="1:12" ht="18" customHeight="1" x14ac:dyDescent="0.25">
      <c r="A46" s="100">
        <v>157</v>
      </c>
      <c r="B46" s="95" t="s">
        <v>207</v>
      </c>
      <c r="C46" s="96"/>
      <c r="D46" s="96"/>
      <c r="E46" s="96"/>
      <c r="F46" s="78">
        <f>F47+F48</f>
        <v>2368.9699999999998</v>
      </c>
      <c r="G46" s="96"/>
      <c r="H46" s="96"/>
      <c r="I46" s="96"/>
      <c r="J46" s="96">
        <f t="shared" si="3"/>
        <v>2368.9699999999998</v>
      </c>
      <c r="K46" s="80"/>
      <c r="L46" s="81"/>
    </row>
    <row r="47" spans="1:12" ht="18" customHeight="1" x14ac:dyDescent="0.25">
      <c r="A47" s="100">
        <v>15703</v>
      </c>
      <c r="B47" s="95" t="s">
        <v>156</v>
      </c>
      <c r="C47" s="96"/>
      <c r="D47" s="96"/>
      <c r="E47" s="96"/>
      <c r="F47" s="78">
        <v>0</v>
      </c>
      <c r="G47" s="96"/>
      <c r="H47" s="96"/>
      <c r="I47" s="96"/>
      <c r="J47" s="96">
        <f t="shared" si="3"/>
        <v>0</v>
      </c>
      <c r="K47" s="80"/>
      <c r="L47" s="81"/>
    </row>
    <row r="48" spans="1:12" ht="18" customHeight="1" x14ac:dyDescent="0.25">
      <c r="A48" s="100">
        <v>15799</v>
      </c>
      <c r="B48" s="95" t="s">
        <v>208</v>
      </c>
      <c r="C48" s="96"/>
      <c r="D48" s="96"/>
      <c r="E48" s="96"/>
      <c r="F48" s="78">
        <v>2368.9699999999998</v>
      </c>
      <c r="G48" s="96"/>
      <c r="H48" s="96"/>
      <c r="I48" s="96"/>
      <c r="J48" s="96">
        <f t="shared" si="3"/>
        <v>2368.9699999999998</v>
      </c>
      <c r="K48" s="80"/>
      <c r="L48" s="81"/>
    </row>
    <row r="49" spans="1:12" s="62" customFormat="1" ht="18" customHeight="1" x14ac:dyDescent="0.25">
      <c r="A49" s="101" t="s">
        <v>209</v>
      </c>
      <c r="B49" s="91" t="s">
        <v>212</v>
      </c>
      <c r="C49" s="92">
        <f>C50</f>
        <v>501063.72</v>
      </c>
      <c r="D49" s="102">
        <f t="shared" ref="D49:I49" si="4">D50</f>
        <v>0</v>
      </c>
      <c r="E49" s="102">
        <f t="shared" si="4"/>
        <v>0</v>
      </c>
      <c r="F49" s="102">
        <f t="shared" si="4"/>
        <v>0</v>
      </c>
      <c r="G49" s="102">
        <f t="shared" si="4"/>
        <v>0</v>
      </c>
      <c r="H49" s="102">
        <f t="shared" si="4"/>
        <v>0</v>
      </c>
      <c r="I49" s="102">
        <f t="shared" si="4"/>
        <v>0</v>
      </c>
      <c r="J49" s="92">
        <f>J50</f>
        <v>501063.72</v>
      </c>
      <c r="K49" s="82"/>
      <c r="L49" s="83"/>
    </row>
    <row r="50" spans="1:12" ht="29.25" customHeight="1" x14ac:dyDescent="0.2">
      <c r="A50" s="100" t="s">
        <v>210</v>
      </c>
      <c r="B50" s="95" t="s">
        <v>211</v>
      </c>
      <c r="C50" s="96">
        <f>C51++C54+C57</f>
        <v>501063.72</v>
      </c>
      <c r="D50" s="103"/>
      <c r="E50" s="103">
        <f t="shared" ref="E50:I50" si="5">E51++E54+E57</f>
        <v>0</v>
      </c>
      <c r="F50" s="103">
        <f t="shared" si="5"/>
        <v>0</v>
      </c>
      <c r="G50" s="103">
        <f t="shared" si="5"/>
        <v>0</v>
      </c>
      <c r="H50" s="103">
        <f t="shared" si="5"/>
        <v>0</v>
      </c>
      <c r="I50" s="103">
        <f t="shared" si="5"/>
        <v>0</v>
      </c>
      <c r="J50" s="96">
        <f t="shared" ref="J50" si="6">C50+D50+E50+F50+G50+H50+I50</f>
        <v>501063.72</v>
      </c>
      <c r="K50" s="80"/>
      <c r="L50" s="81"/>
    </row>
    <row r="51" spans="1:12" ht="18" customHeight="1" x14ac:dyDescent="0.3">
      <c r="A51" s="99" t="s">
        <v>155</v>
      </c>
      <c r="B51" s="104" t="s">
        <v>154</v>
      </c>
      <c r="C51" s="105">
        <v>501063.72</v>
      </c>
      <c r="E51" s="106"/>
      <c r="F51" s="106"/>
      <c r="G51" s="106"/>
      <c r="H51" s="106"/>
      <c r="I51" s="106"/>
      <c r="J51" s="106">
        <f>J52</f>
        <v>1503191.04</v>
      </c>
      <c r="K51" s="86"/>
      <c r="L51" s="86"/>
    </row>
    <row r="52" spans="1:12" ht="18" customHeight="1" x14ac:dyDescent="0.25">
      <c r="A52" s="101" t="s">
        <v>213</v>
      </c>
      <c r="B52" s="107" t="s">
        <v>214</v>
      </c>
      <c r="C52" s="108"/>
      <c r="D52" s="162">
        <f>D54</f>
        <v>1503191.04</v>
      </c>
      <c r="E52" s="109"/>
      <c r="F52" s="109"/>
      <c r="G52" s="109"/>
      <c r="H52" s="109"/>
      <c r="I52" s="109"/>
      <c r="J52" s="109">
        <f>J53</f>
        <v>1503191.04</v>
      </c>
      <c r="K52" s="86"/>
      <c r="L52" s="86"/>
    </row>
    <row r="53" spans="1:12" s="62" customFormat="1" ht="30" x14ac:dyDescent="0.25">
      <c r="A53" s="100" t="s">
        <v>215</v>
      </c>
      <c r="B53" s="110" t="s">
        <v>216</v>
      </c>
      <c r="C53" s="108"/>
      <c r="D53" s="105">
        <f>D54</f>
        <v>1503191.04</v>
      </c>
      <c r="E53" s="109"/>
      <c r="F53" s="109"/>
      <c r="G53" s="109"/>
      <c r="H53" s="109"/>
      <c r="I53" s="109"/>
      <c r="J53" s="111">
        <f>J54</f>
        <v>1503191.04</v>
      </c>
      <c r="K53" s="87"/>
      <c r="L53" s="87"/>
    </row>
    <row r="54" spans="1:12" ht="18" customHeight="1" thickBot="1" x14ac:dyDescent="0.25">
      <c r="A54" s="100" t="s">
        <v>153</v>
      </c>
      <c r="B54" s="110" t="s">
        <v>152</v>
      </c>
      <c r="C54" s="105"/>
      <c r="D54" s="105">
        <v>1503191.04</v>
      </c>
      <c r="E54" s="111">
        <v>0</v>
      </c>
      <c r="F54" s="111"/>
      <c r="G54" s="111"/>
      <c r="H54" s="111"/>
      <c r="I54" s="111"/>
      <c r="J54" s="111">
        <f t="shared" ref="J54" si="7">SUM(C54:I54)</f>
        <v>1503191.04</v>
      </c>
      <c r="K54" s="86"/>
      <c r="L54" s="86"/>
    </row>
    <row r="55" spans="1:12" s="62" customFormat="1" ht="18" hidden="1" customHeight="1" x14ac:dyDescent="0.25">
      <c r="A55" s="115" t="s">
        <v>218</v>
      </c>
      <c r="B55" s="116" t="s">
        <v>219</v>
      </c>
      <c r="C55" s="117"/>
      <c r="D55" s="117"/>
      <c r="E55" s="118"/>
      <c r="F55" s="118"/>
      <c r="G55" s="118"/>
      <c r="H55" s="118"/>
      <c r="I55" s="118"/>
      <c r="J55" s="118">
        <f>J56</f>
        <v>0</v>
      </c>
      <c r="K55" s="87"/>
      <c r="L55" s="87"/>
    </row>
    <row r="56" spans="1:12" ht="18" hidden="1" customHeight="1" x14ac:dyDescent="0.2">
      <c r="A56" s="119" t="s">
        <v>220</v>
      </c>
      <c r="B56" s="120" t="s">
        <v>221</v>
      </c>
      <c r="C56" s="121"/>
      <c r="D56" s="121"/>
      <c r="E56" s="122"/>
      <c r="F56" s="122"/>
      <c r="G56" s="122"/>
      <c r="H56" s="122"/>
      <c r="I56" s="122"/>
      <c r="J56" s="122">
        <f>J57+J58+J59</f>
        <v>0</v>
      </c>
      <c r="K56" s="86"/>
      <c r="L56" s="86"/>
    </row>
    <row r="57" spans="1:12" ht="18" hidden="1" customHeight="1" x14ac:dyDescent="0.25">
      <c r="A57" s="119" t="s">
        <v>151</v>
      </c>
      <c r="B57" s="120" t="s">
        <v>150</v>
      </c>
      <c r="C57" s="122"/>
      <c r="D57" s="122"/>
      <c r="E57" s="122"/>
      <c r="F57" s="122"/>
      <c r="G57" s="122"/>
      <c r="H57" s="122"/>
      <c r="I57" s="122"/>
      <c r="J57" s="122">
        <f t="shared" ref="J57:J59" si="8">C57+D57+E57+F57+G57+H57+I57</f>
        <v>0</v>
      </c>
      <c r="K57" s="88">
        <f>SUM(C57:J57)</f>
        <v>0</v>
      </c>
      <c r="L57" s="89"/>
    </row>
    <row r="58" spans="1:12" ht="18" hidden="1" customHeight="1" x14ac:dyDescent="0.2">
      <c r="A58" s="119" t="s">
        <v>151</v>
      </c>
      <c r="B58" s="120" t="s">
        <v>150</v>
      </c>
      <c r="C58" s="122"/>
      <c r="D58" s="122"/>
      <c r="E58" s="122"/>
      <c r="F58" s="122"/>
      <c r="G58" s="122"/>
      <c r="H58" s="122"/>
      <c r="I58" s="122"/>
      <c r="J58" s="122">
        <f t="shared" si="8"/>
        <v>0</v>
      </c>
      <c r="K58" s="88"/>
      <c r="L58" s="86"/>
    </row>
    <row r="59" spans="1:12" ht="30.75" hidden="1" thickBot="1" x14ac:dyDescent="0.25">
      <c r="A59" s="123" t="s">
        <v>149</v>
      </c>
      <c r="B59" s="120" t="s">
        <v>148</v>
      </c>
      <c r="C59" s="122"/>
      <c r="D59" s="122"/>
      <c r="E59" s="122"/>
      <c r="F59" s="122"/>
      <c r="G59" s="122"/>
      <c r="H59" s="122"/>
      <c r="I59" s="122"/>
      <c r="J59" s="122">
        <f t="shared" si="8"/>
        <v>0</v>
      </c>
      <c r="K59" s="86"/>
      <c r="L59" s="86"/>
    </row>
    <row r="60" spans="1:12" s="62" customFormat="1" ht="24.95" customHeight="1" thickBot="1" x14ac:dyDescent="0.3">
      <c r="A60" s="68"/>
      <c r="B60" s="112" t="s">
        <v>147</v>
      </c>
      <c r="C60" s="113">
        <f>SUM(C51:C59)</f>
        <v>501063.72</v>
      </c>
      <c r="D60" s="113">
        <f>SUM(D54:D59)</f>
        <v>1503191.04</v>
      </c>
      <c r="E60" s="113">
        <f>SUM(E51:E59)</f>
        <v>0</v>
      </c>
      <c r="F60" s="113">
        <f>F9+F16+F34+F38</f>
        <v>425406.12</v>
      </c>
      <c r="G60" s="113">
        <f>SUM(G51:G59)</f>
        <v>0</v>
      </c>
      <c r="H60" s="113">
        <f>SUM(H51:H59)</f>
        <v>0</v>
      </c>
      <c r="I60" s="113">
        <f>SUM(I51:I59)</f>
        <v>0</v>
      </c>
      <c r="J60" s="114">
        <f>SUM(C60:I60)</f>
        <v>2429660.88</v>
      </c>
      <c r="K60" s="82"/>
      <c r="L60" s="83"/>
    </row>
    <row r="61" spans="1:12" ht="15" customHeight="1" x14ac:dyDescent="0.3">
      <c r="A61" s="67"/>
      <c r="B61" s="66"/>
      <c r="E61" s="126"/>
    </row>
    <row r="62" spans="1:12" s="62" customFormat="1" ht="20.25" customHeight="1" x14ac:dyDescent="0.35">
      <c r="A62" s="65" t="s">
        <v>146</v>
      </c>
      <c r="B62" s="76"/>
      <c r="C62" s="124"/>
      <c r="D62" s="124"/>
      <c r="E62" s="64"/>
      <c r="F62" s="125"/>
      <c r="G62" s="64"/>
      <c r="H62" s="64"/>
      <c r="I62" s="64"/>
      <c r="J62" s="59"/>
      <c r="K62" s="63"/>
    </row>
    <row r="63" spans="1:12" x14ac:dyDescent="0.3">
      <c r="A63" s="215" t="s">
        <v>145</v>
      </c>
      <c r="B63" s="215"/>
      <c r="C63" s="215"/>
      <c r="D63" s="215"/>
      <c r="E63" s="215"/>
      <c r="F63" s="215"/>
    </row>
    <row r="64" spans="1:12" x14ac:dyDescent="0.3">
      <c r="A64" s="215" t="s">
        <v>144</v>
      </c>
      <c r="B64" s="215"/>
      <c r="C64" s="215"/>
      <c r="D64" s="215"/>
      <c r="E64" s="215"/>
      <c r="F64" s="215"/>
    </row>
    <row r="65" spans="1:6" x14ac:dyDescent="0.3">
      <c r="A65" s="215" t="s">
        <v>143</v>
      </c>
      <c r="B65" s="215"/>
      <c r="C65" s="215"/>
      <c r="D65" s="215"/>
      <c r="E65" s="215"/>
      <c r="F65" s="215"/>
    </row>
    <row r="66" spans="1:6" x14ac:dyDescent="0.3">
      <c r="A66" s="215" t="s">
        <v>142</v>
      </c>
      <c r="B66" s="215"/>
      <c r="C66" s="215"/>
      <c r="D66" s="215"/>
      <c r="E66" s="215"/>
      <c r="F66" s="215"/>
    </row>
    <row r="67" spans="1:6" x14ac:dyDescent="0.3">
      <c r="A67" s="215" t="s">
        <v>141</v>
      </c>
      <c r="B67" s="215"/>
      <c r="C67" s="215"/>
      <c r="D67" s="215"/>
      <c r="E67" s="215"/>
      <c r="F67" s="215"/>
    </row>
    <row r="68" spans="1:6" x14ac:dyDescent="0.3">
      <c r="A68" s="215" t="s">
        <v>140</v>
      </c>
      <c r="B68" s="215"/>
      <c r="C68" s="215"/>
      <c r="D68" s="215"/>
      <c r="E68" s="215"/>
      <c r="F68" s="215"/>
    </row>
  </sheetData>
  <mergeCells count="19">
    <mergeCell ref="A1:J1"/>
    <mergeCell ref="A2:J2"/>
    <mergeCell ref="A3:J3"/>
    <mergeCell ref="A5:J5"/>
    <mergeCell ref="A4:J4"/>
    <mergeCell ref="B6:B8"/>
    <mergeCell ref="A63:F63"/>
    <mergeCell ref="A68:F68"/>
    <mergeCell ref="A64:F64"/>
    <mergeCell ref="A65:F65"/>
    <mergeCell ref="A66:F66"/>
    <mergeCell ref="A67:F67"/>
    <mergeCell ref="C6:E6"/>
    <mergeCell ref="C7:D7"/>
    <mergeCell ref="I6:I8"/>
    <mergeCell ref="J6:J8"/>
    <mergeCell ref="F6:F8"/>
    <mergeCell ref="G6:G8"/>
    <mergeCell ref="H6:H8"/>
  </mergeCells>
  <printOptions horizontalCentered="1"/>
  <pageMargins left="0.55118110236220474" right="0.55118110236220474" top="0.59055118110236227" bottom="0.59055118110236227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29"/>
  <sheetViews>
    <sheetView zoomScale="140" zoomScaleNormal="140" workbookViewId="0">
      <selection activeCell="E11" sqref="E11"/>
    </sheetView>
  </sheetViews>
  <sheetFormatPr baseColWidth="10" defaultColWidth="14" defaultRowHeight="15" x14ac:dyDescent="0.25"/>
  <cols>
    <col min="1" max="1" width="5.5703125" customWidth="1"/>
    <col min="2" max="2" width="33.140625" customWidth="1"/>
    <col min="3" max="6" width="14" customWidth="1"/>
  </cols>
  <sheetData>
    <row r="1" spans="1:7" ht="23.25" x14ac:dyDescent="0.35">
      <c r="A1" s="233" t="s">
        <v>138</v>
      </c>
      <c r="B1" s="233"/>
      <c r="C1" s="233"/>
      <c r="D1" s="233"/>
      <c r="E1" s="233"/>
      <c r="F1" s="233"/>
      <c r="G1" s="233"/>
    </row>
    <row r="2" spans="1:7" ht="23.25" x14ac:dyDescent="0.35">
      <c r="A2" s="233" t="s">
        <v>230</v>
      </c>
      <c r="B2" s="233"/>
      <c r="C2" s="233"/>
      <c r="D2" s="233"/>
      <c r="E2" s="233"/>
      <c r="F2" s="233"/>
      <c r="G2" s="233"/>
    </row>
    <row r="3" spans="1:7" ht="23.25" x14ac:dyDescent="0.35">
      <c r="A3" s="233" t="s">
        <v>139</v>
      </c>
      <c r="B3" s="233"/>
      <c r="C3" s="233"/>
      <c r="D3" s="233"/>
      <c r="E3" s="233"/>
      <c r="F3" s="233"/>
      <c r="G3" s="233"/>
    </row>
    <row r="4" spans="1:7" ht="15.75" thickBot="1" x14ac:dyDescent="0.3"/>
    <row r="5" spans="1:7" s="129" customFormat="1" ht="15.75" thickBot="1" x14ac:dyDescent="0.3">
      <c r="A5" s="127"/>
      <c r="B5" s="128"/>
      <c r="C5" s="234" t="s">
        <v>26</v>
      </c>
      <c r="D5" s="235"/>
      <c r="E5" s="235"/>
      <c r="F5" s="235"/>
      <c r="G5" s="236"/>
    </row>
    <row r="6" spans="1:7" s="129" customFormat="1" x14ac:dyDescent="0.25">
      <c r="A6" s="130"/>
      <c r="B6" s="131"/>
      <c r="C6" s="227" t="s">
        <v>25</v>
      </c>
      <c r="D6" s="227"/>
      <c r="E6" s="227"/>
      <c r="F6" s="227"/>
      <c r="G6" s="228"/>
    </row>
    <row r="7" spans="1:7" s="129" customFormat="1" x14ac:dyDescent="0.25">
      <c r="A7" s="132" t="s">
        <v>28</v>
      </c>
      <c r="B7" s="133" t="s">
        <v>27</v>
      </c>
      <c r="C7" s="229" t="s">
        <v>2</v>
      </c>
      <c r="D7" s="229"/>
      <c r="E7" s="229"/>
      <c r="F7" s="229"/>
      <c r="G7" s="230"/>
    </row>
    <row r="8" spans="1:7" s="129" customFormat="1" x14ac:dyDescent="0.25">
      <c r="A8" s="130"/>
      <c r="B8" s="131"/>
      <c r="C8" s="231" t="s">
        <v>24</v>
      </c>
      <c r="D8" s="231"/>
      <c r="E8" s="231"/>
      <c r="F8" s="231"/>
      <c r="G8" s="232"/>
    </row>
    <row r="9" spans="1:7" s="129" customFormat="1" ht="25.5" thickBot="1" x14ac:dyDescent="0.3">
      <c r="A9" s="134"/>
      <c r="B9" s="135"/>
      <c r="C9" s="136" t="s">
        <v>6</v>
      </c>
      <c r="D9" s="137" t="s">
        <v>7</v>
      </c>
      <c r="E9" s="137" t="s">
        <v>8</v>
      </c>
      <c r="F9" s="137" t="s">
        <v>9</v>
      </c>
      <c r="G9" s="138" t="s">
        <v>223</v>
      </c>
    </row>
    <row r="10" spans="1:7" s="129" customFormat="1" x14ac:dyDescent="0.25">
      <c r="A10" s="139">
        <v>51</v>
      </c>
      <c r="B10" s="140" t="s">
        <v>30</v>
      </c>
      <c r="C10" s="141">
        <f>C11+C15+C19+C22+C28+C31+C25</f>
        <v>116698.9</v>
      </c>
      <c r="D10" s="141">
        <f>D11+D15+D19+D22+D28+D31+D25</f>
        <v>104750</v>
      </c>
      <c r="E10" s="141">
        <f>E11+E15+E19+E22+E28+E31+E25</f>
        <v>23520</v>
      </c>
      <c r="F10" s="141">
        <f>F11+F15+F19+F22+F28+F31+F25</f>
        <v>67780</v>
      </c>
      <c r="G10" s="142">
        <f>G11+G15+G19+G22+G28+G31+G25</f>
        <v>312748.90000000002</v>
      </c>
    </row>
    <row r="11" spans="1:7" s="129" customFormat="1" x14ac:dyDescent="0.25">
      <c r="A11" s="143">
        <v>511</v>
      </c>
      <c r="B11" s="144" t="s">
        <v>31</v>
      </c>
      <c r="C11" s="141">
        <f>C12+C13+C14</f>
        <v>112698.9</v>
      </c>
      <c r="D11" s="141">
        <f t="shared" ref="D11:F11" si="0">D12+D13+D14</f>
        <v>104750</v>
      </c>
      <c r="E11" s="141">
        <f t="shared" si="0"/>
        <v>23520</v>
      </c>
      <c r="F11" s="141">
        <f t="shared" si="0"/>
        <v>67780</v>
      </c>
      <c r="G11" s="142">
        <f>G12+G13+G14</f>
        <v>308748.90000000002</v>
      </c>
    </row>
    <row r="12" spans="1:7" s="129" customFormat="1" x14ac:dyDescent="0.25">
      <c r="A12" s="145">
        <v>51101</v>
      </c>
      <c r="B12" s="146" t="s">
        <v>32</v>
      </c>
      <c r="C12" s="147">
        <f>70966.68-11827.78</f>
        <v>59138.899999999994</v>
      </c>
      <c r="D12" s="147">
        <f>112260-18710</f>
        <v>93550</v>
      </c>
      <c r="E12" s="147">
        <f>25200-4200</f>
        <v>21000</v>
      </c>
      <c r="F12" s="147">
        <f>73272-12212</f>
        <v>61060</v>
      </c>
      <c r="G12" s="148">
        <f>C12+D12+E12+F12</f>
        <v>234748.9</v>
      </c>
    </row>
    <row r="13" spans="1:7" s="129" customFormat="1" x14ac:dyDescent="0.25">
      <c r="A13" s="145">
        <v>51103</v>
      </c>
      <c r="B13" s="146" t="s">
        <v>33</v>
      </c>
      <c r="C13" s="147">
        <v>9560</v>
      </c>
      <c r="D13" s="147">
        <v>11200</v>
      </c>
      <c r="E13" s="147">
        <v>2520</v>
      </c>
      <c r="F13" s="147">
        <v>6720</v>
      </c>
      <c r="G13" s="148">
        <f>C13+D13+E13+F13</f>
        <v>30000</v>
      </c>
    </row>
    <row r="14" spans="1:7" s="129" customFormat="1" x14ac:dyDescent="0.25">
      <c r="A14" s="145">
        <v>51105</v>
      </c>
      <c r="B14" s="146" t="s">
        <v>34</v>
      </c>
      <c r="C14" s="147">
        <v>44000</v>
      </c>
      <c r="D14" s="147"/>
      <c r="E14" s="147"/>
      <c r="F14" s="147"/>
      <c r="G14" s="148">
        <f>C14+D14+E14+F14</f>
        <v>44000</v>
      </c>
    </row>
    <row r="15" spans="1:7" s="129" customFormat="1" x14ac:dyDescent="0.25">
      <c r="A15" s="143">
        <v>512</v>
      </c>
      <c r="B15" s="144" t="s">
        <v>35</v>
      </c>
      <c r="C15" s="141">
        <f>C16+C17+C18</f>
        <v>1000</v>
      </c>
      <c r="D15" s="141">
        <f>D16+D17+D18</f>
        <v>0</v>
      </c>
      <c r="E15" s="141">
        <f>E16+E17+E18</f>
        <v>0</v>
      </c>
      <c r="F15" s="141">
        <f>F16+F17+F18</f>
        <v>0</v>
      </c>
      <c r="G15" s="142">
        <f>G16+G17+G18</f>
        <v>1000</v>
      </c>
    </row>
    <row r="16" spans="1:7" s="129" customFormat="1" x14ac:dyDescent="0.25">
      <c r="A16" s="145">
        <v>51201</v>
      </c>
      <c r="B16" s="146" t="s">
        <v>32</v>
      </c>
      <c r="C16" s="147">
        <v>1000</v>
      </c>
      <c r="D16" s="147"/>
      <c r="E16" s="147"/>
      <c r="F16" s="147"/>
      <c r="G16" s="148">
        <f>C16+D16+E16+F16</f>
        <v>1000</v>
      </c>
    </row>
    <row r="17" spans="1:7" s="129" customFormat="1" hidden="1" x14ac:dyDescent="0.25">
      <c r="A17" s="145">
        <v>51202</v>
      </c>
      <c r="B17" s="146" t="s">
        <v>36</v>
      </c>
      <c r="C17" s="147"/>
      <c r="D17" s="147"/>
      <c r="E17" s="147"/>
      <c r="F17" s="147"/>
      <c r="G17" s="148">
        <f t="shared" ref="G17:G82" si="1">C17+D17+E17+F17</f>
        <v>0</v>
      </c>
    </row>
    <row r="18" spans="1:7" s="129" customFormat="1" hidden="1" x14ac:dyDescent="0.25">
      <c r="A18" s="145">
        <v>51203</v>
      </c>
      <c r="B18" s="146" t="s">
        <v>33</v>
      </c>
      <c r="C18" s="147"/>
      <c r="D18" s="147"/>
      <c r="E18" s="147"/>
      <c r="F18" s="147"/>
      <c r="G18" s="148">
        <f t="shared" si="1"/>
        <v>0</v>
      </c>
    </row>
    <row r="19" spans="1:7" s="129" customFormat="1" hidden="1" x14ac:dyDescent="0.25">
      <c r="A19" s="143">
        <v>514</v>
      </c>
      <c r="B19" s="144" t="s">
        <v>37</v>
      </c>
      <c r="C19" s="141">
        <f>C20+C21</f>
        <v>0</v>
      </c>
      <c r="D19" s="141">
        <f t="shared" ref="D19:G19" si="2">D20+D21</f>
        <v>0</v>
      </c>
      <c r="E19" s="141">
        <f t="shared" si="2"/>
        <v>0</v>
      </c>
      <c r="F19" s="141">
        <f t="shared" si="2"/>
        <v>0</v>
      </c>
      <c r="G19" s="142">
        <f t="shared" si="2"/>
        <v>0</v>
      </c>
    </row>
    <row r="20" spans="1:7" s="129" customFormat="1" hidden="1" x14ac:dyDescent="0.25">
      <c r="A20" s="145">
        <v>51401</v>
      </c>
      <c r="B20" s="146" t="s">
        <v>38</v>
      </c>
      <c r="C20" s="147">
        <v>0</v>
      </c>
      <c r="D20" s="147">
        <v>0</v>
      </c>
      <c r="E20" s="147">
        <v>0</v>
      </c>
      <c r="F20" s="147">
        <v>0</v>
      </c>
      <c r="G20" s="148">
        <f t="shared" si="1"/>
        <v>0</v>
      </c>
    </row>
    <row r="21" spans="1:7" s="129" customFormat="1" hidden="1" x14ac:dyDescent="0.25">
      <c r="A21" s="145">
        <v>51402</v>
      </c>
      <c r="B21" s="146" t="s">
        <v>39</v>
      </c>
      <c r="C21" s="147"/>
      <c r="D21" s="147"/>
      <c r="E21" s="147"/>
      <c r="F21" s="147"/>
      <c r="G21" s="148">
        <f t="shared" si="1"/>
        <v>0</v>
      </c>
    </row>
    <row r="22" spans="1:7" s="129" customFormat="1" hidden="1" x14ac:dyDescent="0.25">
      <c r="A22" s="143">
        <v>515</v>
      </c>
      <c r="B22" s="144" t="s">
        <v>40</v>
      </c>
      <c r="C22" s="141">
        <f>C23+C24</f>
        <v>0</v>
      </c>
      <c r="D22" s="141">
        <f t="shared" ref="D22:G22" si="3">D23+D24</f>
        <v>0</v>
      </c>
      <c r="E22" s="141">
        <f t="shared" si="3"/>
        <v>0</v>
      </c>
      <c r="F22" s="141">
        <f t="shared" si="3"/>
        <v>0</v>
      </c>
      <c r="G22" s="142">
        <f t="shared" si="3"/>
        <v>0</v>
      </c>
    </row>
    <row r="23" spans="1:7" s="129" customFormat="1" hidden="1" x14ac:dyDescent="0.25">
      <c r="A23" s="145">
        <v>51501</v>
      </c>
      <c r="B23" s="146" t="s">
        <v>38</v>
      </c>
      <c r="C23" s="147"/>
      <c r="D23" s="147"/>
      <c r="E23" s="147"/>
      <c r="F23" s="147"/>
      <c r="G23" s="148">
        <f t="shared" si="1"/>
        <v>0</v>
      </c>
    </row>
    <row r="24" spans="1:7" s="129" customFormat="1" hidden="1" x14ac:dyDescent="0.25">
      <c r="A24" s="145">
        <v>51502</v>
      </c>
      <c r="B24" s="146" t="s">
        <v>39</v>
      </c>
      <c r="C24" s="147"/>
      <c r="D24" s="147"/>
      <c r="E24" s="147"/>
      <c r="F24" s="147"/>
      <c r="G24" s="148">
        <f t="shared" si="1"/>
        <v>0</v>
      </c>
    </row>
    <row r="25" spans="1:7" s="129" customFormat="1" hidden="1" x14ac:dyDescent="0.25">
      <c r="A25" s="143">
        <v>517</v>
      </c>
      <c r="B25" s="144" t="s">
        <v>84</v>
      </c>
      <c r="C25" s="141">
        <f>C26+C27</f>
        <v>0</v>
      </c>
      <c r="D25" s="141">
        <f>D26+D27</f>
        <v>0</v>
      </c>
      <c r="E25" s="141">
        <f t="shared" ref="E25:G25" si="4">E26+E27</f>
        <v>0</v>
      </c>
      <c r="F25" s="141">
        <f t="shared" si="4"/>
        <v>0</v>
      </c>
      <c r="G25" s="142">
        <f t="shared" si="4"/>
        <v>0</v>
      </c>
    </row>
    <row r="26" spans="1:7" s="129" customFormat="1" hidden="1" x14ac:dyDescent="0.25">
      <c r="A26" s="145">
        <v>51701</v>
      </c>
      <c r="B26" s="146" t="s">
        <v>134</v>
      </c>
      <c r="C26" s="147"/>
      <c r="D26" s="147">
        <v>0</v>
      </c>
      <c r="E26" s="147">
        <v>0</v>
      </c>
      <c r="F26" s="147">
        <v>0</v>
      </c>
      <c r="G26" s="149">
        <v>0</v>
      </c>
    </row>
    <row r="27" spans="1:7" s="129" customFormat="1" hidden="1" x14ac:dyDescent="0.25">
      <c r="A27" s="145">
        <v>51702</v>
      </c>
      <c r="B27" s="146" t="s">
        <v>85</v>
      </c>
      <c r="C27" s="147"/>
      <c r="D27" s="147"/>
      <c r="E27" s="147"/>
      <c r="F27" s="147"/>
      <c r="G27" s="149">
        <v>0</v>
      </c>
    </row>
    <row r="28" spans="1:7" s="129" customFormat="1" hidden="1" x14ac:dyDescent="0.25">
      <c r="A28" s="143">
        <v>516</v>
      </c>
      <c r="B28" s="144" t="s">
        <v>41</v>
      </c>
      <c r="C28" s="141">
        <f>C29+C30</f>
        <v>0</v>
      </c>
      <c r="D28" s="141">
        <f t="shared" ref="D28:G28" si="5">D29+D30</f>
        <v>0</v>
      </c>
      <c r="E28" s="141">
        <f t="shared" si="5"/>
        <v>0</v>
      </c>
      <c r="F28" s="141">
        <f t="shared" si="5"/>
        <v>0</v>
      </c>
      <c r="G28" s="142">
        <f t="shared" si="5"/>
        <v>0</v>
      </c>
    </row>
    <row r="29" spans="1:7" s="129" customFormat="1" hidden="1" x14ac:dyDescent="0.25">
      <c r="A29" s="145">
        <v>51601</v>
      </c>
      <c r="B29" s="146" t="s">
        <v>42</v>
      </c>
      <c r="C29" s="147"/>
      <c r="D29" s="147"/>
      <c r="E29" s="147"/>
      <c r="F29" s="147"/>
      <c r="G29" s="148">
        <f t="shared" si="1"/>
        <v>0</v>
      </c>
    </row>
    <row r="30" spans="1:7" s="129" customFormat="1" hidden="1" x14ac:dyDescent="0.25">
      <c r="A30" s="145">
        <v>51602</v>
      </c>
      <c r="B30" s="146" t="s">
        <v>43</v>
      </c>
      <c r="C30" s="147"/>
      <c r="D30" s="147"/>
      <c r="E30" s="147"/>
      <c r="F30" s="147"/>
      <c r="G30" s="148">
        <f t="shared" si="1"/>
        <v>0</v>
      </c>
    </row>
    <row r="31" spans="1:7" s="129" customFormat="1" x14ac:dyDescent="0.25">
      <c r="A31" s="143">
        <v>519</v>
      </c>
      <c r="B31" s="144" t="s">
        <v>44</v>
      </c>
      <c r="C31" s="141">
        <f>C32</f>
        <v>3000</v>
      </c>
      <c r="D31" s="141">
        <f t="shared" ref="D31:F31" si="6">D32</f>
        <v>0</v>
      </c>
      <c r="E31" s="141">
        <f t="shared" si="6"/>
        <v>0</v>
      </c>
      <c r="F31" s="141">
        <f t="shared" si="6"/>
        <v>0</v>
      </c>
      <c r="G31" s="142">
        <f>G32</f>
        <v>3000</v>
      </c>
    </row>
    <row r="32" spans="1:7" s="129" customFormat="1" x14ac:dyDescent="0.25">
      <c r="A32" s="145">
        <v>51901</v>
      </c>
      <c r="B32" s="146" t="s">
        <v>45</v>
      </c>
      <c r="C32" s="147">
        <v>3000</v>
      </c>
      <c r="D32" s="147"/>
      <c r="E32" s="147"/>
      <c r="F32" s="147"/>
      <c r="G32" s="148">
        <f>C32+D32+E32+F32</f>
        <v>3000</v>
      </c>
    </row>
    <row r="33" spans="1:7" s="129" customFormat="1" x14ac:dyDescent="0.25">
      <c r="A33" s="143">
        <v>54</v>
      </c>
      <c r="B33" s="144" t="s">
        <v>46</v>
      </c>
      <c r="C33" s="141">
        <f>C34+C54+C60</f>
        <v>150773.38</v>
      </c>
      <c r="D33" s="141">
        <f>D34+D54+D60</f>
        <v>4000</v>
      </c>
      <c r="E33" s="141">
        <f>E34+E54+E60</f>
        <v>2000</v>
      </c>
      <c r="F33" s="141">
        <f>F34+F54+F60</f>
        <v>4000</v>
      </c>
      <c r="G33" s="142">
        <f>G34+G54+G60+G71+G81+G75+G93</f>
        <v>174544.1</v>
      </c>
    </row>
    <row r="34" spans="1:7" s="129" customFormat="1" x14ac:dyDescent="0.25">
      <c r="A34" s="143">
        <v>541</v>
      </c>
      <c r="B34" s="144" t="s">
        <v>47</v>
      </c>
      <c r="C34" s="141">
        <f>SUM(C35:C53)</f>
        <v>37273.379999999997</v>
      </c>
      <c r="D34" s="141">
        <f>SUM(D35:D53)</f>
        <v>4000</v>
      </c>
      <c r="E34" s="141">
        <f>SUM(E35:E53)</f>
        <v>2000</v>
      </c>
      <c r="F34" s="141">
        <f>SUM(F35:F53)</f>
        <v>4000</v>
      </c>
      <c r="G34" s="142">
        <f>SUM(G35:G53)</f>
        <v>47273.38</v>
      </c>
    </row>
    <row r="35" spans="1:7" s="129" customFormat="1" x14ac:dyDescent="0.25">
      <c r="A35" s="145">
        <v>54101</v>
      </c>
      <c r="B35" s="146" t="s">
        <v>48</v>
      </c>
      <c r="C35" s="147"/>
      <c r="D35" s="147"/>
      <c r="E35" s="147"/>
      <c r="F35" s="147"/>
      <c r="G35" s="148">
        <f t="shared" si="1"/>
        <v>0</v>
      </c>
    </row>
    <row r="36" spans="1:7" s="129" customFormat="1" x14ac:dyDescent="0.25">
      <c r="A36" s="145">
        <v>54103</v>
      </c>
      <c r="B36" s="146" t="s">
        <v>49</v>
      </c>
      <c r="C36" s="147"/>
      <c r="D36" s="147"/>
      <c r="E36" s="147"/>
      <c r="F36" s="147"/>
      <c r="G36" s="148">
        <f t="shared" si="1"/>
        <v>0</v>
      </c>
    </row>
    <row r="37" spans="1:7" s="129" customFormat="1" x14ac:dyDescent="0.25">
      <c r="A37" s="145">
        <v>54104</v>
      </c>
      <c r="B37" s="146" t="s">
        <v>50</v>
      </c>
      <c r="C37" s="147">
        <v>7000</v>
      </c>
      <c r="D37" s="147"/>
      <c r="E37" s="147"/>
      <c r="F37" s="147"/>
      <c r="G37" s="148">
        <f>C37+D37+E37+F37</f>
        <v>7000</v>
      </c>
    </row>
    <row r="38" spans="1:7" s="129" customFormat="1" x14ac:dyDescent="0.25">
      <c r="A38" s="145">
        <v>54105</v>
      </c>
      <c r="B38" s="146" t="s">
        <v>51</v>
      </c>
      <c r="C38" s="147">
        <v>5000</v>
      </c>
      <c r="D38" s="147"/>
      <c r="E38" s="147"/>
      <c r="F38" s="147"/>
      <c r="G38" s="148">
        <f t="shared" si="1"/>
        <v>5000</v>
      </c>
    </row>
    <row r="39" spans="1:7" s="129" customFormat="1" x14ac:dyDescent="0.25">
      <c r="A39" s="145">
        <v>54106</v>
      </c>
      <c r="B39" s="146" t="s">
        <v>52</v>
      </c>
      <c r="C39" s="147"/>
      <c r="D39" s="147"/>
      <c r="E39" s="147"/>
      <c r="F39" s="147"/>
      <c r="G39" s="148">
        <f t="shared" si="1"/>
        <v>0</v>
      </c>
    </row>
    <row r="40" spans="1:7" s="129" customFormat="1" x14ac:dyDescent="0.25">
      <c r="A40" s="145">
        <v>54107</v>
      </c>
      <c r="B40" s="146" t="s">
        <v>53</v>
      </c>
      <c r="C40" s="147"/>
      <c r="D40" s="147"/>
      <c r="E40" s="147"/>
      <c r="F40" s="147"/>
      <c r="G40" s="148">
        <f t="shared" si="1"/>
        <v>0</v>
      </c>
    </row>
    <row r="41" spans="1:7" s="129" customFormat="1" x14ac:dyDescent="0.25">
      <c r="A41" s="145">
        <v>54108</v>
      </c>
      <c r="B41" s="146" t="s">
        <v>54</v>
      </c>
      <c r="C41" s="147"/>
      <c r="D41" s="147"/>
      <c r="E41" s="147"/>
      <c r="F41" s="147"/>
      <c r="G41" s="148">
        <f t="shared" si="1"/>
        <v>0</v>
      </c>
    </row>
    <row r="42" spans="1:7" s="129" customFormat="1" x14ac:dyDescent="0.25">
      <c r="A42" s="145">
        <v>54109</v>
      </c>
      <c r="B42" s="146" t="s">
        <v>55</v>
      </c>
      <c r="C42" s="147">
        <v>2000</v>
      </c>
      <c r="D42" s="147"/>
      <c r="E42" s="147"/>
      <c r="F42" s="147"/>
      <c r="G42" s="148">
        <f t="shared" si="1"/>
        <v>2000</v>
      </c>
    </row>
    <row r="43" spans="1:7" s="129" customFormat="1" x14ac:dyDescent="0.25">
      <c r="A43" s="145">
        <v>54110</v>
      </c>
      <c r="B43" s="146" t="s">
        <v>56</v>
      </c>
      <c r="C43" s="147">
        <v>5000</v>
      </c>
      <c r="D43" s="147">
        <v>4000</v>
      </c>
      <c r="E43" s="147">
        <v>2000</v>
      </c>
      <c r="F43" s="147">
        <v>4000</v>
      </c>
      <c r="G43" s="148">
        <f>C43+D43+E43+F43</f>
        <v>15000</v>
      </c>
    </row>
    <row r="44" spans="1:7" s="129" customFormat="1" x14ac:dyDescent="0.25">
      <c r="A44" s="145">
        <v>54111</v>
      </c>
      <c r="B44" s="146" t="s">
        <v>57</v>
      </c>
      <c r="C44" s="147"/>
      <c r="D44" s="147"/>
      <c r="E44" s="147"/>
      <c r="F44" s="147"/>
      <c r="G44" s="148">
        <f t="shared" si="1"/>
        <v>0</v>
      </c>
    </row>
    <row r="45" spans="1:7" s="129" customFormat="1" x14ac:dyDescent="0.25">
      <c r="A45" s="145">
        <v>54112</v>
      </c>
      <c r="B45" s="146" t="s">
        <v>58</v>
      </c>
      <c r="C45" s="147"/>
      <c r="D45" s="147"/>
      <c r="E45" s="147"/>
      <c r="F45" s="147"/>
      <c r="G45" s="148">
        <f t="shared" si="1"/>
        <v>0</v>
      </c>
    </row>
    <row r="46" spans="1:7" s="129" customFormat="1" x14ac:dyDescent="0.25">
      <c r="A46" s="145">
        <v>54114</v>
      </c>
      <c r="B46" s="146" t="s">
        <v>59</v>
      </c>
      <c r="C46" s="147">
        <v>5000</v>
      </c>
      <c r="D46" s="147"/>
      <c r="E46" s="147"/>
      <c r="F46" s="147"/>
      <c r="G46" s="148">
        <f>C46+D46+E46+F46</f>
        <v>5000</v>
      </c>
    </row>
    <row r="47" spans="1:7" s="129" customFormat="1" x14ac:dyDescent="0.25">
      <c r="A47" s="145">
        <v>54115</v>
      </c>
      <c r="B47" s="146" t="s">
        <v>60</v>
      </c>
      <c r="C47" s="147">
        <v>1723.6</v>
      </c>
      <c r="D47" s="147"/>
      <c r="E47" s="147"/>
      <c r="F47" s="147"/>
      <c r="G47" s="148">
        <f>C47+D47+E47+F47</f>
        <v>1723.6</v>
      </c>
    </row>
    <row r="48" spans="1:7" s="129" customFormat="1" x14ac:dyDescent="0.25">
      <c r="A48" s="145">
        <v>54116</v>
      </c>
      <c r="B48" s="146" t="s">
        <v>61</v>
      </c>
      <c r="C48" s="147"/>
      <c r="D48" s="147"/>
      <c r="E48" s="147"/>
      <c r="F48" s="147"/>
      <c r="G48" s="148">
        <f t="shared" si="1"/>
        <v>0</v>
      </c>
    </row>
    <row r="49" spans="1:7" s="129" customFormat="1" x14ac:dyDescent="0.25">
      <c r="A49" s="145">
        <v>54118</v>
      </c>
      <c r="B49" s="146" t="s">
        <v>62</v>
      </c>
      <c r="C49" s="147">
        <v>549.78</v>
      </c>
      <c r="D49" s="147"/>
      <c r="E49" s="147"/>
      <c r="F49" s="147"/>
      <c r="G49" s="148">
        <f t="shared" si="1"/>
        <v>549.78</v>
      </c>
    </row>
    <row r="50" spans="1:7" s="129" customFormat="1" x14ac:dyDescent="0.25">
      <c r="A50" s="145">
        <v>54119</v>
      </c>
      <c r="B50" s="146" t="s">
        <v>63</v>
      </c>
      <c r="C50" s="147"/>
      <c r="D50" s="147"/>
      <c r="E50" s="147"/>
      <c r="F50" s="147"/>
      <c r="G50" s="148">
        <f t="shared" si="1"/>
        <v>0</v>
      </c>
    </row>
    <row r="51" spans="1:7" s="129" customFormat="1" x14ac:dyDescent="0.25">
      <c r="A51" s="145">
        <v>54120</v>
      </c>
      <c r="B51" s="146"/>
      <c r="C51" s="147"/>
      <c r="D51" s="147"/>
      <c r="E51" s="147"/>
      <c r="F51" s="147"/>
      <c r="G51" s="148"/>
    </row>
    <row r="52" spans="1:7" s="129" customFormat="1" x14ac:dyDescent="0.25">
      <c r="A52" s="145">
        <v>54121</v>
      </c>
      <c r="B52" s="146" t="s">
        <v>64</v>
      </c>
      <c r="C52" s="147">
        <v>5000</v>
      </c>
      <c r="D52" s="147"/>
      <c r="E52" s="147"/>
      <c r="F52" s="147"/>
      <c r="G52" s="148">
        <f>C52+D52+E52+F52</f>
        <v>5000</v>
      </c>
    </row>
    <row r="53" spans="1:7" s="129" customFormat="1" x14ac:dyDescent="0.25">
      <c r="A53" s="145">
        <v>54199</v>
      </c>
      <c r="B53" s="146" t="s">
        <v>47</v>
      </c>
      <c r="C53" s="147">
        <v>6000</v>
      </c>
      <c r="D53" s="147"/>
      <c r="E53" s="147"/>
      <c r="F53" s="147"/>
      <c r="G53" s="148">
        <f t="shared" si="1"/>
        <v>6000</v>
      </c>
    </row>
    <row r="54" spans="1:7" s="129" customFormat="1" x14ac:dyDescent="0.25">
      <c r="A54" s="143">
        <v>542</v>
      </c>
      <c r="B54" s="144" t="s">
        <v>65</v>
      </c>
      <c r="C54" s="141">
        <f>SUM(C55:C59)</f>
        <v>113500</v>
      </c>
      <c r="D54" s="141">
        <f t="shared" ref="D54:F54" si="7">SUM(D55:D59)</f>
        <v>0</v>
      </c>
      <c r="E54" s="141">
        <f t="shared" si="7"/>
        <v>0</v>
      </c>
      <c r="F54" s="141">
        <f t="shared" si="7"/>
        <v>0</v>
      </c>
      <c r="G54" s="142">
        <f>SUM(G55:G59)</f>
        <v>113500</v>
      </c>
    </row>
    <row r="55" spans="1:7" s="129" customFormat="1" x14ac:dyDescent="0.25">
      <c r="A55" s="145">
        <v>54201</v>
      </c>
      <c r="B55" s="146" t="s">
        <v>66</v>
      </c>
      <c r="C55" s="147">
        <f>49000+11000</f>
        <v>60000</v>
      </c>
      <c r="D55" s="147"/>
      <c r="E55" s="147"/>
      <c r="F55" s="147"/>
      <c r="G55" s="148">
        <f t="shared" si="1"/>
        <v>60000</v>
      </c>
    </row>
    <row r="56" spans="1:7" s="129" customFormat="1" x14ac:dyDescent="0.25">
      <c r="A56" s="145">
        <v>54202</v>
      </c>
      <c r="B56" s="146" t="s">
        <v>67</v>
      </c>
      <c r="C56" s="147">
        <v>1000</v>
      </c>
      <c r="D56" s="147"/>
      <c r="E56" s="147"/>
      <c r="F56" s="147"/>
      <c r="G56" s="148">
        <f t="shared" si="1"/>
        <v>1000</v>
      </c>
    </row>
    <row r="57" spans="1:7" s="129" customFormat="1" x14ac:dyDescent="0.25">
      <c r="A57" s="145">
        <v>54203</v>
      </c>
      <c r="B57" s="146" t="s">
        <v>68</v>
      </c>
      <c r="C57" s="147">
        <v>4500</v>
      </c>
      <c r="D57" s="147"/>
      <c r="E57" s="147"/>
      <c r="F57" s="147"/>
      <c r="G57" s="148">
        <f t="shared" si="1"/>
        <v>4500</v>
      </c>
    </row>
    <row r="58" spans="1:7" s="129" customFormat="1" hidden="1" x14ac:dyDescent="0.25">
      <c r="A58" s="145">
        <v>54204</v>
      </c>
      <c r="B58" s="146" t="s">
        <v>69</v>
      </c>
      <c r="C58" s="147"/>
      <c r="D58" s="147"/>
      <c r="E58" s="147"/>
      <c r="F58" s="147"/>
      <c r="G58" s="148">
        <f t="shared" si="1"/>
        <v>0</v>
      </c>
    </row>
    <row r="59" spans="1:7" s="129" customFormat="1" x14ac:dyDescent="0.25">
      <c r="A59" s="145">
        <v>54205</v>
      </c>
      <c r="B59" s="146" t="s">
        <v>70</v>
      </c>
      <c r="C59" s="147">
        <v>48000</v>
      </c>
      <c r="D59" s="147"/>
      <c r="E59" s="147"/>
      <c r="F59" s="147"/>
      <c r="G59" s="148">
        <f>C59+D59+E59+F59</f>
        <v>48000</v>
      </c>
    </row>
    <row r="60" spans="1:7" s="129" customFormat="1" hidden="1" x14ac:dyDescent="0.25">
      <c r="A60" s="143">
        <v>543</v>
      </c>
      <c r="B60" s="144" t="s">
        <v>71</v>
      </c>
      <c r="C60" s="141">
        <f>SUM(C61:C70)</f>
        <v>0</v>
      </c>
      <c r="D60" s="141">
        <f t="shared" ref="D60:F60" si="8">SUM(D61:D70)</f>
        <v>0</v>
      </c>
      <c r="E60" s="141">
        <f t="shared" si="8"/>
        <v>0</v>
      </c>
      <c r="F60" s="141">
        <f t="shared" si="8"/>
        <v>0</v>
      </c>
      <c r="G60" s="142">
        <f>SUM(G61:G70)</f>
        <v>0</v>
      </c>
    </row>
    <row r="61" spans="1:7" s="129" customFormat="1" hidden="1" x14ac:dyDescent="0.25">
      <c r="A61" s="145">
        <v>54301</v>
      </c>
      <c r="B61" s="146" t="s">
        <v>72</v>
      </c>
      <c r="C61" s="147"/>
      <c r="D61" s="147"/>
      <c r="E61" s="147"/>
      <c r="F61" s="147"/>
      <c r="G61" s="148">
        <f t="shared" si="1"/>
        <v>0</v>
      </c>
    </row>
    <row r="62" spans="1:7" s="129" customFormat="1" hidden="1" x14ac:dyDescent="0.25">
      <c r="A62" s="145">
        <v>54302</v>
      </c>
      <c r="B62" s="146" t="s">
        <v>73</v>
      </c>
      <c r="C62" s="147"/>
      <c r="D62" s="147"/>
      <c r="E62" s="147"/>
      <c r="F62" s="147"/>
      <c r="G62" s="148">
        <f t="shared" si="1"/>
        <v>0</v>
      </c>
    </row>
    <row r="63" spans="1:7" s="129" customFormat="1" hidden="1" x14ac:dyDescent="0.25">
      <c r="A63" s="145">
        <v>54303</v>
      </c>
      <c r="B63" s="146" t="s">
        <v>74</v>
      </c>
      <c r="C63" s="147"/>
      <c r="D63" s="147"/>
      <c r="E63" s="147"/>
      <c r="F63" s="147"/>
      <c r="G63" s="148">
        <f t="shared" si="1"/>
        <v>0</v>
      </c>
    </row>
    <row r="64" spans="1:7" s="129" customFormat="1" hidden="1" x14ac:dyDescent="0.25">
      <c r="A64" s="145">
        <v>54304</v>
      </c>
      <c r="B64" s="146" t="s">
        <v>75</v>
      </c>
      <c r="C64" s="147"/>
      <c r="D64" s="147"/>
      <c r="E64" s="147"/>
      <c r="F64" s="147"/>
      <c r="G64" s="148">
        <f t="shared" si="1"/>
        <v>0</v>
      </c>
    </row>
    <row r="65" spans="1:7" s="129" customFormat="1" hidden="1" x14ac:dyDescent="0.25">
      <c r="A65" s="145">
        <v>54305</v>
      </c>
      <c r="B65" s="146" t="s">
        <v>76</v>
      </c>
      <c r="C65" s="147"/>
      <c r="D65" s="147"/>
      <c r="E65" s="147"/>
      <c r="F65" s="147"/>
      <c r="G65" s="148">
        <f t="shared" si="1"/>
        <v>0</v>
      </c>
    </row>
    <row r="66" spans="1:7" s="129" customFormat="1" hidden="1" x14ac:dyDescent="0.25">
      <c r="A66" s="145">
        <v>54307</v>
      </c>
      <c r="B66" s="146" t="s">
        <v>77</v>
      </c>
      <c r="C66" s="147"/>
      <c r="D66" s="147"/>
      <c r="E66" s="147"/>
      <c r="F66" s="147"/>
      <c r="G66" s="148">
        <f t="shared" si="1"/>
        <v>0</v>
      </c>
    </row>
    <row r="67" spans="1:7" s="129" customFormat="1" hidden="1" x14ac:dyDescent="0.25">
      <c r="A67" s="145">
        <v>54311</v>
      </c>
      <c r="B67" s="146" t="s">
        <v>78</v>
      </c>
      <c r="C67" s="147"/>
      <c r="D67" s="147"/>
      <c r="E67" s="147"/>
      <c r="F67" s="147"/>
      <c r="G67" s="148">
        <f t="shared" si="1"/>
        <v>0</v>
      </c>
    </row>
    <row r="68" spans="1:7" s="129" customFormat="1" hidden="1" x14ac:dyDescent="0.25">
      <c r="A68" s="145">
        <v>54313</v>
      </c>
      <c r="B68" s="146" t="s">
        <v>79</v>
      </c>
      <c r="C68" s="147"/>
      <c r="D68" s="147"/>
      <c r="E68" s="147"/>
      <c r="F68" s="147"/>
      <c r="G68" s="148">
        <f t="shared" si="1"/>
        <v>0</v>
      </c>
    </row>
    <row r="69" spans="1:7" s="129" customFormat="1" hidden="1" x14ac:dyDescent="0.25">
      <c r="A69" s="145">
        <v>54314</v>
      </c>
      <c r="B69" s="146" t="s">
        <v>80</v>
      </c>
      <c r="C69" s="147"/>
      <c r="D69" s="147"/>
      <c r="E69" s="147"/>
      <c r="F69" s="147"/>
      <c r="G69" s="148">
        <f t="shared" si="1"/>
        <v>0</v>
      </c>
    </row>
    <row r="70" spans="1:7" s="129" customFormat="1" hidden="1" x14ac:dyDescent="0.25">
      <c r="A70" s="145">
        <v>54316</v>
      </c>
      <c r="B70" s="146" t="s">
        <v>135</v>
      </c>
      <c r="C70" s="147"/>
      <c r="D70" s="147"/>
      <c r="E70" s="147"/>
      <c r="F70" s="147"/>
      <c r="G70" s="148">
        <f t="shared" si="1"/>
        <v>0</v>
      </c>
    </row>
    <row r="71" spans="1:7" s="129" customFormat="1" hidden="1" x14ac:dyDescent="0.25">
      <c r="A71" s="143">
        <v>544</v>
      </c>
      <c r="B71" s="144" t="s">
        <v>86</v>
      </c>
      <c r="C71" s="144"/>
      <c r="D71" s="150">
        <f t="shared" ref="D71:F71" si="9">SUM(D72:D74)</f>
        <v>0</v>
      </c>
      <c r="E71" s="150">
        <f t="shared" si="9"/>
        <v>0</v>
      </c>
      <c r="F71" s="150">
        <f t="shared" si="9"/>
        <v>0</v>
      </c>
      <c r="G71" s="151">
        <f>SUM(G72:G74)</f>
        <v>0</v>
      </c>
    </row>
    <row r="72" spans="1:7" s="129" customFormat="1" hidden="1" x14ac:dyDescent="0.25">
      <c r="A72" s="145">
        <v>54401</v>
      </c>
      <c r="B72" s="146" t="s">
        <v>87</v>
      </c>
      <c r="C72" s="146"/>
      <c r="D72" s="152"/>
      <c r="E72" s="147"/>
      <c r="F72" s="147"/>
      <c r="G72" s="148">
        <f t="shared" si="1"/>
        <v>0</v>
      </c>
    </row>
    <row r="73" spans="1:7" s="129" customFormat="1" hidden="1" x14ac:dyDescent="0.25">
      <c r="A73" s="145">
        <v>54402</v>
      </c>
      <c r="B73" s="146" t="s">
        <v>88</v>
      </c>
      <c r="C73" s="146"/>
      <c r="D73" s="152"/>
      <c r="E73" s="147"/>
      <c r="F73" s="147"/>
      <c r="G73" s="148">
        <f t="shared" si="1"/>
        <v>0</v>
      </c>
    </row>
    <row r="74" spans="1:7" s="129" customFormat="1" hidden="1" x14ac:dyDescent="0.25">
      <c r="A74" s="145">
        <v>54403</v>
      </c>
      <c r="B74" s="146" t="s">
        <v>89</v>
      </c>
      <c r="C74" s="146"/>
      <c r="D74" s="152"/>
      <c r="E74" s="147"/>
      <c r="F74" s="147"/>
      <c r="G74" s="148">
        <f t="shared" si="1"/>
        <v>0</v>
      </c>
    </row>
    <row r="75" spans="1:7" s="129" customFormat="1" hidden="1" x14ac:dyDescent="0.25">
      <c r="A75" s="143">
        <v>545</v>
      </c>
      <c r="B75" s="144" t="s">
        <v>90</v>
      </c>
      <c r="C75" s="144"/>
      <c r="D75" s="141">
        <f>SUM(D76:D80)</f>
        <v>0</v>
      </c>
      <c r="E75" s="141">
        <f>SUM(E76:E80)</f>
        <v>0</v>
      </c>
      <c r="F75" s="141">
        <f t="shared" ref="F75:G75" si="10">SUM(F76:F80)</f>
        <v>0</v>
      </c>
      <c r="G75" s="142">
        <f t="shared" si="10"/>
        <v>0</v>
      </c>
    </row>
    <row r="76" spans="1:7" s="129" customFormat="1" hidden="1" x14ac:dyDescent="0.25">
      <c r="A76" s="145">
        <v>54502</v>
      </c>
      <c r="B76" s="146" t="s">
        <v>91</v>
      </c>
      <c r="C76" s="146"/>
      <c r="D76" s="152"/>
      <c r="E76" s="147"/>
      <c r="F76" s="147"/>
      <c r="G76" s="148">
        <f t="shared" si="1"/>
        <v>0</v>
      </c>
    </row>
    <row r="77" spans="1:7" s="129" customFormat="1" hidden="1" x14ac:dyDescent="0.25">
      <c r="A77" s="145">
        <v>54503</v>
      </c>
      <c r="B77" s="146" t="s">
        <v>92</v>
      </c>
      <c r="C77" s="146"/>
      <c r="D77" s="152"/>
      <c r="E77" s="147"/>
      <c r="F77" s="147"/>
      <c r="G77" s="148">
        <f t="shared" si="1"/>
        <v>0</v>
      </c>
    </row>
    <row r="78" spans="1:7" s="129" customFormat="1" hidden="1" x14ac:dyDescent="0.25">
      <c r="A78" s="145">
        <v>54504</v>
      </c>
      <c r="B78" s="146" t="s">
        <v>93</v>
      </c>
      <c r="C78" s="146"/>
      <c r="D78" s="152"/>
      <c r="E78" s="147"/>
      <c r="F78" s="147"/>
      <c r="G78" s="148">
        <f t="shared" si="1"/>
        <v>0</v>
      </c>
    </row>
    <row r="79" spans="1:7" s="129" customFormat="1" hidden="1" x14ac:dyDescent="0.25">
      <c r="A79" s="145">
        <v>54505</v>
      </c>
      <c r="B79" s="146" t="s">
        <v>94</v>
      </c>
      <c r="C79" s="146"/>
      <c r="D79" s="152"/>
      <c r="E79" s="147"/>
      <c r="F79" s="147"/>
      <c r="G79" s="148">
        <f t="shared" si="1"/>
        <v>0</v>
      </c>
    </row>
    <row r="80" spans="1:7" s="129" customFormat="1" hidden="1" x14ac:dyDescent="0.25">
      <c r="A80" s="145">
        <v>54599</v>
      </c>
      <c r="B80" s="146" t="s">
        <v>95</v>
      </c>
      <c r="C80" s="146"/>
      <c r="D80" s="152"/>
      <c r="E80" s="147"/>
      <c r="F80" s="147"/>
      <c r="G80" s="148">
        <f t="shared" si="1"/>
        <v>0</v>
      </c>
    </row>
    <row r="81" spans="1:7" s="129" customFormat="1" hidden="1" x14ac:dyDescent="0.25">
      <c r="A81" s="143">
        <v>546</v>
      </c>
      <c r="B81" s="144" t="s">
        <v>96</v>
      </c>
      <c r="C81" s="144"/>
      <c r="D81" s="141">
        <f>D82</f>
        <v>0</v>
      </c>
      <c r="E81" s="141">
        <f>E82</f>
        <v>0</v>
      </c>
      <c r="F81" s="141">
        <f t="shared" ref="F81:G81" si="11">F82</f>
        <v>0</v>
      </c>
      <c r="G81" s="142">
        <f t="shared" si="11"/>
        <v>0</v>
      </c>
    </row>
    <row r="82" spans="1:7" s="129" customFormat="1" hidden="1" x14ac:dyDescent="0.25">
      <c r="A82" s="145">
        <v>54602</v>
      </c>
      <c r="B82" s="146" t="s">
        <v>97</v>
      </c>
      <c r="C82" s="146"/>
      <c r="D82" s="147"/>
      <c r="E82" s="147"/>
      <c r="F82" s="147"/>
      <c r="G82" s="148">
        <f t="shared" si="1"/>
        <v>0</v>
      </c>
    </row>
    <row r="83" spans="1:7" s="129" customFormat="1" hidden="1" x14ac:dyDescent="0.25">
      <c r="A83" s="143">
        <v>55</v>
      </c>
      <c r="B83" s="144" t="s">
        <v>98</v>
      </c>
      <c r="C83" s="144"/>
      <c r="D83" s="141">
        <f>D84+D87+D90</f>
        <v>0</v>
      </c>
      <c r="E83" s="141">
        <f>E84+E87+E90</f>
        <v>0</v>
      </c>
      <c r="F83" s="141">
        <f t="shared" ref="F83:G83" si="12">F84+F87+F90</f>
        <v>0</v>
      </c>
      <c r="G83" s="142">
        <f t="shared" si="12"/>
        <v>0</v>
      </c>
    </row>
    <row r="84" spans="1:7" s="129" customFormat="1" hidden="1" x14ac:dyDescent="0.25">
      <c r="A84" s="143">
        <v>553</v>
      </c>
      <c r="B84" s="144" t="s">
        <v>99</v>
      </c>
      <c r="C84" s="144"/>
      <c r="D84" s="141">
        <f>SUM(D85:D86)</f>
        <v>0</v>
      </c>
      <c r="E84" s="141">
        <f>SUM(E85:E86)</f>
        <v>0</v>
      </c>
      <c r="F84" s="141">
        <f t="shared" ref="F84:G84" si="13">SUM(F85:F86)</f>
        <v>0</v>
      </c>
      <c r="G84" s="142">
        <f t="shared" si="13"/>
        <v>0</v>
      </c>
    </row>
    <row r="85" spans="1:7" s="129" customFormat="1" hidden="1" x14ac:dyDescent="0.25">
      <c r="A85" s="145">
        <v>55302</v>
      </c>
      <c r="B85" s="146" t="s">
        <v>100</v>
      </c>
      <c r="C85" s="146"/>
      <c r="D85" s="147"/>
      <c r="E85" s="147"/>
      <c r="F85" s="147"/>
      <c r="G85" s="148">
        <f t="shared" ref="G85:G86" si="14">C85+D85+E85+F85</f>
        <v>0</v>
      </c>
    </row>
    <row r="86" spans="1:7" s="129" customFormat="1" hidden="1" x14ac:dyDescent="0.25">
      <c r="A86" s="145">
        <v>55304</v>
      </c>
      <c r="B86" s="146" t="s">
        <v>101</v>
      </c>
      <c r="C86" s="146"/>
      <c r="D86" s="147"/>
      <c r="E86" s="147"/>
      <c r="F86" s="147"/>
      <c r="G86" s="148">
        <f t="shared" si="14"/>
        <v>0</v>
      </c>
    </row>
    <row r="87" spans="1:7" s="129" customFormat="1" hidden="1" x14ac:dyDescent="0.25">
      <c r="A87" s="143">
        <v>556</v>
      </c>
      <c r="B87" s="144" t="s">
        <v>102</v>
      </c>
      <c r="C87" s="144"/>
      <c r="D87" s="141">
        <f>SUM(D88:D89)</f>
        <v>0</v>
      </c>
      <c r="E87" s="141">
        <f>SUM(E88:E89)</f>
        <v>0</v>
      </c>
      <c r="F87" s="141">
        <f t="shared" ref="F87:G87" si="15">SUM(F88:F89)</f>
        <v>0</v>
      </c>
      <c r="G87" s="142">
        <f t="shared" si="15"/>
        <v>0</v>
      </c>
    </row>
    <row r="88" spans="1:7" s="129" customFormat="1" hidden="1" x14ac:dyDescent="0.25">
      <c r="A88" s="145">
        <v>55602</v>
      </c>
      <c r="B88" s="146" t="s">
        <v>103</v>
      </c>
      <c r="C88" s="146"/>
      <c r="D88" s="147"/>
      <c r="E88" s="147"/>
      <c r="F88" s="147"/>
      <c r="G88" s="148">
        <f t="shared" ref="G88:G89" si="16">C88+D88+E88+F88</f>
        <v>0</v>
      </c>
    </row>
    <row r="89" spans="1:7" s="129" customFormat="1" hidden="1" x14ac:dyDescent="0.25">
      <c r="A89" s="145">
        <v>55603</v>
      </c>
      <c r="B89" s="146" t="s">
        <v>104</v>
      </c>
      <c r="C89" s="146"/>
      <c r="D89" s="147"/>
      <c r="E89" s="147"/>
      <c r="F89" s="147"/>
      <c r="G89" s="148">
        <f t="shared" si="16"/>
        <v>0</v>
      </c>
    </row>
    <row r="90" spans="1:7" s="129" customFormat="1" hidden="1" x14ac:dyDescent="0.25">
      <c r="A90" s="143">
        <v>557</v>
      </c>
      <c r="B90" s="144" t="s">
        <v>105</v>
      </c>
      <c r="C90" s="144"/>
      <c r="D90" s="141">
        <f>SUM(D91:D92)</f>
        <v>0</v>
      </c>
      <c r="E90" s="141">
        <f>SUM(E91:E92)</f>
        <v>0</v>
      </c>
      <c r="F90" s="141">
        <f t="shared" ref="F90:G90" si="17">SUM(F91:F92)</f>
        <v>0</v>
      </c>
      <c r="G90" s="142">
        <f t="shared" si="17"/>
        <v>0</v>
      </c>
    </row>
    <row r="91" spans="1:7" s="129" customFormat="1" hidden="1" x14ac:dyDescent="0.25">
      <c r="A91" s="145">
        <v>55703</v>
      </c>
      <c r="B91" s="146" t="s">
        <v>106</v>
      </c>
      <c r="C91" s="146"/>
      <c r="D91" s="147"/>
      <c r="E91" s="147"/>
      <c r="F91" s="147"/>
      <c r="G91" s="148">
        <f t="shared" ref="G91:G92" si="18">C91+D91+E91+F91</f>
        <v>0</v>
      </c>
    </row>
    <row r="92" spans="1:7" s="129" customFormat="1" hidden="1" x14ac:dyDescent="0.25">
      <c r="A92" s="145">
        <v>55799</v>
      </c>
      <c r="B92" s="146" t="s">
        <v>107</v>
      </c>
      <c r="C92" s="146"/>
      <c r="D92" s="147"/>
      <c r="E92" s="147"/>
      <c r="F92" s="147"/>
      <c r="G92" s="148">
        <f t="shared" si="18"/>
        <v>0</v>
      </c>
    </row>
    <row r="93" spans="1:7" s="129" customFormat="1" x14ac:dyDescent="0.25">
      <c r="A93" s="143">
        <v>56</v>
      </c>
      <c r="B93" s="144" t="s">
        <v>108</v>
      </c>
      <c r="C93" s="153">
        <v>13770.72</v>
      </c>
      <c r="D93" s="141"/>
      <c r="E93" s="141">
        <f t="shared" ref="E93:F94" si="19">E94</f>
        <v>0</v>
      </c>
      <c r="F93" s="141">
        <f t="shared" si="19"/>
        <v>0</v>
      </c>
      <c r="G93" s="142">
        <f>SUM(C93:F93)</f>
        <v>13770.72</v>
      </c>
    </row>
    <row r="94" spans="1:7" s="129" customFormat="1" x14ac:dyDescent="0.25">
      <c r="A94" s="143">
        <v>562</v>
      </c>
      <c r="B94" s="144" t="s">
        <v>109</v>
      </c>
      <c r="C94" s="153">
        <v>13770.72</v>
      </c>
      <c r="D94" s="141"/>
      <c r="E94" s="141">
        <f>E95</f>
        <v>0</v>
      </c>
      <c r="F94" s="141">
        <f t="shared" si="19"/>
        <v>0</v>
      </c>
      <c r="G94" s="142">
        <f>SUM(C94:F94)</f>
        <v>13770.72</v>
      </c>
    </row>
    <row r="95" spans="1:7" s="129" customFormat="1" x14ac:dyDescent="0.25">
      <c r="A95" s="145">
        <v>56201</v>
      </c>
      <c r="B95" s="146" t="s">
        <v>110</v>
      </c>
      <c r="C95" s="154">
        <v>13770.72</v>
      </c>
      <c r="D95" s="147">
        <v>0</v>
      </c>
      <c r="E95" s="147"/>
      <c r="F95" s="147"/>
      <c r="G95" s="148">
        <f t="shared" ref="G95" si="20">C95+D95+E95+F95</f>
        <v>13770.72</v>
      </c>
    </row>
    <row r="96" spans="1:7" s="129" customFormat="1" hidden="1" x14ac:dyDescent="0.25">
      <c r="A96" s="143">
        <v>563</v>
      </c>
      <c r="B96" s="144" t="s">
        <v>111</v>
      </c>
      <c r="C96" s="144"/>
      <c r="D96" s="141">
        <f>SUM(D97:D99)</f>
        <v>0</v>
      </c>
      <c r="E96" s="141">
        <f>SUM(E97:E99)</f>
        <v>0</v>
      </c>
      <c r="F96" s="141">
        <f t="shared" ref="F96:G96" si="21">SUM(F97:F99)</f>
        <v>0</v>
      </c>
      <c r="G96" s="142">
        <f t="shared" si="21"/>
        <v>0</v>
      </c>
    </row>
    <row r="97" spans="1:7" s="129" customFormat="1" hidden="1" x14ac:dyDescent="0.25">
      <c r="A97" s="145">
        <v>56301</v>
      </c>
      <c r="B97" s="146" t="s">
        <v>112</v>
      </c>
      <c r="C97" s="146"/>
      <c r="D97" s="147"/>
      <c r="E97" s="147"/>
      <c r="F97" s="147"/>
      <c r="G97" s="148">
        <f t="shared" ref="G97:G99" si="22">C97+D97+E97+F97</f>
        <v>0</v>
      </c>
    </row>
    <row r="98" spans="1:7" s="129" customFormat="1" hidden="1" x14ac:dyDescent="0.25">
      <c r="A98" s="145">
        <v>56303</v>
      </c>
      <c r="B98" s="146" t="s">
        <v>113</v>
      </c>
      <c r="C98" s="146"/>
      <c r="D98" s="147"/>
      <c r="E98" s="147"/>
      <c r="F98" s="147"/>
      <c r="G98" s="148">
        <f t="shared" si="22"/>
        <v>0</v>
      </c>
    </row>
    <row r="99" spans="1:7" s="129" customFormat="1" hidden="1" x14ac:dyDescent="0.25">
      <c r="A99" s="145">
        <v>56305</v>
      </c>
      <c r="B99" s="146" t="s">
        <v>114</v>
      </c>
      <c r="C99" s="146"/>
      <c r="D99" s="147"/>
      <c r="E99" s="147"/>
      <c r="F99" s="147"/>
      <c r="G99" s="148">
        <f t="shared" si="22"/>
        <v>0</v>
      </c>
    </row>
    <row r="100" spans="1:7" s="129" customFormat="1" hidden="1" x14ac:dyDescent="0.25">
      <c r="A100" s="143">
        <v>61</v>
      </c>
      <c r="B100" s="144" t="s">
        <v>115</v>
      </c>
      <c r="C100" s="144"/>
      <c r="D100" s="141">
        <f>D101+D105+D107+D109</f>
        <v>0</v>
      </c>
      <c r="E100" s="141">
        <f>E101+E105+E107+E109</f>
        <v>0</v>
      </c>
      <c r="F100" s="141">
        <f t="shared" ref="F100:G100" si="23">F101+F105+F107+F109</f>
        <v>0</v>
      </c>
      <c r="G100" s="142">
        <f t="shared" si="23"/>
        <v>0</v>
      </c>
    </row>
    <row r="101" spans="1:7" s="129" customFormat="1" hidden="1" x14ac:dyDescent="0.25">
      <c r="A101" s="143">
        <v>611</v>
      </c>
      <c r="B101" s="144" t="s">
        <v>116</v>
      </c>
      <c r="C101" s="144"/>
      <c r="D101" s="141">
        <f>SUM(D102:D104)</f>
        <v>0</v>
      </c>
      <c r="E101" s="141">
        <f>SUM(E102:E104)</f>
        <v>0</v>
      </c>
      <c r="F101" s="141">
        <f t="shared" ref="F101:G101" si="24">SUM(F102:F104)</f>
        <v>0</v>
      </c>
      <c r="G101" s="142">
        <f t="shared" si="24"/>
        <v>0</v>
      </c>
    </row>
    <row r="102" spans="1:7" s="129" customFormat="1" hidden="1" x14ac:dyDescent="0.25">
      <c r="A102" s="145">
        <v>61102</v>
      </c>
      <c r="B102" s="146" t="s">
        <v>117</v>
      </c>
      <c r="C102" s="146"/>
      <c r="D102" s="147"/>
      <c r="E102" s="147"/>
      <c r="F102" s="147"/>
      <c r="G102" s="148">
        <f t="shared" ref="G102:G104" si="25">C102+D102+E102+F102</f>
        <v>0</v>
      </c>
    </row>
    <row r="103" spans="1:7" s="129" customFormat="1" hidden="1" x14ac:dyDescent="0.25">
      <c r="A103" s="145">
        <v>61104</v>
      </c>
      <c r="B103" s="146" t="s">
        <v>118</v>
      </c>
      <c r="C103" s="146"/>
      <c r="D103" s="147"/>
      <c r="E103" s="147"/>
      <c r="F103" s="147"/>
      <c r="G103" s="148">
        <f t="shared" si="25"/>
        <v>0</v>
      </c>
    </row>
    <row r="104" spans="1:7" s="129" customFormat="1" hidden="1" x14ac:dyDescent="0.25">
      <c r="A104" s="145">
        <v>61199</v>
      </c>
      <c r="B104" s="146" t="s">
        <v>119</v>
      </c>
      <c r="C104" s="146"/>
      <c r="D104" s="147"/>
      <c r="E104" s="147"/>
      <c r="F104" s="147"/>
      <c r="G104" s="148">
        <f t="shared" si="25"/>
        <v>0</v>
      </c>
    </row>
    <row r="105" spans="1:7" s="129" customFormat="1" hidden="1" x14ac:dyDescent="0.25">
      <c r="A105" s="143">
        <v>612</v>
      </c>
      <c r="B105" s="144" t="s">
        <v>120</v>
      </c>
      <c r="C105" s="144"/>
      <c r="D105" s="141">
        <f>D106</f>
        <v>0</v>
      </c>
      <c r="E105" s="141">
        <f>E106</f>
        <v>0</v>
      </c>
      <c r="F105" s="141">
        <f t="shared" ref="F105:G105" si="26">F106</f>
        <v>0</v>
      </c>
      <c r="G105" s="142">
        <f t="shared" si="26"/>
        <v>0</v>
      </c>
    </row>
    <row r="106" spans="1:7" s="129" customFormat="1" hidden="1" x14ac:dyDescent="0.25">
      <c r="A106" s="145">
        <v>61201</v>
      </c>
      <c r="B106" s="146" t="s">
        <v>121</v>
      </c>
      <c r="C106" s="146"/>
      <c r="D106" s="147"/>
      <c r="E106" s="147"/>
      <c r="F106" s="147"/>
      <c r="G106" s="148">
        <f t="shared" ref="G106" si="27">C106+D106+E106+F106</f>
        <v>0</v>
      </c>
    </row>
    <row r="107" spans="1:7" s="129" customFormat="1" hidden="1" x14ac:dyDescent="0.25">
      <c r="A107" s="145">
        <v>615</v>
      </c>
      <c r="B107" s="144" t="s">
        <v>122</v>
      </c>
      <c r="C107" s="144"/>
      <c r="D107" s="141">
        <f>D108</f>
        <v>0</v>
      </c>
      <c r="E107" s="141">
        <f>E108</f>
        <v>0</v>
      </c>
      <c r="F107" s="141">
        <f t="shared" ref="F107:G107" si="28">F108</f>
        <v>0</v>
      </c>
      <c r="G107" s="142">
        <f t="shared" si="28"/>
        <v>0</v>
      </c>
    </row>
    <row r="108" spans="1:7" s="129" customFormat="1" hidden="1" x14ac:dyDescent="0.25">
      <c r="A108" s="145">
        <v>61599</v>
      </c>
      <c r="B108" s="146" t="s">
        <v>123</v>
      </c>
      <c r="C108" s="146"/>
      <c r="D108" s="147"/>
      <c r="E108" s="147"/>
      <c r="F108" s="147"/>
      <c r="G108" s="148">
        <f t="shared" ref="G108" si="29">C108+D108+E108+F108</f>
        <v>0</v>
      </c>
    </row>
    <row r="109" spans="1:7" s="129" customFormat="1" hidden="1" x14ac:dyDescent="0.25">
      <c r="A109" s="143">
        <v>616</v>
      </c>
      <c r="B109" s="144" t="s">
        <v>124</v>
      </c>
      <c r="C109" s="144"/>
      <c r="D109" s="141">
        <f>SUM(D110:D114)</f>
        <v>0</v>
      </c>
      <c r="E109" s="141">
        <f>SUM(E110:E114)</f>
        <v>0</v>
      </c>
      <c r="F109" s="141">
        <f t="shared" ref="F109:G109" si="30">SUM(F110:F114)</f>
        <v>0</v>
      </c>
      <c r="G109" s="142">
        <f t="shared" si="30"/>
        <v>0</v>
      </c>
    </row>
    <row r="110" spans="1:7" s="129" customFormat="1" hidden="1" x14ac:dyDescent="0.25">
      <c r="A110" s="145">
        <v>61601</v>
      </c>
      <c r="B110" s="146" t="s">
        <v>125</v>
      </c>
      <c r="C110" s="146"/>
      <c r="D110" s="147"/>
      <c r="E110" s="147"/>
      <c r="F110" s="147"/>
      <c r="G110" s="148">
        <f t="shared" ref="G110:G116" si="31">C110+D110+E110+F110</f>
        <v>0</v>
      </c>
    </row>
    <row r="111" spans="1:7" s="129" customFormat="1" hidden="1" x14ac:dyDescent="0.25">
      <c r="A111" s="145">
        <v>61603</v>
      </c>
      <c r="B111" s="146" t="s">
        <v>126</v>
      </c>
      <c r="C111" s="146"/>
      <c r="D111" s="147"/>
      <c r="E111" s="147"/>
      <c r="F111" s="147"/>
      <c r="G111" s="148">
        <f t="shared" si="31"/>
        <v>0</v>
      </c>
    </row>
    <row r="112" spans="1:7" s="129" customFormat="1" hidden="1" x14ac:dyDescent="0.25">
      <c r="A112" s="145">
        <v>61606</v>
      </c>
      <c r="B112" s="146" t="s">
        <v>127</v>
      </c>
      <c r="C112" s="146"/>
      <c r="D112" s="147"/>
      <c r="E112" s="147"/>
      <c r="F112" s="147"/>
      <c r="G112" s="148">
        <f t="shared" si="31"/>
        <v>0</v>
      </c>
    </row>
    <row r="113" spans="1:7" s="129" customFormat="1" hidden="1" x14ac:dyDescent="0.25">
      <c r="A113" s="145">
        <v>61608</v>
      </c>
      <c r="B113" s="146" t="s">
        <v>128</v>
      </c>
      <c r="C113" s="146"/>
      <c r="D113" s="147"/>
      <c r="E113" s="147"/>
      <c r="F113" s="147"/>
      <c r="G113" s="148">
        <f t="shared" si="31"/>
        <v>0</v>
      </c>
    </row>
    <row r="114" spans="1:7" s="129" customFormat="1" hidden="1" x14ac:dyDescent="0.25">
      <c r="A114" s="145">
        <v>61609</v>
      </c>
      <c r="B114" s="146" t="s">
        <v>129</v>
      </c>
      <c r="C114" s="146"/>
      <c r="D114" s="147"/>
      <c r="E114" s="147"/>
      <c r="F114" s="147"/>
      <c r="G114" s="148">
        <f t="shared" si="31"/>
        <v>0</v>
      </c>
    </row>
    <row r="115" spans="1:7" s="129" customFormat="1" hidden="1" x14ac:dyDescent="0.25">
      <c r="A115" s="145">
        <v>61610</v>
      </c>
      <c r="B115" s="146" t="s">
        <v>136</v>
      </c>
      <c r="C115" s="146"/>
      <c r="D115" s="147"/>
      <c r="E115" s="147"/>
      <c r="F115" s="147"/>
      <c r="G115" s="148">
        <f t="shared" si="31"/>
        <v>0</v>
      </c>
    </row>
    <row r="116" spans="1:7" s="129" customFormat="1" hidden="1" x14ac:dyDescent="0.25">
      <c r="A116" s="145">
        <v>61611</v>
      </c>
      <c r="B116" s="146" t="s">
        <v>137</v>
      </c>
      <c r="C116" s="146"/>
      <c r="D116" s="147"/>
      <c r="E116" s="147"/>
      <c r="F116" s="147"/>
      <c r="G116" s="148">
        <f t="shared" si="31"/>
        <v>0</v>
      </c>
    </row>
    <row r="117" spans="1:7" s="129" customFormat="1" hidden="1" x14ac:dyDescent="0.25">
      <c r="A117" s="143">
        <v>71</v>
      </c>
      <c r="B117" s="144" t="s">
        <v>130</v>
      </c>
      <c r="C117" s="144"/>
      <c r="D117" s="141">
        <f>D118</f>
        <v>0</v>
      </c>
      <c r="E117" s="141">
        <f>E118</f>
        <v>0</v>
      </c>
      <c r="F117" s="141">
        <f t="shared" ref="F117:G118" si="32">F118</f>
        <v>0</v>
      </c>
      <c r="G117" s="142">
        <f t="shared" si="32"/>
        <v>0</v>
      </c>
    </row>
    <row r="118" spans="1:7" s="129" customFormat="1" hidden="1" x14ac:dyDescent="0.25">
      <c r="A118" s="143">
        <v>713</v>
      </c>
      <c r="B118" s="144" t="s">
        <v>131</v>
      </c>
      <c r="C118" s="144"/>
      <c r="D118" s="141">
        <f>D119</f>
        <v>0</v>
      </c>
      <c r="E118" s="141">
        <f>E119</f>
        <v>0</v>
      </c>
      <c r="F118" s="141">
        <f t="shared" si="32"/>
        <v>0</v>
      </c>
      <c r="G118" s="142">
        <f t="shared" si="32"/>
        <v>0</v>
      </c>
    </row>
    <row r="119" spans="1:7" s="129" customFormat="1" hidden="1" x14ac:dyDescent="0.25">
      <c r="A119" s="145">
        <v>71304</v>
      </c>
      <c r="B119" s="146" t="s">
        <v>101</v>
      </c>
      <c r="C119" s="146"/>
      <c r="D119" s="147"/>
      <c r="E119" s="147"/>
      <c r="F119" s="147"/>
      <c r="G119" s="148">
        <f t="shared" ref="G119" si="33">C119+D119+E119+F119</f>
        <v>0</v>
      </c>
    </row>
    <row r="120" spans="1:7" s="129" customFormat="1" hidden="1" x14ac:dyDescent="0.25">
      <c r="A120" s="143">
        <v>72</v>
      </c>
      <c r="B120" s="144" t="s">
        <v>132</v>
      </c>
      <c r="C120" s="144"/>
      <c r="D120" s="141">
        <f>D121</f>
        <v>0</v>
      </c>
      <c r="E120" s="141">
        <f>E121</f>
        <v>0</v>
      </c>
      <c r="F120" s="141">
        <f t="shared" ref="F120:G121" si="34">F121</f>
        <v>0</v>
      </c>
      <c r="G120" s="142">
        <f t="shared" si="34"/>
        <v>0</v>
      </c>
    </row>
    <row r="121" spans="1:7" s="129" customFormat="1" hidden="1" x14ac:dyDescent="0.25">
      <c r="A121" s="143">
        <v>721</v>
      </c>
      <c r="B121" s="144" t="s">
        <v>133</v>
      </c>
      <c r="C121" s="144"/>
      <c r="D121" s="141">
        <f>D122</f>
        <v>0</v>
      </c>
      <c r="E121" s="141">
        <f>E122</f>
        <v>0</v>
      </c>
      <c r="F121" s="141">
        <f t="shared" si="34"/>
        <v>0</v>
      </c>
      <c r="G121" s="142">
        <f t="shared" si="34"/>
        <v>0</v>
      </c>
    </row>
    <row r="122" spans="1:7" s="129" customFormat="1" hidden="1" x14ac:dyDescent="0.25">
      <c r="A122" s="145">
        <v>72101</v>
      </c>
      <c r="B122" s="146" t="s">
        <v>133</v>
      </c>
      <c r="C122" s="146"/>
      <c r="D122" s="147"/>
      <c r="E122" s="147"/>
      <c r="F122" s="147"/>
      <c r="G122" s="148">
        <f t="shared" ref="G122" si="35">C122+D122+E122+F122</f>
        <v>0</v>
      </c>
    </row>
    <row r="123" spans="1:7" s="129" customFormat="1" x14ac:dyDescent="0.25">
      <c r="A123" s="143" t="s">
        <v>29</v>
      </c>
      <c r="B123" s="144" t="s">
        <v>81</v>
      </c>
      <c r="C123" s="141">
        <f>C10+C33+C83+C93+C100+C117+C120</f>
        <v>281243</v>
      </c>
      <c r="D123" s="141">
        <f>D10+D33+D83+D93+D100+D117+D120</f>
        <v>108750</v>
      </c>
      <c r="E123" s="141">
        <f>E10+E33+E83+E93+E100+E117+E120</f>
        <v>25520</v>
      </c>
      <c r="F123" s="141">
        <f>F10+F33+F83+F93+F100+F117+F120</f>
        <v>71780</v>
      </c>
      <c r="G123" s="142">
        <f>G10+G33+G83+G93+G100+G117+G120</f>
        <v>501063.72</v>
      </c>
    </row>
    <row r="124" spans="1:7" s="129" customFormat="1" x14ac:dyDescent="0.25">
      <c r="A124" s="143" t="s">
        <v>29</v>
      </c>
      <c r="B124" s="144" t="s">
        <v>82</v>
      </c>
      <c r="C124" s="141">
        <f>C123</f>
        <v>281243</v>
      </c>
      <c r="D124" s="141">
        <f>D123</f>
        <v>108750</v>
      </c>
      <c r="E124" s="141">
        <f t="shared" ref="E124:G125" si="36">E123</f>
        <v>25520</v>
      </c>
      <c r="F124" s="141">
        <f t="shared" si="36"/>
        <v>71780</v>
      </c>
      <c r="G124" s="142">
        <f t="shared" si="36"/>
        <v>501063.72</v>
      </c>
    </row>
    <row r="125" spans="1:7" s="129" customFormat="1" ht="15.75" thickBot="1" x14ac:dyDescent="0.3">
      <c r="A125" s="155" t="s">
        <v>83</v>
      </c>
      <c r="B125" s="156"/>
      <c r="C125" s="157">
        <f>C124</f>
        <v>281243</v>
      </c>
      <c r="D125" s="157">
        <f>D124</f>
        <v>108750</v>
      </c>
      <c r="E125" s="157">
        <f t="shared" si="36"/>
        <v>25520</v>
      </c>
      <c r="F125" s="157">
        <f t="shared" si="36"/>
        <v>71780</v>
      </c>
      <c r="G125" s="158">
        <f>G124</f>
        <v>501063.72</v>
      </c>
    </row>
    <row r="126" spans="1:7" s="129" customFormat="1" x14ac:dyDescent="0.25">
      <c r="D126" s="159"/>
    </row>
    <row r="127" spans="1:7" s="129" customFormat="1" x14ac:dyDescent="0.25">
      <c r="D127" s="160"/>
    </row>
    <row r="128" spans="1:7" s="129" customFormat="1" x14ac:dyDescent="0.25">
      <c r="C128" s="161"/>
    </row>
    <row r="129" s="129" customFormat="1" x14ac:dyDescent="0.25"/>
  </sheetData>
  <mergeCells count="7">
    <mergeCell ref="C6:G6"/>
    <mergeCell ref="C7:G7"/>
    <mergeCell ref="C8:G8"/>
    <mergeCell ref="A1:G1"/>
    <mergeCell ref="A2:G2"/>
    <mergeCell ref="A3:G3"/>
    <mergeCell ref="C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127"/>
  <sheetViews>
    <sheetView zoomScale="130" zoomScaleNormal="130" workbookViewId="0">
      <selection activeCell="I106" sqref="I106"/>
    </sheetView>
  </sheetViews>
  <sheetFormatPr baseColWidth="10" defaultRowHeight="15" x14ac:dyDescent="0.25"/>
  <cols>
    <col min="1" max="1" width="7.7109375" customWidth="1"/>
    <col min="2" max="2" width="38.42578125" customWidth="1"/>
    <col min="3" max="3" width="15.28515625" hidden="1" customWidth="1"/>
    <col min="4" max="5" width="13.5703125" hidden="1" customWidth="1"/>
    <col min="6" max="6" width="14.7109375" hidden="1" customWidth="1"/>
    <col min="7" max="7" width="14.42578125" hidden="1" customWidth="1"/>
    <col min="8" max="8" width="12.7109375" customWidth="1"/>
    <col min="9" max="9" width="17" customWidth="1"/>
    <col min="11" max="11" width="13" customWidth="1"/>
    <col min="13" max="13" width="13.5703125" customWidth="1"/>
    <col min="14" max="14" width="16" customWidth="1"/>
    <col min="15" max="15" width="15" hidden="1" customWidth="1"/>
    <col min="16" max="16" width="14.28515625" hidden="1" customWidth="1"/>
    <col min="17" max="17" width="14.42578125" hidden="1" customWidth="1"/>
    <col min="18" max="19" width="14.140625" hidden="1" customWidth="1"/>
    <col min="20" max="20" width="15" hidden="1" customWidth="1"/>
  </cols>
  <sheetData>
    <row r="1" spans="1:20" ht="21" x14ac:dyDescent="0.35">
      <c r="A1" s="242" t="s">
        <v>138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0" ht="21" x14ac:dyDescent="0.35">
      <c r="A2" s="242" t="s">
        <v>229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</row>
    <row r="3" spans="1:20" ht="21" x14ac:dyDescent="0.35">
      <c r="A3" s="242" t="s">
        <v>11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</row>
    <row r="4" spans="1:20" ht="15.75" thickBot="1" x14ac:dyDescent="0.3"/>
    <row r="5" spans="1:20" ht="15.75" thickBot="1" x14ac:dyDescent="0.3">
      <c r="A5" s="16"/>
      <c r="B5" s="1"/>
      <c r="C5" s="54" t="s">
        <v>26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  <c r="O5" s="243" t="s">
        <v>0</v>
      </c>
      <c r="P5" s="244"/>
      <c r="Q5" s="244"/>
      <c r="R5" s="244"/>
      <c r="S5" s="245"/>
      <c r="T5" s="1"/>
    </row>
    <row r="6" spans="1:20" ht="15.75" thickBot="1" x14ac:dyDescent="0.3">
      <c r="A6" s="17"/>
      <c r="B6" s="2"/>
      <c r="C6" s="246" t="s">
        <v>25</v>
      </c>
      <c r="D6" s="246"/>
      <c r="E6" s="246"/>
      <c r="F6" s="246"/>
      <c r="G6" s="247"/>
      <c r="H6" s="248" t="s">
        <v>11</v>
      </c>
      <c r="I6" s="249"/>
      <c r="J6" s="249"/>
      <c r="K6" s="249"/>
      <c r="L6" s="249"/>
      <c r="M6" s="249"/>
      <c r="N6" s="250"/>
      <c r="O6" s="251" t="s">
        <v>1</v>
      </c>
      <c r="P6" s="246"/>
      <c r="Q6" s="246"/>
      <c r="R6" s="246"/>
      <c r="S6" s="247"/>
      <c r="T6" s="53" t="s">
        <v>4</v>
      </c>
    </row>
    <row r="7" spans="1:20" x14ac:dyDescent="0.25">
      <c r="A7" s="52" t="s">
        <v>28</v>
      </c>
      <c r="B7" s="53" t="s">
        <v>27</v>
      </c>
      <c r="C7" s="237" t="s">
        <v>2</v>
      </c>
      <c r="D7" s="237"/>
      <c r="E7" s="237"/>
      <c r="F7" s="237"/>
      <c r="G7" s="237"/>
      <c r="H7" s="45" t="s">
        <v>18</v>
      </c>
      <c r="I7" s="46" t="s">
        <v>18</v>
      </c>
      <c r="J7" s="46" t="s">
        <v>18</v>
      </c>
      <c r="K7" s="46" t="s">
        <v>19</v>
      </c>
      <c r="L7" s="46" t="s">
        <v>18</v>
      </c>
      <c r="M7" s="46" t="s">
        <v>20</v>
      </c>
      <c r="N7" s="47"/>
      <c r="O7" s="238" t="s">
        <v>2</v>
      </c>
      <c r="P7" s="239"/>
      <c r="Q7" s="239"/>
      <c r="R7" s="239"/>
      <c r="S7" s="240"/>
      <c r="T7" s="53" t="s">
        <v>5</v>
      </c>
    </row>
    <row r="8" spans="1:20" x14ac:dyDescent="0.25">
      <c r="A8" s="17"/>
      <c r="B8" s="2"/>
      <c r="C8" s="241" t="s">
        <v>24</v>
      </c>
      <c r="D8" s="241"/>
      <c r="E8" s="241"/>
      <c r="F8" s="241"/>
      <c r="G8" s="241"/>
      <c r="H8" s="13" t="s">
        <v>21</v>
      </c>
      <c r="I8" s="14" t="s">
        <v>21</v>
      </c>
      <c r="J8" s="14" t="s">
        <v>21</v>
      </c>
      <c r="K8" s="14" t="s">
        <v>22</v>
      </c>
      <c r="L8" s="14" t="s">
        <v>21</v>
      </c>
      <c r="M8" s="14" t="s">
        <v>23</v>
      </c>
      <c r="N8" s="8" t="s">
        <v>5</v>
      </c>
      <c r="O8" s="238" t="s">
        <v>3</v>
      </c>
      <c r="P8" s="239"/>
      <c r="Q8" s="239"/>
      <c r="R8" s="239"/>
      <c r="S8" s="240"/>
      <c r="T8" s="2"/>
    </row>
    <row r="9" spans="1:20" ht="25.5" thickBot="1" x14ac:dyDescent="0.3">
      <c r="A9" s="18"/>
      <c r="B9" s="3"/>
      <c r="C9" s="15" t="s">
        <v>6</v>
      </c>
      <c r="D9" s="10" t="s">
        <v>7</v>
      </c>
      <c r="E9" s="10" t="s">
        <v>8</v>
      </c>
      <c r="F9" s="10" t="s">
        <v>9</v>
      </c>
      <c r="G9" s="11" t="s">
        <v>10</v>
      </c>
      <c r="H9" s="9" t="s">
        <v>13</v>
      </c>
      <c r="I9" s="10" t="s">
        <v>14</v>
      </c>
      <c r="J9" s="10" t="s">
        <v>14</v>
      </c>
      <c r="K9" s="10" t="s">
        <v>15</v>
      </c>
      <c r="L9" s="10" t="s">
        <v>16</v>
      </c>
      <c r="M9" s="11" t="s">
        <v>17</v>
      </c>
      <c r="N9" s="12"/>
      <c r="O9" s="4" t="s">
        <v>6</v>
      </c>
      <c r="P9" s="5" t="s">
        <v>7</v>
      </c>
      <c r="Q9" s="5" t="s">
        <v>8</v>
      </c>
      <c r="R9" s="5" t="s">
        <v>9</v>
      </c>
      <c r="S9" s="6" t="s">
        <v>10</v>
      </c>
      <c r="T9" s="3"/>
    </row>
    <row r="10" spans="1:20" hidden="1" x14ac:dyDescent="0.25">
      <c r="A10" s="22">
        <v>51</v>
      </c>
      <c r="B10" s="23" t="s">
        <v>30</v>
      </c>
      <c r="C10" s="31">
        <f>C11+C15+C19+C22+C28+C31+C25</f>
        <v>124657.79</v>
      </c>
      <c r="D10" s="31">
        <f t="shared" ref="D10:R10" si="0">D11+D15+D19+D22+D28+D31+D25</f>
        <v>103071</v>
      </c>
      <c r="E10" s="31">
        <f t="shared" si="0"/>
        <v>39043</v>
      </c>
      <c r="F10" s="31">
        <f t="shared" si="0"/>
        <v>114095.69</v>
      </c>
      <c r="G10" s="32">
        <f>G11+G15+G19+G22+G28+G31+G25</f>
        <v>380867.48</v>
      </c>
      <c r="H10" s="35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  <c r="M10" s="31">
        <f t="shared" si="0"/>
        <v>0</v>
      </c>
      <c r="N10" s="36">
        <f t="shared" si="0"/>
        <v>0</v>
      </c>
      <c r="O10" s="35">
        <f t="shared" si="0"/>
        <v>117979.32</v>
      </c>
      <c r="P10" s="31">
        <f t="shared" si="0"/>
        <v>13680.960000000001</v>
      </c>
      <c r="Q10" s="31">
        <f t="shared" si="0"/>
        <v>5164.2</v>
      </c>
      <c r="R10" s="31">
        <f t="shared" si="0"/>
        <v>27165</v>
      </c>
      <c r="S10" s="31">
        <f>S11+S15+S19+S22+S25+S28+S31</f>
        <v>163989.48000000001</v>
      </c>
      <c r="T10" s="36">
        <f>T11+T15+T19+T22+T28+T31+T25</f>
        <v>544856.96</v>
      </c>
    </row>
    <row r="11" spans="1:20" hidden="1" x14ac:dyDescent="0.25">
      <c r="A11" s="24">
        <v>511</v>
      </c>
      <c r="B11" s="25" t="s">
        <v>31</v>
      </c>
      <c r="C11" s="31">
        <f>C12+C13+C14</f>
        <v>112657.79</v>
      </c>
      <c r="D11" s="31">
        <f t="shared" ref="D11:S11" si="1">D12+D13+D14</f>
        <v>103071</v>
      </c>
      <c r="E11" s="31">
        <f t="shared" si="1"/>
        <v>39043</v>
      </c>
      <c r="F11" s="31">
        <f t="shared" si="1"/>
        <v>114095.69</v>
      </c>
      <c r="G11" s="32">
        <f t="shared" si="1"/>
        <v>368867.48</v>
      </c>
      <c r="H11" s="35">
        <f t="shared" si="1"/>
        <v>0</v>
      </c>
      <c r="I11" s="31">
        <f t="shared" si="1"/>
        <v>0</v>
      </c>
      <c r="J11" s="31">
        <f t="shared" si="1"/>
        <v>0</v>
      </c>
      <c r="K11" s="31">
        <f t="shared" si="1"/>
        <v>0</v>
      </c>
      <c r="L11" s="31">
        <f t="shared" si="1"/>
        <v>0</v>
      </c>
      <c r="M11" s="31">
        <f t="shared" si="1"/>
        <v>0</v>
      </c>
      <c r="N11" s="36">
        <f t="shared" si="1"/>
        <v>0</v>
      </c>
      <c r="O11" s="35">
        <f t="shared" si="1"/>
        <v>30000</v>
      </c>
      <c r="P11" s="31">
        <f t="shared" si="1"/>
        <v>0</v>
      </c>
      <c r="Q11" s="31">
        <f t="shared" si="1"/>
        <v>0</v>
      </c>
      <c r="R11" s="31">
        <f t="shared" si="1"/>
        <v>0</v>
      </c>
      <c r="S11" s="31">
        <f t="shared" si="1"/>
        <v>30000</v>
      </c>
      <c r="T11" s="36">
        <f>T12+T13+T14</f>
        <v>398867.48</v>
      </c>
    </row>
    <row r="12" spans="1:20" hidden="1" x14ac:dyDescent="0.25">
      <c r="A12" s="20">
        <v>51101</v>
      </c>
      <c r="B12" s="7" t="s">
        <v>32</v>
      </c>
      <c r="C12" s="19">
        <v>66166.679999999993</v>
      </c>
      <c r="D12" s="19">
        <v>95880</v>
      </c>
      <c r="E12" s="19">
        <v>36240</v>
      </c>
      <c r="F12" s="19">
        <f>65946.72+32000.04</f>
        <v>97946.760000000009</v>
      </c>
      <c r="G12" s="49">
        <f>C12+D12+E12+F12</f>
        <v>296233.44</v>
      </c>
      <c r="H12" s="37"/>
      <c r="I12" s="19"/>
      <c r="J12" s="19"/>
      <c r="K12" s="19"/>
      <c r="L12" s="19"/>
      <c r="M12" s="19"/>
      <c r="N12" s="38">
        <f t="shared" ref="N12:N69" si="2">SUM(H12:M12)</f>
        <v>0</v>
      </c>
      <c r="O12" s="37"/>
      <c r="P12" s="19"/>
      <c r="Q12" s="19"/>
      <c r="R12" s="19"/>
      <c r="S12" s="19">
        <f>SUM(O12:R12)</f>
        <v>0</v>
      </c>
      <c r="T12" s="48">
        <f>S12+N12+G12</f>
        <v>296233.44</v>
      </c>
    </row>
    <row r="13" spans="1:20" hidden="1" x14ac:dyDescent="0.25">
      <c r="A13" s="20">
        <v>51103</v>
      </c>
      <c r="B13" s="7" t="s">
        <v>33</v>
      </c>
      <c r="C13" s="19">
        <v>4491.1099999999997</v>
      </c>
      <c r="D13" s="19">
        <v>7191</v>
      </c>
      <c r="E13" s="19">
        <v>2803</v>
      </c>
      <c r="F13" s="19">
        <f>8032.23+8116.7</f>
        <v>16148.93</v>
      </c>
      <c r="G13" s="49">
        <f>C13+D13+E13+F13</f>
        <v>30634.04</v>
      </c>
      <c r="H13" s="37"/>
      <c r="I13" s="19"/>
      <c r="J13" s="19"/>
      <c r="K13" s="19"/>
      <c r="L13" s="19"/>
      <c r="M13" s="19"/>
      <c r="N13" s="38">
        <f t="shared" si="2"/>
        <v>0</v>
      </c>
      <c r="O13" s="37"/>
      <c r="P13" s="19"/>
      <c r="Q13" s="19"/>
      <c r="R13" s="19"/>
      <c r="S13" s="19">
        <f t="shared" ref="S13:S32" si="3">SUM(O13:R13)</f>
        <v>0</v>
      </c>
      <c r="T13" s="48">
        <f t="shared" ref="T13:T14" si="4">S13+N13+G13</f>
        <v>30634.04</v>
      </c>
    </row>
    <row r="14" spans="1:20" hidden="1" x14ac:dyDescent="0.25">
      <c r="A14" s="20">
        <v>51105</v>
      </c>
      <c r="B14" s="7" t="s">
        <v>34</v>
      </c>
      <c r="C14" s="19">
        <v>42000</v>
      </c>
      <c r="D14" s="19"/>
      <c r="E14" s="19"/>
      <c r="F14" s="19"/>
      <c r="G14" s="49">
        <f>C14+D14+E14+F14</f>
        <v>42000</v>
      </c>
      <c r="H14" s="37"/>
      <c r="I14" s="19"/>
      <c r="J14" s="19"/>
      <c r="K14" s="19"/>
      <c r="L14" s="19"/>
      <c r="M14" s="19"/>
      <c r="N14" s="38">
        <f t="shared" si="2"/>
        <v>0</v>
      </c>
      <c r="O14" s="37">
        <v>30000</v>
      </c>
      <c r="P14" s="19"/>
      <c r="Q14" s="19"/>
      <c r="R14" s="19"/>
      <c r="S14" s="19">
        <f t="shared" si="3"/>
        <v>30000</v>
      </c>
      <c r="T14" s="48">
        <f t="shared" si="4"/>
        <v>72000</v>
      </c>
    </row>
    <row r="15" spans="1:20" hidden="1" x14ac:dyDescent="0.25">
      <c r="A15" s="24">
        <v>512</v>
      </c>
      <c r="B15" s="25" t="s">
        <v>35</v>
      </c>
      <c r="C15" s="31">
        <f>C16+C17+C18</f>
        <v>7200</v>
      </c>
      <c r="D15" s="31">
        <f t="shared" ref="D15:F15" si="5">D16+D17+D18</f>
        <v>0</v>
      </c>
      <c r="E15" s="31">
        <f t="shared" si="5"/>
        <v>0</v>
      </c>
      <c r="F15" s="31">
        <f t="shared" si="5"/>
        <v>0</v>
      </c>
      <c r="G15" s="32">
        <f>G16+G17+G18</f>
        <v>7200</v>
      </c>
      <c r="H15" s="35">
        <f t="shared" ref="H15:T15" si="6">H16+H17+H18</f>
        <v>0</v>
      </c>
      <c r="I15" s="31">
        <f t="shared" si="6"/>
        <v>0</v>
      </c>
      <c r="J15" s="31">
        <f t="shared" si="6"/>
        <v>0</v>
      </c>
      <c r="K15" s="31">
        <f t="shared" si="6"/>
        <v>0</v>
      </c>
      <c r="L15" s="31">
        <f t="shared" si="6"/>
        <v>0</v>
      </c>
      <c r="M15" s="31">
        <f t="shared" si="6"/>
        <v>0</v>
      </c>
      <c r="N15" s="36">
        <f t="shared" si="6"/>
        <v>0</v>
      </c>
      <c r="O15" s="35">
        <f t="shared" si="6"/>
        <v>30000</v>
      </c>
      <c r="P15" s="31">
        <f t="shared" si="6"/>
        <v>0</v>
      </c>
      <c r="Q15" s="31">
        <f t="shared" si="6"/>
        <v>0</v>
      </c>
      <c r="R15" s="31">
        <f t="shared" si="6"/>
        <v>0</v>
      </c>
      <c r="S15" s="31">
        <f t="shared" si="6"/>
        <v>30000</v>
      </c>
      <c r="T15" s="36">
        <f t="shared" si="6"/>
        <v>37200</v>
      </c>
    </row>
    <row r="16" spans="1:20" hidden="1" x14ac:dyDescent="0.25">
      <c r="A16" s="20">
        <v>51201</v>
      </c>
      <c r="B16" s="7" t="s">
        <v>32</v>
      </c>
      <c r="C16" s="19">
        <v>7200</v>
      </c>
      <c r="D16" s="19"/>
      <c r="E16" s="19"/>
      <c r="F16" s="19"/>
      <c r="G16" s="49">
        <f t="shared" ref="G16:G81" si="7">C16+D16+E16+F16</f>
        <v>7200</v>
      </c>
      <c r="H16" s="37"/>
      <c r="I16" s="19"/>
      <c r="J16" s="19"/>
      <c r="K16" s="19"/>
      <c r="L16" s="19"/>
      <c r="M16" s="19"/>
      <c r="N16" s="38">
        <f t="shared" si="2"/>
        <v>0</v>
      </c>
      <c r="O16" s="37"/>
      <c r="P16" s="19"/>
      <c r="Q16" s="19"/>
      <c r="R16" s="19"/>
      <c r="S16" s="19">
        <f t="shared" si="3"/>
        <v>0</v>
      </c>
      <c r="T16" s="48">
        <f t="shared" ref="T16:T18" si="8">S16+N16+G16</f>
        <v>7200</v>
      </c>
    </row>
    <row r="17" spans="1:20" hidden="1" x14ac:dyDescent="0.25">
      <c r="A17" s="20">
        <v>51202</v>
      </c>
      <c r="B17" s="7" t="s">
        <v>36</v>
      </c>
      <c r="C17" s="19"/>
      <c r="D17" s="19"/>
      <c r="E17" s="19"/>
      <c r="F17" s="19"/>
      <c r="G17" s="49">
        <f t="shared" si="7"/>
        <v>0</v>
      </c>
      <c r="H17" s="37"/>
      <c r="I17" s="19"/>
      <c r="J17" s="19"/>
      <c r="K17" s="19"/>
      <c r="L17" s="19"/>
      <c r="M17" s="19"/>
      <c r="N17" s="38">
        <f t="shared" si="2"/>
        <v>0</v>
      </c>
      <c r="O17" s="37">
        <v>30000</v>
      </c>
      <c r="P17" s="19"/>
      <c r="Q17" s="19"/>
      <c r="R17" s="19"/>
      <c r="S17" s="19">
        <f t="shared" si="3"/>
        <v>30000</v>
      </c>
      <c r="T17" s="48">
        <f t="shared" si="8"/>
        <v>30000</v>
      </c>
    </row>
    <row r="18" spans="1:20" hidden="1" x14ac:dyDescent="0.25">
      <c r="A18" s="20">
        <v>51203</v>
      </c>
      <c r="B18" s="7" t="s">
        <v>33</v>
      </c>
      <c r="C18" s="19"/>
      <c r="D18" s="19"/>
      <c r="E18" s="19"/>
      <c r="F18" s="19"/>
      <c r="G18" s="49">
        <f t="shared" si="7"/>
        <v>0</v>
      </c>
      <c r="H18" s="37"/>
      <c r="I18" s="19"/>
      <c r="J18" s="19"/>
      <c r="K18" s="19"/>
      <c r="L18" s="19"/>
      <c r="M18" s="19"/>
      <c r="N18" s="38">
        <f t="shared" si="2"/>
        <v>0</v>
      </c>
      <c r="O18" s="37"/>
      <c r="P18" s="19"/>
      <c r="Q18" s="19"/>
      <c r="R18" s="19"/>
      <c r="S18" s="19">
        <f t="shared" si="3"/>
        <v>0</v>
      </c>
      <c r="T18" s="48">
        <f t="shared" si="8"/>
        <v>0</v>
      </c>
    </row>
    <row r="19" spans="1:20" hidden="1" x14ac:dyDescent="0.25">
      <c r="A19" s="24">
        <v>514</v>
      </c>
      <c r="B19" s="25" t="s">
        <v>37</v>
      </c>
      <c r="C19" s="31">
        <f>C20+C21</f>
        <v>0</v>
      </c>
      <c r="D19" s="31">
        <f t="shared" ref="D19:T19" si="9">D20+D21</f>
        <v>0</v>
      </c>
      <c r="E19" s="31">
        <f t="shared" si="9"/>
        <v>0</v>
      </c>
      <c r="F19" s="31">
        <f t="shared" si="9"/>
        <v>0</v>
      </c>
      <c r="G19" s="32">
        <f t="shared" si="9"/>
        <v>0</v>
      </c>
      <c r="H19" s="35">
        <f t="shared" si="9"/>
        <v>0</v>
      </c>
      <c r="I19" s="31">
        <f t="shared" si="9"/>
        <v>0</v>
      </c>
      <c r="J19" s="31">
        <f t="shared" si="9"/>
        <v>0</v>
      </c>
      <c r="K19" s="31">
        <f t="shared" si="9"/>
        <v>0</v>
      </c>
      <c r="L19" s="31">
        <f t="shared" si="9"/>
        <v>0</v>
      </c>
      <c r="M19" s="31">
        <f t="shared" si="9"/>
        <v>0</v>
      </c>
      <c r="N19" s="36">
        <f t="shared" si="9"/>
        <v>0</v>
      </c>
      <c r="O19" s="35">
        <f t="shared" si="9"/>
        <v>4760.04</v>
      </c>
      <c r="P19" s="31">
        <f t="shared" si="9"/>
        <v>7191</v>
      </c>
      <c r="Q19" s="31">
        <f t="shared" si="9"/>
        <v>2718</v>
      </c>
      <c r="R19" s="31">
        <f t="shared" si="9"/>
        <v>14538.84</v>
      </c>
      <c r="S19" s="31">
        <f t="shared" si="9"/>
        <v>29207.88</v>
      </c>
      <c r="T19" s="36">
        <f t="shared" si="9"/>
        <v>29207.88</v>
      </c>
    </row>
    <row r="20" spans="1:20" hidden="1" x14ac:dyDescent="0.25">
      <c r="A20" s="20">
        <v>51401</v>
      </c>
      <c r="B20" s="7" t="s">
        <v>38</v>
      </c>
      <c r="C20" s="19">
        <v>0</v>
      </c>
      <c r="D20" s="19">
        <v>0</v>
      </c>
      <c r="E20" s="19">
        <v>0</v>
      </c>
      <c r="F20" s="19">
        <v>0</v>
      </c>
      <c r="G20" s="49">
        <f t="shared" si="7"/>
        <v>0</v>
      </c>
      <c r="H20" s="37"/>
      <c r="I20" s="19"/>
      <c r="J20" s="19"/>
      <c r="K20" s="19"/>
      <c r="L20" s="19"/>
      <c r="M20" s="19"/>
      <c r="N20" s="38">
        <f t="shared" si="2"/>
        <v>0</v>
      </c>
      <c r="O20" s="37">
        <f>321.67*12</f>
        <v>3860.04</v>
      </c>
      <c r="P20" s="19">
        <f>599.25*12</f>
        <v>7191</v>
      </c>
      <c r="Q20" s="19">
        <f>226.5*12</f>
        <v>2718</v>
      </c>
      <c r="R20" s="19">
        <f>(412.17+599.4+200)*12</f>
        <v>14538.84</v>
      </c>
      <c r="S20" s="19">
        <f t="shared" si="3"/>
        <v>28307.88</v>
      </c>
      <c r="T20" s="48">
        <f t="shared" ref="T20:T21" si="10">S20+N20+G20</f>
        <v>28307.88</v>
      </c>
    </row>
    <row r="21" spans="1:20" hidden="1" x14ac:dyDescent="0.25">
      <c r="A21" s="20">
        <v>51402</v>
      </c>
      <c r="B21" s="7" t="s">
        <v>39</v>
      </c>
      <c r="C21" s="19"/>
      <c r="D21" s="19"/>
      <c r="E21" s="19"/>
      <c r="F21" s="19"/>
      <c r="G21" s="49">
        <f t="shared" si="7"/>
        <v>0</v>
      </c>
      <c r="H21" s="37"/>
      <c r="I21" s="19"/>
      <c r="J21" s="19"/>
      <c r="K21" s="19"/>
      <c r="L21" s="19"/>
      <c r="M21" s="19"/>
      <c r="N21" s="38">
        <f t="shared" si="2"/>
        <v>0</v>
      </c>
      <c r="O21" s="37">
        <f>75*12</f>
        <v>900</v>
      </c>
      <c r="P21" s="19"/>
      <c r="Q21" s="19"/>
      <c r="R21" s="19"/>
      <c r="S21" s="19">
        <f t="shared" si="3"/>
        <v>900</v>
      </c>
      <c r="T21" s="48">
        <f t="shared" si="10"/>
        <v>900</v>
      </c>
    </row>
    <row r="22" spans="1:20" hidden="1" x14ac:dyDescent="0.25">
      <c r="A22" s="24">
        <v>515</v>
      </c>
      <c r="B22" s="25" t="s">
        <v>40</v>
      </c>
      <c r="C22" s="31">
        <f>C23+C24</f>
        <v>0</v>
      </c>
      <c r="D22" s="31">
        <f t="shared" ref="D22:N22" si="11">D23+D24</f>
        <v>0</v>
      </c>
      <c r="E22" s="31">
        <f t="shared" si="11"/>
        <v>0</v>
      </c>
      <c r="F22" s="31">
        <f t="shared" si="11"/>
        <v>0</v>
      </c>
      <c r="G22" s="32">
        <f t="shared" si="11"/>
        <v>0</v>
      </c>
      <c r="H22" s="35">
        <f t="shared" si="11"/>
        <v>0</v>
      </c>
      <c r="I22" s="31">
        <f t="shared" si="11"/>
        <v>0</v>
      </c>
      <c r="J22" s="31">
        <f t="shared" si="11"/>
        <v>0</v>
      </c>
      <c r="K22" s="31">
        <f t="shared" si="11"/>
        <v>0</v>
      </c>
      <c r="L22" s="31">
        <f t="shared" si="11"/>
        <v>0</v>
      </c>
      <c r="M22" s="31">
        <f t="shared" si="11"/>
        <v>0</v>
      </c>
      <c r="N22" s="36">
        <f t="shared" si="11"/>
        <v>0</v>
      </c>
      <c r="O22" s="35">
        <f>O23+O24</f>
        <v>5219.28</v>
      </c>
      <c r="P22" s="31">
        <f t="shared" ref="P22:R22" si="12">P23+P24</f>
        <v>6489.9600000000009</v>
      </c>
      <c r="Q22" s="31">
        <f t="shared" si="12"/>
        <v>2446.1999999999998</v>
      </c>
      <c r="R22" s="31">
        <f t="shared" si="12"/>
        <v>12626.16</v>
      </c>
      <c r="S22" s="31">
        <f>S23+S24</f>
        <v>26781.600000000002</v>
      </c>
      <c r="T22" s="36">
        <f>T23+T24</f>
        <v>26781.600000000002</v>
      </c>
    </row>
    <row r="23" spans="1:20" hidden="1" x14ac:dyDescent="0.25">
      <c r="A23" s="20">
        <v>51501</v>
      </c>
      <c r="B23" s="7" t="s">
        <v>38</v>
      </c>
      <c r="C23" s="19"/>
      <c r="D23" s="19"/>
      <c r="E23" s="19"/>
      <c r="F23" s="19"/>
      <c r="G23" s="49">
        <f t="shared" si="7"/>
        <v>0</v>
      </c>
      <c r="H23" s="37"/>
      <c r="I23" s="19"/>
      <c r="J23" s="19"/>
      <c r="K23" s="19"/>
      <c r="L23" s="19"/>
      <c r="M23" s="19"/>
      <c r="N23" s="38">
        <f t="shared" si="2"/>
        <v>0</v>
      </c>
      <c r="O23" s="37">
        <f>372.19*12</f>
        <v>4466.28</v>
      </c>
      <c r="P23" s="19">
        <f>540.83*12</f>
        <v>6489.9600000000009</v>
      </c>
      <c r="Q23" s="19">
        <f>203.85*12</f>
        <v>2446.1999999999998</v>
      </c>
      <c r="R23" s="19">
        <f>(372.45+509.94+169.79)*12</f>
        <v>12626.16</v>
      </c>
      <c r="S23" s="19">
        <f t="shared" si="3"/>
        <v>26028.600000000002</v>
      </c>
      <c r="T23" s="48">
        <f t="shared" ref="T23:T24" si="13">S23+N23+G23</f>
        <v>26028.600000000002</v>
      </c>
    </row>
    <row r="24" spans="1:20" hidden="1" x14ac:dyDescent="0.25">
      <c r="A24" s="20">
        <v>51502</v>
      </c>
      <c r="B24" s="7" t="s">
        <v>39</v>
      </c>
      <c r="C24" s="19"/>
      <c r="D24" s="19"/>
      <c r="E24" s="19"/>
      <c r="F24" s="19"/>
      <c r="G24" s="49">
        <f t="shared" si="7"/>
        <v>0</v>
      </c>
      <c r="H24" s="37"/>
      <c r="I24" s="19"/>
      <c r="J24" s="19"/>
      <c r="K24" s="19"/>
      <c r="L24" s="19"/>
      <c r="M24" s="19"/>
      <c r="N24" s="38">
        <f t="shared" si="2"/>
        <v>0</v>
      </c>
      <c r="O24" s="37">
        <f>62.75*12</f>
        <v>753</v>
      </c>
      <c r="P24" s="19"/>
      <c r="Q24" s="19"/>
      <c r="R24" s="19"/>
      <c r="S24" s="19">
        <f t="shared" si="3"/>
        <v>753</v>
      </c>
      <c r="T24" s="48">
        <f t="shared" si="13"/>
        <v>753</v>
      </c>
    </row>
    <row r="25" spans="1:20" hidden="1" x14ac:dyDescent="0.25">
      <c r="A25" s="24">
        <v>517</v>
      </c>
      <c r="B25" s="25" t="s">
        <v>84</v>
      </c>
      <c r="C25" s="31">
        <f>C26+C27</f>
        <v>0</v>
      </c>
      <c r="D25" s="31">
        <f>D26+D27</f>
        <v>0</v>
      </c>
      <c r="E25" s="31">
        <f t="shared" ref="E25:R25" si="14">E26+E27</f>
        <v>0</v>
      </c>
      <c r="F25" s="31">
        <f t="shared" si="14"/>
        <v>0</v>
      </c>
      <c r="G25" s="32">
        <f t="shared" si="14"/>
        <v>0</v>
      </c>
      <c r="H25" s="35">
        <f t="shared" si="14"/>
        <v>0</v>
      </c>
      <c r="I25" s="31">
        <f t="shared" si="14"/>
        <v>0</v>
      </c>
      <c r="J25" s="31">
        <f t="shared" si="14"/>
        <v>0</v>
      </c>
      <c r="K25" s="31">
        <f t="shared" si="14"/>
        <v>0</v>
      </c>
      <c r="L25" s="31">
        <f t="shared" si="14"/>
        <v>0</v>
      </c>
      <c r="M25" s="31">
        <f t="shared" si="14"/>
        <v>0</v>
      </c>
      <c r="N25" s="36">
        <f t="shared" si="14"/>
        <v>0</v>
      </c>
      <c r="O25" s="31">
        <f>O26+O27</f>
        <v>32500</v>
      </c>
      <c r="P25" s="31">
        <f t="shared" si="14"/>
        <v>0</v>
      </c>
      <c r="Q25" s="31">
        <f t="shared" si="14"/>
        <v>0</v>
      </c>
      <c r="R25" s="31">
        <f t="shared" si="14"/>
        <v>0</v>
      </c>
      <c r="S25" s="31">
        <f>S26+S27</f>
        <v>32500</v>
      </c>
      <c r="T25" s="36">
        <f>T26+T27</f>
        <v>32500</v>
      </c>
    </row>
    <row r="26" spans="1:20" hidden="1" x14ac:dyDescent="0.25">
      <c r="A26" s="20">
        <v>51701</v>
      </c>
      <c r="B26" s="7" t="s">
        <v>134</v>
      </c>
      <c r="C26" s="19"/>
      <c r="D26" s="19">
        <v>0</v>
      </c>
      <c r="E26" s="19">
        <v>0</v>
      </c>
      <c r="F26" s="19">
        <v>0</v>
      </c>
      <c r="G26" s="33">
        <v>0</v>
      </c>
      <c r="H26" s="37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41">
        <v>0</v>
      </c>
      <c r="O26" s="19">
        <v>31500</v>
      </c>
      <c r="P26" s="19">
        <v>0</v>
      </c>
      <c r="Q26" s="19">
        <v>0</v>
      </c>
      <c r="R26" s="19">
        <v>0</v>
      </c>
      <c r="S26" s="19">
        <f t="shared" si="3"/>
        <v>31500</v>
      </c>
      <c r="T26" s="48">
        <f t="shared" ref="T26:T27" si="15">S26+N26+G26</f>
        <v>31500</v>
      </c>
    </row>
    <row r="27" spans="1:20" hidden="1" x14ac:dyDescent="0.25">
      <c r="A27" s="20">
        <v>51702</v>
      </c>
      <c r="B27" s="7" t="s">
        <v>85</v>
      </c>
      <c r="C27" s="19"/>
      <c r="D27" s="19"/>
      <c r="E27" s="19"/>
      <c r="F27" s="19"/>
      <c r="G27" s="33">
        <v>0</v>
      </c>
      <c r="H27" s="37"/>
      <c r="I27" s="19"/>
      <c r="J27" s="19"/>
      <c r="K27" s="19"/>
      <c r="L27" s="19"/>
      <c r="M27" s="19"/>
      <c r="N27" s="38"/>
      <c r="O27" s="37">
        <v>1000</v>
      </c>
      <c r="P27" s="19"/>
      <c r="Q27" s="19"/>
      <c r="R27" s="19"/>
      <c r="S27" s="19">
        <f t="shared" si="3"/>
        <v>1000</v>
      </c>
      <c r="T27" s="48">
        <f t="shared" si="15"/>
        <v>1000</v>
      </c>
    </row>
    <row r="28" spans="1:20" hidden="1" x14ac:dyDescent="0.25">
      <c r="A28" s="24">
        <v>516</v>
      </c>
      <c r="B28" s="25" t="s">
        <v>41</v>
      </c>
      <c r="C28" s="31">
        <f>C29+C30</f>
        <v>0</v>
      </c>
      <c r="D28" s="31">
        <f t="shared" ref="D28:R28" si="16">D29+D30</f>
        <v>0</v>
      </c>
      <c r="E28" s="31">
        <f t="shared" si="16"/>
        <v>0</v>
      </c>
      <c r="F28" s="31">
        <f t="shared" si="16"/>
        <v>0</v>
      </c>
      <c r="G28" s="32">
        <f t="shared" si="16"/>
        <v>0</v>
      </c>
      <c r="H28" s="35">
        <f t="shared" si="16"/>
        <v>0</v>
      </c>
      <c r="I28" s="31">
        <f t="shared" si="16"/>
        <v>0</v>
      </c>
      <c r="J28" s="31">
        <f t="shared" si="16"/>
        <v>0</v>
      </c>
      <c r="K28" s="31">
        <f t="shared" si="16"/>
        <v>0</v>
      </c>
      <c r="L28" s="31">
        <f t="shared" si="16"/>
        <v>0</v>
      </c>
      <c r="M28" s="31">
        <f t="shared" si="16"/>
        <v>0</v>
      </c>
      <c r="N28" s="36">
        <f t="shared" si="16"/>
        <v>0</v>
      </c>
      <c r="O28" s="35">
        <f t="shared" si="16"/>
        <v>15000</v>
      </c>
      <c r="P28" s="31">
        <f t="shared" si="16"/>
        <v>0</v>
      </c>
      <c r="Q28" s="31">
        <f t="shared" si="16"/>
        <v>0</v>
      </c>
      <c r="R28" s="31">
        <f t="shared" si="16"/>
        <v>0</v>
      </c>
      <c r="S28" s="31">
        <f>S29+S30</f>
        <v>15000</v>
      </c>
      <c r="T28" s="36">
        <f t="shared" ref="T28" si="17">T29+T30</f>
        <v>15000</v>
      </c>
    </row>
    <row r="29" spans="1:20" hidden="1" x14ac:dyDescent="0.25">
      <c r="A29" s="20">
        <v>51601</v>
      </c>
      <c r="B29" s="7" t="s">
        <v>42</v>
      </c>
      <c r="C29" s="19"/>
      <c r="D29" s="19"/>
      <c r="E29" s="19"/>
      <c r="F29" s="19"/>
      <c r="G29" s="49">
        <f t="shared" si="7"/>
        <v>0</v>
      </c>
      <c r="H29" s="37"/>
      <c r="I29" s="19"/>
      <c r="J29" s="19"/>
      <c r="K29" s="19"/>
      <c r="L29" s="19"/>
      <c r="M29" s="19"/>
      <c r="N29" s="38">
        <f t="shared" si="2"/>
        <v>0</v>
      </c>
      <c r="O29" s="37">
        <v>12000</v>
      </c>
      <c r="P29" s="19"/>
      <c r="Q29" s="19"/>
      <c r="R29" s="19"/>
      <c r="S29" s="19">
        <f t="shared" si="3"/>
        <v>12000</v>
      </c>
      <c r="T29" s="48">
        <f t="shared" ref="T29:T32" si="18">S29+N29+G29</f>
        <v>12000</v>
      </c>
    </row>
    <row r="30" spans="1:20" hidden="1" x14ac:dyDescent="0.25">
      <c r="A30" s="20">
        <v>51602</v>
      </c>
      <c r="B30" s="7" t="s">
        <v>43</v>
      </c>
      <c r="C30" s="19"/>
      <c r="D30" s="19"/>
      <c r="E30" s="19"/>
      <c r="F30" s="19"/>
      <c r="G30" s="49">
        <f t="shared" si="7"/>
        <v>0</v>
      </c>
      <c r="H30" s="37"/>
      <c r="I30" s="19"/>
      <c r="J30" s="19"/>
      <c r="K30" s="19"/>
      <c r="L30" s="19"/>
      <c r="M30" s="19"/>
      <c r="N30" s="38">
        <f t="shared" si="2"/>
        <v>0</v>
      </c>
      <c r="O30" s="37">
        <v>3000</v>
      </c>
      <c r="P30" s="19"/>
      <c r="Q30" s="19"/>
      <c r="R30" s="19"/>
      <c r="S30" s="19">
        <f t="shared" si="3"/>
        <v>3000</v>
      </c>
      <c r="T30" s="48">
        <f t="shared" si="18"/>
        <v>3000</v>
      </c>
    </row>
    <row r="31" spans="1:20" hidden="1" x14ac:dyDescent="0.25">
      <c r="A31" s="24">
        <v>519</v>
      </c>
      <c r="B31" s="25" t="s">
        <v>44</v>
      </c>
      <c r="C31" s="31">
        <f>C32</f>
        <v>4800</v>
      </c>
      <c r="D31" s="31">
        <f t="shared" ref="D31:G31" si="19">D32</f>
        <v>0</v>
      </c>
      <c r="E31" s="31">
        <f t="shared" si="19"/>
        <v>0</v>
      </c>
      <c r="F31" s="31">
        <f t="shared" si="19"/>
        <v>0</v>
      </c>
      <c r="G31" s="32">
        <f t="shared" si="19"/>
        <v>4800</v>
      </c>
      <c r="H31" s="35">
        <f>H32</f>
        <v>0</v>
      </c>
      <c r="I31" s="31">
        <f t="shared" ref="I31:R31" si="20">I32</f>
        <v>0</v>
      </c>
      <c r="J31" s="31">
        <f t="shared" si="20"/>
        <v>0</v>
      </c>
      <c r="K31" s="31">
        <f t="shared" si="20"/>
        <v>0</v>
      </c>
      <c r="L31" s="31">
        <f t="shared" si="20"/>
        <v>0</v>
      </c>
      <c r="M31" s="31">
        <f t="shared" si="20"/>
        <v>0</v>
      </c>
      <c r="N31" s="36">
        <f t="shared" si="20"/>
        <v>0</v>
      </c>
      <c r="O31" s="35">
        <f t="shared" si="20"/>
        <v>500</v>
      </c>
      <c r="P31" s="31">
        <f t="shared" si="20"/>
        <v>0</v>
      </c>
      <c r="Q31" s="31">
        <f t="shared" si="20"/>
        <v>0</v>
      </c>
      <c r="R31" s="31">
        <f t="shared" si="20"/>
        <v>0</v>
      </c>
      <c r="S31" s="31">
        <f>S32</f>
        <v>500</v>
      </c>
      <c r="T31" s="36">
        <f t="shared" ref="T31" si="21">T32</f>
        <v>5300</v>
      </c>
    </row>
    <row r="32" spans="1:20" hidden="1" x14ac:dyDescent="0.25">
      <c r="A32" s="20">
        <v>51901</v>
      </c>
      <c r="B32" s="7" t="s">
        <v>45</v>
      </c>
      <c r="C32" s="19">
        <v>4800</v>
      </c>
      <c r="D32" s="19"/>
      <c r="E32" s="19"/>
      <c r="F32" s="19"/>
      <c r="G32" s="49">
        <f t="shared" si="7"/>
        <v>4800</v>
      </c>
      <c r="H32" s="37"/>
      <c r="I32" s="19"/>
      <c r="J32" s="19"/>
      <c r="K32" s="19"/>
      <c r="L32" s="19"/>
      <c r="M32" s="19"/>
      <c r="N32" s="38">
        <f t="shared" si="2"/>
        <v>0</v>
      </c>
      <c r="O32" s="37">
        <v>500</v>
      </c>
      <c r="P32" s="19"/>
      <c r="Q32" s="19"/>
      <c r="R32" s="19"/>
      <c r="S32" s="19">
        <f t="shared" si="3"/>
        <v>500</v>
      </c>
      <c r="T32" s="48">
        <f t="shared" si="18"/>
        <v>5300</v>
      </c>
    </row>
    <row r="33" spans="1:20" hidden="1" x14ac:dyDescent="0.25">
      <c r="A33" s="24">
        <v>54</v>
      </c>
      <c r="B33" s="25" t="s">
        <v>46</v>
      </c>
      <c r="C33" s="31">
        <f>C34+C53+C59</f>
        <v>119847.8</v>
      </c>
      <c r="D33" s="31">
        <f t="shared" ref="D33:T33" si="22">D34+D53+D59</f>
        <v>1000</v>
      </c>
      <c r="E33" s="31">
        <f t="shared" si="22"/>
        <v>500</v>
      </c>
      <c r="F33" s="31">
        <f t="shared" si="22"/>
        <v>500</v>
      </c>
      <c r="G33" s="32">
        <f>G34+G53+G59+G70+G80+G74</f>
        <v>121847.8</v>
      </c>
      <c r="H33" s="35">
        <f t="shared" si="22"/>
        <v>0</v>
      </c>
      <c r="I33" s="31">
        <f t="shared" si="22"/>
        <v>0</v>
      </c>
      <c r="J33" s="31">
        <f t="shared" si="22"/>
        <v>0</v>
      </c>
      <c r="K33" s="31">
        <f t="shared" si="22"/>
        <v>0</v>
      </c>
      <c r="L33" s="31">
        <f t="shared" si="22"/>
        <v>0</v>
      </c>
      <c r="M33" s="31">
        <f t="shared" si="22"/>
        <v>0</v>
      </c>
      <c r="N33" s="36">
        <f t="shared" si="22"/>
        <v>0</v>
      </c>
      <c r="O33" s="35">
        <f t="shared" si="22"/>
        <v>123825</v>
      </c>
      <c r="P33" s="31">
        <f t="shared" si="22"/>
        <v>8600</v>
      </c>
      <c r="Q33" s="31">
        <f t="shared" si="22"/>
        <v>7600</v>
      </c>
      <c r="R33" s="31">
        <f t="shared" si="22"/>
        <v>4100</v>
      </c>
      <c r="S33" s="31">
        <f>S34+S53+S59+S70+S80+S74</f>
        <v>152886.35999999999</v>
      </c>
      <c r="T33" s="36">
        <f t="shared" si="22"/>
        <v>265972.8</v>
      </c>
    </row>
    <row r="34" spans="1:20" hidden="1" x14ac:dyDescent="0.25">
      <c r="A34" s="24">
        <v>541</v>
      </c>
      <c r="B34" s="25" t="s">
        <v>47</v>
      </c>
      <c r="C34" s="31">
        <f>SUM(C35:C52)</f>
        <v>9102.36</v>
      </c>
      <c r="D34" s="31">
        <f t="shared" ref="D34:T34" si="23">SUM(D35:D52)</f>
        <v>1000</v>
      </c>
      <c r="E34" s="31">
        <f t="shared" si="23"/>
        <v>500</v>
      </c>
      <c r="F34" s="31">
        <f t="shared" si="23"/>
        <v>500</v>
      </c>
      <c r="G34" s="32">
        <f>SUM(G35:G52)</f>
        <v>11102.36</v>
      </c>
      <c r="H34" s="35">
        <f t="shared" si="23"/>
        <v>0</v>
      </c>
      <c r="I34" s="31">
        <f t="shared" si="23"/>
        <v>0</v>
      </c>
      <c r="J34" s="31">
        <f t="shared" si="23"/>
        <v>0</v>
      </c>
      <c r="K34" s="31">
        <f t="shared" si="23"/>
        <v>0</v>
      </c>
      <c r="L34" s="31">
        <f t="shared" si="23"/>
        <v>0</v>
      </c>
      <c r="M34" s="31">
        <f t="shared" si="23"/>
        <v>0</v>
      </c>
      <c r="N34" s="36">
        <f t="shared" si="23"/>
        <v>0</v>
      </c>
      <c r="O34" s="35">
        <f t="shared" si="23"/>
        <v>38600</v>
      </c>
      <c r="P34" s="31">
        <f t="shared" si="23"/>
        <v>8600</v>
      </c>
      <c r="Q34" s="31">
        <f t="shared" si="23"/>
        <v>7600</v>
      </c>
      <c r="R34" s="31">
        <f t="shared" si="23"/>
        <v>4100</v>
      </c>
      <c r="S34" s="31">
        <f>SUM(S35:S52)</f>
        <v>58900</v>
      </c>
      <c r="T34" s="36">
        <f t="shared" si="23"/>
        <v>70002.36</v>
      </c>
    </row>
    <row r="35" spans="1:20" hidden="1" x14ac:dyDescent="0.25">
      <c r="A35" s="20">
        <v>54101</v>
      </c>
      <c r="B35" s="7" t="s">
        <v>48</v>
      </c>
      <c r="C35" s="19"/>
      <c r="D35" s="19"/>
      <c r="E35" s="19"/>
      <c r="F35" s="19"/>
      <c r="G35" s="49">
        <f t="shared" si="7"/>
        <v>0</v>
      </c>
      <c r="H35" s="37"/>
      <c r="I35" s="19"/>
      <c r="J35" s="19"/>
      <c r="K35" s="19"/>
      <c r="L35" s="19"/>
      <c r="M35" s="19"/>
      <c r="N35" s="38">
        <f t="shared" si="2"/>
        <v>0</v>
      </c>
      <c r="O35" s="37">
        <v>1000</v>
      </c>
      <c r="P35" s="19"/>
      <c r="Q35" s="19"/>
      <c r="R35" s="19"/>
      <c r="S35" s="19">
        <f t="shared" ref="S35:S52" si="24">SUM(O35:R35)</f>
        <v>1000</v>
      </c>
      <c r="T35" s="48">
        <f t="shared" ref="T35:T52" si="25">S35+N35+G35</f>
        <v>1000</v>
      </c>
    </row>
    <row r="36" spans="1:20" hidden="1" x14ac:dyDescent="0.25">
      <c r="A36" s="20">
        <v>54103</v>
      </c>
      <c r="B36" s="7" t="s">
        <v>49</v>
      </c>
      <c r="C36" s="19"/>
      <c r="D36" s="19"/>
      <c r="E36" s="19"/>
      <c r="F36" s="19"/>
      <c r="G36" s="49">
        <f t="shared" si="7"/>
        <v>0</v>
      </c>
      <c r="H36" s="37"/>
      <c r="I36" s="19"/>
      <c r="J36" s="19"/>
      <c r="K36" s="19"/>
      <c r="L36" s="19"/>
      <c r="M36" s="19"/>
      <c r="N36" s="38">
        <f t="shared" si="2"/>
        <v>0</v>
      </c>
      <c r="O36" s="37">
        <v>500</v>
      </c>
      <c r="P36" s="19"/>
      <c r="Q36" s="19"/>
      <c r="R36" s="19"/>
      <c r="S36" s="19">
        <f t="shared" si="24"/>
        <v>500</v>
      </c>
      <c r="T36" s="48">
        <f t="shared" si="25"/>
        <v>500</v>
      </c>
    </row>
    <row r="37" spans="1:20" hidden="1" x14ac:dyDescent="0.25">
      <c r="A37" s="20">
        <v>54104</v>
      </c>
      <c r="B37" s="7" t="s">
        <v>50</v>
      </c>
      <c r="C37" s="19">
        <f>3605.36</f>
        <v>3605.36</v>
      </c>
      <c r="D37" s="19"/>
      <c r="E37" s="19"/>
      <c r="F37" s="19"/>
      <c r="G37" s="49">
        <f t="shared" si="7"/>
        <v>3605.36</v>
      </c>
      <c r="H37" s="37"/>
      <c r="I37" s="19"/>
      <c r="J37" s="19"/>
      <c r="K37" s="19"/>
      <c r="L37" s="19"/>
      <c r="M37" s="19"/>
      <c r="N37" s="38">
        <f t="shared" si="2"/>
        <v>0</v>
      </c>
      <c r="O37" s="37">
        <v>5400</v>
      </c>
      <c r="P37" s="19"/>
      <c r="Q37" s="19"/>
      <c r="R37" s="19"/>
      <c r="S37" s="19">
        <f t="shared" si="24"/>
        <v>5400</v>
      </c>
      <c r="T37" s="48">
        <f t="shared" si="25"/>
        <v>9005.36</v>
      </c>
    </row>
    <row r="38" spans="1:20" hidden="1" x14ac:dyDescent="0.25">
      <c r="A38" s="20">
        <v>54105</v>
      </c>
      <c r="B38" s="7" t="s">
        <v>51</v>
      </c>
      <c r="C38" s="19"/>
      <c r="D38" s="19"/>
      <c r="E38" s="19"/>
      <c r="F38" s="19"/>
      <c r="G38" s="49">
        <f t="shared" si="7"/>
        <v>0</v>
      </c>
      <c r="H38" s="37"/>
      <c r="I38" s="19"/>
      <c r="J38" s="19"/>
      <c r="K38" s="19"/>
      <c r="L38" s="19"/>
      <c r="M38" s="19"/>
      <c r="N38" s="38">
        <f t="shared" si="2"/>
        <v>0</v>
      </c>
      <c r="O38" s="37">
        <v>2000</v>
      </c>
      <c r="P38" s="19">
        <v>1500</v>
      </c>
      <c r="Q38" s="19">
        <v>1000</v>
      </c>
      <c r="R38" s="19">
        <v>500</v>
      </c>
      <c r="S38" s="19">
        <f t="shared" si="24"/>
        <v>5000</v>
      </c>
      <c r="T38" s="48">
        <f t="shared" si="25"/>
        <v>5000</v>
      </c>
    </row>
    <row r="39" spans="1:20" hidden="1" x14ac:dyDescent="0.25">
      <c r="A39" s="20">
        <v>54106</v>
      </c>
      <c r="B39" s="7" t="s">
        <v>52</v>
      </c>
      <c r="C39" s="19"/>
      <c r="D39" s="19"/>
      <c r="E39" s="19"/>
      <c r="F39" s="19"/>
      <c r="G39" s="49">
        <f t="shared" si="7"/>
        <v>0</v>
      </c>
      <c r="H39" s="37"/>
      <c r="I39" s="19"/>
      <c r="J39" s="19"/>
      <c r="K39" s="19"/>
      <c r="L39" s="19"/>
      <c r="M39" s="19"/>
      <c r="N39" s="38">
        <f t="shared" si="2"/>
        <v>0</v>
      </c>
      <c r="O39" s="37">
        <v>100</v>
      </c>
      <c r="P39" s="37">
        <v>100</v>
      </c>
      <c r="Q39" s="37">
        <v>100</v>
      </c>
      <c r="R39" s="37">
        <v>100</v>
      </c>
      <c r="S39" s="19">
        <f t="shared" si="24"/>
        <v>400</v>
      </c>
      <c r="T39" s="48">
        <f t="shared" si="25"/>
        <v>400</v>
      </c>
    </row>
    <row r="40" spans="1:20" hidden="1" x14ac:dyDescent="0.25">
      <c r="A40" s="20">
        <v>54107</v>
      </c>
      <c r="B40" s="7" t="s">
        <v>53</v>
      </c>
      <c r="C40" s="19"/>
      <c r="D40" s="19"/>
      <c r="E40" s="19"/>
      <c r="F40" s="19"/>
      <c r="G40" s="49">
        <f t="shared" si="7"/>
        <v>0</v>
      </c>
      <c r="H40" s="37"/>
      <c r="I40" s="19"/>
      <c r="J40" s="19"/>
      <c r="K40" s="19"/>
      <c r="L40" s="19"/>
      <c r="M40" s="19"/>
      <c r="N40" s="38">
        <f t="shared" si="2"/>
        <v>0</v>
      </c>
      <c r="O40" s="37">
        <v>2000</v>
      </c>
      <c r="P40" s="19">
        <v>1000</v>
      </c>
      <c r="Q40" s="19">
        <v>500</v>
      </c>
      <c r="R40" s="19">
        <v>500</v>
      </c>
      <c r="S40" s="19">
        <f t="shared" si="24"/>
        <v>4000</v>
      </c>
      <c r="T40" s="48">
        <f t="shared" si="25"/>
        <v>4000</v>
      </c>
    </row>
    <row r="41" spans="1:20" hidden="1" x14ac:dyDescent="0.25">
      <c r="A41" s="20">
        <v>54108</v>
      </c>
      <c r="B41" s="7" t="s">
        <v>54</v>
      </c>
      <c r="C41" s="19"/>
      <c r="D41" s="19"/>
      <c r="E41" s="19"/>
      <c r="F41" s="19"/>
      <c r="G41" s="49">
        <f t="shared" si="7"/>
        <v>0</v>
      </c>
      <c r="H41" s="37"/>
      <c r="I41" s="19"/>
      <c r="J41" s="19"/>
      <c r="K41" s="19"/>
      <c r="L41" s="19"/>
      <c r="M41" s="19"/>
      <c r="N41" s="38">
        <f t="shared" si="2"/>
        <v>0</v>
      </c>
      <c r="O41" s="37">
        <v>100</v>
      </c>
      <c r="P41" s="19"/>
      <c r="Q41" s="19"/>
      <c r="R41" s="19"/>
      <c r="S41" s="19">
        <f t="shared" si="24"/>
        <v>100</v>
      </c>
      <c r="T41" s="48">
        <f t="shared" si="25"/>
        <v>100</v>
      </c>
    </row>
    <row r="42" spans="1:20" hidden="1" x14ac:dyDescent="0.25">
      <c r="A42" s="20">
        <v>54109</v>
      </c>
      <c r="B42" s="7" t="s">
        <v>55</v>
      </c>
      <c r="C42" s="19"/>
      <c r="D42" s="19"/>
      <c r="E42" s="19"/>
      <c r="F42" s="19"/>
      <c r="G42" s="49">
        <f t="shared" si="7"/>
        <v>0</v>
      </c>
      <c r="H42" s="37"/>
      <c r="I42" s="19"/>
      <c r="J42" s="19"/>
      <c r="K42" s="19"/>
      <c r="L42" s="19"/>
      <c r="M42" s="19"/>
      <c r="N42" s="38">
        <f t="shared" si="2"/>
        <v>0</v>
      </c>
      <c r="O42" s="37">
        <v>9000</v>
      </c>
      <c r="P42" s="19"/>
      <c r="Q42" s="19"/>
      <c r="R42" s="19"/>
      <c r="S42" s="19">
        <f t="shared" si="24"/>
        <v>9000</v>
      </c>
      <c r="T42" s="48">
        <f t="shared" si="25"/>
        <v>9000</v>
      </c>
    </row>
    <row r="43" spans="1:20" hidden="1" x14ac:dyDescent="0.25">
      <c r="A43" s="20">
        <v>54110</v>
      </c>
      <c r="B43" s="7" t="s">
        <v>56</v>
      </c>
      <c r="C43" s="19">
        <v>1497</v>
      </c>
      <c r="D43" s="19">
        <v>1000</v>
      </c>
      <c r="E43" s="19">
        <v>500</v>
      </c>
      <c r="F43" s="19">
        <v>500</v>
      </c>
      <c r="G43" s="49">
        <f>C43+D43+E43+F43</f>
        <v>3497</v>
      </c>
      <c r="H43" s="37"/>
      <c r="I43" s="19"/>
      <c r="J43" s="19"/>
      <c r="K43" s="19"/>
      <c r="L43" s="19"/>
      <c r="M43" s="19"/>
      <c r="N43" s="38">
        <f t="shared" si="2"/>
        <v>0</v>
      </c>
      <c r="O43" s="37">
        <v>3000</v>
      </c>
      <c r="P43" s="19">
        <v>2000</v>
      </c>
      <c r="Q43" s="19">
        <v>2000</v>
      </c>
      <c r="R43" s="19">
        <v>1000</v>
      </c>
      <c r="S43" s="19">
        <f t="shared" si="24"/>
        <v>8000</v>
      </c>
      <c r="T43" s="48">
        <f t="shared" si="25"/>
        <v>11497</v>
      </c>
    </row>
    <row r="44" spans="1:20" hidden="1" x14ac:dyDescent="0.25">
      <c r="A44" s="20">
        <v>54111</v>
      </c>
      <c r="B44" s="7" t="s">
        <v>57</v>
      </c>
      <c r="C44" s="19"/>
      <c r="D44" s="19"/>
      <c r="E44" s="19"/>
      <c r="F44" s="19"/>
      <c r="G44" s="49">
        <f t="shared" si="7"/>
        <v>0</v>
      </c>
      <c r="H44" s="37"/>
      <c r="I44" s="19"/>
      <c r="J44" s="19"/>
      <c r="K44" s="19"/>
      <c r="L44" s="19"/>
      <c r="M44" s="19"/>
      <c r="N44" s="38">
        <f t="shared" si="2"/>
        <v>0</v>
      </c>
      <c r="O44" s="37">
        <v>1000</v>
      </c>
      <c r="P44" s="19"/>
      <c r="Q44" s="19"/>
      <c r="R44" s="19"/>
      <c r="S44" s="19">
        <f t="shared" si="24"/>
        <v>1000</v>
      </c>
      <c r="T44" s="48">
        <f t="shared" si="25"/>
        <v>1000</v>
      </c>
    </row>
    <row r="45" spans="1:20" hidden="1" x14ac:dyDescent="0.25">
      <c r="A45" s="20">
        <v>54112</v>
      </c>
      <c r="B45" s="7" t="s">
        <v>58</v>
      </c>
      <c r="C45" s="19"/>
      <c r="D45" s="19"/>
      <c r="E45" s="19"/>
      <c r="F45" s="19"/>
      <c r="G45" s="49">
        <f t="shared" si="7"/>
        <v>0</v>
      </c>
      <c r="H45" s="37"/>
      <c r="I45" s="19"/>
      <c r="J45" s="19"/>
      <c r="K45" s="19"/>
      <c r="L45" s="19"/>
      <c r="M45" s="19"/>
      <c r="N45" s="38">
        <f t="shared" si="2"/>
        <v>0</v>
      </c>
      <c r="O45" s="37">
        <v>1000</v>
      </c>
      <c r="P45" s="19"/>
      <c r="Q45" s="19"/>
      <c r="R45" s="19"/>
      <c r="S45" s="19">
        <f t="shared" si="24"/>
        <v>1000</v>
      </c>
      <c r="T45" s="48">
        <f t="shared" si="25"/>
        <v>1000</v>
      </c>
    </row>
    <row r="46" spans="1:20" hidden="1" x14ac:dyDescent="0.25">
      <c r="A46" s="20">
        <v>54114</v>
      </c>
      <c r="B46" s="7" t="s">
        <v>59</v>
      </c>
      <c r="C46" s="19"/>
      <c r="D46" s="19"/>
      <c r="E46" s="19"/>
      <c r="F46" s="19"/>
      <c r="G46" s="49">
        <f t="shared" si="7"/>
        <v>0</v>
      </c>
      <c r="H46" s="37"/>
      <c r="I46" s="19"/>
      <c r="J46" s="19"/>
      <c r="K46" s="19"/>
      <c r="L46" s="19"/>
      <c r="M46" s="19"/>
      <c r="N46" s="38">
        <f t="shared" si="2"/>
        <v>0</v>
      </c>
      <c r="O46" s="37">
        <v>3000</v>
      </c>
      <c r="P46" s="19">
        <v>2000</v>
      </c>
      <c r="Q46" s="19">
        <v>2000</v>
      </c>
      <c r="R46" s="19">
        <v>1000</v>
      </c>
      <c r="S46" s="19">
        <f t="shared" si="24"/>
        <v>8000</v>
      </c>
      <c r="T46" s="48">
        <f t="shared" si="25"/>
        <v>8000</v>
      </c>
    </row>
    <row r="47" spans="1:20" hidden="1" x14ac:dyDescent="0.25">
      <c r="A47" s="20">
        <v>54115</v>
      </c>
      <c r="B47" s="7" t="s">
        <v>60</v>
      </c>
      <c r="C47" s="19"/>
      <c r="D47" s="19"/>
      <c r="E47" s="19"/>
      <c r="F47" s="19"/>
      <c r="G47" s="49">
        <f t="shared" si="7"/>
        <v>0</v>
      </c>
      <c r="H47" s="37"/>
      <c r="I47" s="19"/>
      <c r="J47" s="19"/>
      <c r="K47" s="19"/>
      <c r="L47" s="19"/>
      <c r="M47" s="19"/>
      <c r="N47" s="38">
        <f t="shared" si="2"/>
        <v>0</v>
      </c>
      <c r="O47" s="37">
        <v>6000</v>
      </c>
      <c r="P47" s="19">
        <v>2000</v>
      </c>
      <c r="Q47" s="19">
        <v>2000</v>
      </c>
      <c r="R47" s="19">
        <v>1000</v>
      </c>
      <c r="S47" s="19">
        <f t="shared" si="24"/>
        <v>11000</v>
      </c>
      <c r="T47" s="48">
        <f t="shared" si="25"/>
        <v>11000</v>
      </c>
    </row>
    <row r="48" spans="1:20" hidden="1" x14ac:dyDescent="0.25">
      <c r="A48" s="20">
        <v>54116</v>
      </c>
      <c r="B48" s="7" t="s">
        <v>61</v>
      </c>
      <c r="C48" s="19"/>
      <c r="D48" s="19"/>
      <c r="E48" s="19"/>
      <c r="F48" s="19"/>
      <c r="G48" s="49">
        <f t="shared" si="7"/>
        <v>0</v>
      </c>
      <c r="H48" s="37"/>
      <c r="I48" s="19"/>
      <c r="J48" s="19"/>
      <c r="K48" s="19"/>
      <c r="L48" s="19"/>
      <c r="M48" s="19"/>
      <c r="N48" s="38">
        <f t="shared" si="2"/>
        <v>0</v>
      </c>
      <c r="O48" s="37">
        <v>1000</v>
      </c>
      <c r="P48" s="19"/>
      <c r="Q48" s="19"/>
      <c r="R48" s="19"/>
      <c r="S48" s="19">
        <f t="shared" si="24"/>
        <v>1000</v>
      </c>
      <c r="T48" s="48">
        <f t="shared" si="25"/>
        <v>1000</v>
      </c>
    </row>
    <row r="49" spans="1:20" hidden="1" x14ac:dyDescent="0.25">
      <c r="A49" s="20">
        <v>54118</v>
      </c>
      <c r="B49" s="7" t="s">
        <v>62</v>
      </c>
      <c r="C49" s="19"/>
      <c r="D49" s="19"/>
      <c r="E49" s="19"/>
      <c r="F49" s="19"/>
      <c r="G49" s="49">
        <f t="shared" si="7"/>
        <v>0</v>
      </c>
      <c r="H49" s="37"/>
      <c r="I49" s="19"/>
      <c r="J49" s="19"/>
      <c r="K49" s="19"/>
      <c r="L49" s="19"/>
      <c r="M49" s="19"/>
      <c r="N49" s="38">
        <f t="shared" si="2"/>
        <v>0</v>
      </c>
      <c r="O49" s="37">
        <v>1000</v>
      </c>
      <c r="P49" s="19"/>
      <c r="Q49" s="19"/>
      <c r="R49" s="19"/>
      <c r="S49" s="19">
        <f t="shared" si="24"/>
        <v>1000</v>
      </c>
      <c r="T49" s="48">
        <f t="shared" si="25"/>
        <v>1000</v>
      </c>
    </row>
    <row r="50" spans="1:20" hidden="1" x14ac:dyDescent="0.25">
      <c r="A50" s="20">
        <v>54119</v>
      </c>
      <c r="B50" s="7" t="s">
        <v>63</v>
      </c>
      <c r="C50" s="19"/>
      <c r="D50" s="19"/>
      <c r="E50" s="19"/>
      <c r="F50" s="19"/>
      <c r="G50" s="49">
        <f t="shared" si="7"/>
        <v>0</v>
      </c>
      <c r="H50" s="37"/>
      <c r="I50" s="19"/>
      <c r="J50" s="19"/>
      <c r="K50" s="19"/>
      <c r="L50" s="19"/>
      <c r="M50" s="19"/>
      <c r="N50" s="38">
        <f t="shared" si="2"/>
        <v>0</v>
      </c>
      <c r="O50" s="37">
        <v>1500</v>
      </c>
      <c r="P50" s="19"/>
      <c r="Q50" s="19"/>
      <c r="R50" s="19"/>
      <c r="S50" s="19">
        <f t="shared" si="24"/>
        <v>1500</v>
      </c>
      <c r="T50" s="48">
        <f t="shared" si="25"/>
        <v>1500</v>
      </c>
    </row>
    <row r="51" spans="1:20" hidden="1" x14ac:dyDescent="0.25">
      <c r="A51" s="20">
        <v>54121</v>
      </c>
      <c r="B51" s="7" t="s">
        <v>64</v>
      </c>
      <c r="C51" s="19">
        <v>4000</v>
      </c>
      <c r="D51" s="19"/>
      <c r="E51" s="19"/>
      <c r="F51" s="19"/>
      <c r="G51" s="49">
        <f t="shared" si="7"/>
        <v>4000</v>
      </c>
      <c r="H51" s="37"/>
      <c r="I51" s="19"/>
      <c r="J51" s="19"/>
      <c r="K51" s="19"/>
      <c r="L51" s="19"/>
      <c r="M51" s="19"/>
      <c r="N51" s="38">
        <f t="shared" si="2"/>
        <v>0</v>
      </c>
      <c r="O51" s="37"/>
      <c r="P51" s="19"/>
      <c r="Q51" s="19"/>
      <c r="R51" s="19"/>
      <c r="S51" s="19">
        <f t="shared" si="24"/>
        <v>0</v>
      </c>
      <c r="T51" s="48">
        <f t="shared" si="25"/>
        <v>4000</v>
      </c>
    </row>
    <row r="52" spans="1:20" hidden="1" x14ac:dyDescent="0.25">
      <c r="A52" s="20">
        <v>54199</v>
      </c>
      <c r="B52" s="7" t="s">
        <v>47</v>
      </c>
      <c r="C52" s="19"/>
      <c r="D52" s="19"/>
      <c r="E52" s="19"/>
      <c r="F52" s="19"/>
      <c r="G52" s="49">
        <f t="shared" si="7"/>
        <v>0</v>
      </c>
      <c r="H52" s="37"/>
      <c r="I52" s="19"/>
      <c r="J52" s="19"/>
      <c r="K52" s="19"/>
      <c r="L52" s="19"/>
      <c r="M52" s="19"/>
      <c r="N52" s="38">
        <f t="shared" si="2"/>
        <v>0</v>
      </c>
      <c r="O52" s="37">
        <v>1000</v>
      </c>
      <c r="P52" s="19"/>
      <c r="Q52" s="19"/>
      <c r="R52" s="19"/>
      <c r="S52" s="19">
        <f t="shared" si="24"/>
        <v>1000</v>
      </c>
      <c r="T52" s="48">
        <f t="shared" si="25"/>
        <v>1000</v>
      </c>
    </row>
    <row r="53" spans="1:20" hidden="1" x14ac:dyDescent="0.25">
      <c r="A53" s="24">
        <v>542</v>
      </c>
      <c r="B53" s="25" t="s">
        <v>65</v>
      </c>
      <c r="C53" s="31">
        <f>SUM(C54:C58)</f>
        <v>110745.44</v>
      </c>
      <c r="D53" s="31">
        <f t="shared" ref="D53:T53" si="26">SUM(D54:D58)</f>
        <v>0</v>
      </c>
      <c r="E53" s="31">
        <f t="shared" si="26"/>
        <v>0</v>
      </c>
      <c r="F53" s="31">
        <f t="shared" si="26"/>
        <v>0</v>
      </c>
      <c r="G53" s="32">
        <f>SUM(G54:G58)</f>
        <v>110745.44</v>
      </c>
      <c r="H53" s="35">
        <f t="shared" si="26"/>
        <v>0</v>
      </c>
      <c r="I53" s="31">
        <f t="shared" si="26"/>
        <v>0</v>
      </c>
      <c r="J53" s="31">
        <f t="shared" si="26"/>
        <v>0</v>
      </c>
      <c r="K53" s="31">
        <f t="shared" si="26"/>
        <v>0</v>
      </c>
      <c r="L53" s="31">
        <f t="shared" si="26"/>
        <v>0</v>
      </c>
      <c r="M53" s="31">
        <f t="shared" si="26"/>
        <v>0</v>
      </c>
      <c r="N53" s="36">
        <f t="shared" si="26"/>
        <v>0</v>
      </c>
      <c r="O53" s="35">
        <f t="shared" si="26"/>
        <v>37125</v>
      </c>
      <c r="P53" s="31">
        <f t="shared" si="26"/>
        <v>0</v>
      </c>
      <c r="Q53" s="31">
        <f t="shared" si="26"/>
        <v>0</v>
      </c>
      <c r="R53" s="31">
        <f t="shared" si="26"/>
        <v>0</v>
      </c>
      <c r="S53" s="31">
        <f t="shared" si="26"/>
        <v>37125</v>
      </c>
      <c r="T53" s="36">
        <f t="shared" si="26"/>
        <v>147870.44</v>
      </c>
    </row>
    <row r="54" spans="1:20" hidden="1" x14ac:dyDescent="0.25">
      <c r="A54" s="20">
        <v>54201</v>
      </c>
      <c r="B54" s="7" t="s">
        <v>66</v>
      </c>
      <c r="C54" s="19">
        <v>49082.94</v>
      </c>
      <c r="D54" s="19"/>
      <c r="E54" s="19"/>
      <c r="F54" s="19"/>
      <c r="G54" s="49">
        <f t="shared" si="7"/>
        <v>49082.94</v>
      </c>
      <c r="H54" s="37"/>
      <c r="I54" s="19"/>
      <c r="J54" s="19"/>
      <c r="K54" s="19"/>
      <c r="L54" s="19"/>
      <c r="M54" s="19"/>
      <c r="N54" s="38">
        <f t="shared" si="2"/>
        <v>0</v>
      </c>
      <c r="O54" s="37">
        <v>16400</v>
      </c>
      <c r="P54" s="19"/>
      <c r="Q54" s="19"/>
      <c r="R54" s="19"/>
      <c r="S54" s="19">
        <f t="shared" ref="S54:S58" si="27">SUM(O54:R54)</f>
        <v>16400</v>
      </c>
      <c r="T54" s="48">
        <f t="shared" ref="T54:T58" si="28">S54+N54+G54</f>
        <v>65482.94</v>
      </c>
    </row>
    <row r="55" spans="1:20" hidden="1" x14ac:dyDescent="0.25">
      <c r="A55" s="21">
        <v>54202</v>
      </c>
      <c r="B55" s="7" t="s">
        <v>67</v>
      </c>
      <c r="C55" s="19">
        <f>944.73</f>
        <v>944.73</v>
      </c>
      <c r="D55" s="19"/>
      <c r="E55" s="19"/>
      <c r="F55" s="19"/>
      <c r="G55" s="49">
        <f t="shared" si="7"/>
        <v>944.73</v>
      </c>
      <c r="H55" s="37"/>
      <c r="I55" s="19"/>
      <c r="J55" s="19"/>
      <c r="K55" s="19"/>
      <c r="L55" s="19"/>
      <c r="M55" s="19"/>
      <c r="N55" s="38">
        <f t="shared" si="2"/>
        <v>0</v>
      </c>
      <c r="O55" s="37">
        <v>350</v>
      </c>
      <c r="P55" s="19"/>
      <c r="Q55" s="19"/>
      <c r="R55" s="19"/>
      <c r="S55" s="19">
        <f t="shared" si="27"/>
        <v>350</v>
      </c>
      <c r="T55" s="48">
        <f t="shared" si="28"/>
        <v>1294.73</v>
      </c>
    </row>
    <row r="56" spans="1:20" hidden="1" x14ac:dyDescent="0.25">
      <c r="A56" s="21">
        <v>54203</v>
      </c>
      <c r="B56" s="7" t="s">
        <v>68</v>
      </c>
      <c r="C56" s="19">
        <f>3217.77+4500+3500</f>
        <v>11217.77</v>
      </c>
      <c r="D56" s="19"/>
      <c r="E56" s="19"/>
      <c r="F56" s="19"/>
      <c r="G56" s="49">
        <f t="shared" si="7"/>
        <v>11217.77</v>
      </c>
      <c r="H56" s="37"/>
      <c r="I56" s="19"/>
      <c r="J56" s="19"/>
      <c r="K56" s="19"/>
      <c r="L56" s="19"/>
      <c r="M56" s="19"/>
      <c r="N56" s="38">
        <f t="shared" si="2"/>
        <v>0</v>
      </c>
      <c r="O56" s="37">
        <v>3775</v>
      </c>
      <c r="P56" s="19"/>
      <c r="Q56" s="19"/>
      <c r="R56" s="19"/>
      <c r="S56" s="19">
        <f t="shared" si="27"/>
        <v>3775</v>
      </c>
      <c r="T56" s="48">
        <f t="shared" si="28"/>
        <v>14992.77</v>
      </c>
    </row>
    <row r="57" spans="1:20" hidden="1" x14ac:dyDescent="0.25">
      <c r="A57" s="21">
        <v>54204</v>
      </c>
      <c r="B57" s="7" t="s">
        <v>69</v>
      </c>
      <c r="C57" s="19"/>
      <c r="D57" s="19"/>
      <c r="E57" s="19"/>
      <c r="F57" s="19"/>
      <c r="G57" s="49">
        <f t="shared" si="7"/>
        <v>0</v>
      </c>
      <c r="H57" s="37"/>
      <c r="I57" s="19"/>
      <c r="J57" s="19"/>
      <c r="K57" s="19"/>
      <c r="L57" s="19"/>
      <c r="M57" s="19"/>
      <c r="N57" s="38">
        <f t="shared" si="2"/>
        <v>0</v>
      </c>
      <c r="O57" s="37">
        <v>100</v>
      </c>
      <c r="P57" s="19"/>
      <c r="Q57" s="19"/>
      <c r="R57" s="19"/>
      <c r="S57" s="19">
        <f t="shared" si="27"/>
        <v>100</v>
      </c>
      <c r="T57" s="48">
        <f t="shared" si="28"/>
        <v>100</v>
      </c>
    </row>
    <row r="58" spans="1:20" hidden="1" x14ac:dyDescent="0.25">
      <c r="A58" s="21">
        <v>54205</v>
      </c>
      <c r="B58" s="7" t="s">
        <v>70</v>
      </c>
      <c r="C58" s="19">
        <v>49500</v>
      </c>
      <c r="D58" s="19"/>
      <c r="E58" s="19"/>
      <c r="F58" s="19"/>
      <c r="G58" s="49">
        <f t="shared" si="7"/>
        <v>49500</v>
      </c>
      <c r="H58" s="37"/>
      <c r="I58" s="19"/>
      <c r="J58" s="19"/>
      <c r="K58" s="19"/>
      <c r="L58" s="19"/>
      <c r="M58" s="19"/>
      <c r="N58" s="38">
        <f t="shared" si="2"/>
        <v>0</v>
      </c>
      <c r="O58" s="37">
        <v>16500</v>
      </c>
      <c r="P58" s="19"/>
      <c r="Q58" s="19"/>
      <c r="R58" s="19"/>
      <c r="S58" s="19">
        <f t="shared" si="27"/>
        <v>16500</v>
      </c>
      <c r="T58" s="48">
        <f t="shared" si="28"/>
        <v>66000</v>
      </c>
    </row>
    <row r="59" spans="1:20" hidden="1" x14ac:dyDescent="0.25">
      <c r="A59" s="26">
        <v>543</v>
      </c>
      <c r="B59" s="25" t="s">
        <v>71</v>
      </c>
      <c r="C59" s="31">
        <f>SUM(C60:C69)</f>
        <v>0</v>
      </c>
      <c r="D59" s="31">
        <f t="shared" ref="D59:S59" si="29">SUM(D60:D69)</f>
        <v>0</v>
      </c>
      <c r="E59" s="31">
        <f t="shared" si="29"/>
        <v>0</v>
      </c>
      <c r="F59" s="31">
        <f t="shared" si="29"/>
        <v>0</v>
      </c>
      <c r="G59" s="32">
        <f>SUM(G60:G69)</f>
        <v>0</v>
      </c>
      <c r="H59" s="35">
        <f t="shared" si="29"/>
        <v>0</v>
      </c>
      <c r="I59" s="31">
        <f t="shared" si="29"/>
        <v>0</v>
      </c>
      <c r="J59" s="31">
        <f t="shared" si="29"/>
        <v>0</v>
      </c>
      <c r="K59" s="31">
        <f t="shared" si="29"/>
        <v>0</v>
      </c>
      <c r="L59" s="31">
        <f t="shared" si="29"/>
        <v>0</v>
      </c>
      <c r="M59" s="31">
        <f t="shared" si="29"/>
        <v>0</v>
      </c>
      <c r="N59" s="36">
        <f t="shared" si="29"/>
        <v>0</v>
      </c>
      <c r="O59" s="35">
        <f t="shared" si="29"/>
        <v>48100</v>
      </c>
      <c r="P59" s="31">
        <f t="shared" si="29"/>
        <v>0</v>
      </c>
      <c r="Q59" s="31">
        <f t="shared" si="29"/>
        <v>0</v>
      </c>
      <c r="R59" s="31">
        <f t="shared" si="29"/>
        <v>0</v>
      </c>
      <c r="S59" s="31">
        <f t="shared" si="29"/>
        <v>48100</v>
      </c>
      <c r="T59" s="36">
        <f>SUM(T60:T69)</f>
        <v>48100</v>
      </c>
    </row>
    <row r="60" spans="1:20" hidden="1" x14ac:dyDescent="0.25">
      <c r="A60" s="21">
        <v>54301</v>
      </c>
      <c r="B60" s="7" t="s">
        <v>72</v>
      </c>
      <c r="C60" s="19"/>
      <c r="D60" s="19"/>
      <c r="E60" s="19"/>
      <c r="F60" s="19"/>
      <c r="G60" s="49">
        <f t="shared" si="7"/>
        <v>0</v>
      </c>
      <c r="H60" s="37"/>
      <c r="I60" s="19"/>
      <c r="J60" s="19"/>
      <c r="K60" s="19"/>
      <c r="L60" s="19"/>
      <c r="M60" s="19"/>
      <c r="N60" s="38">
        <f t="shared" si="2"/>
        <v>0</v>
      </c>
      <c r="O60" s="37">
        <v>10000</v>
      </c>
      <c r="P60" s="19"/>
      <c r="Q60" s="19"/>
      <c r="R60" s="19"/>
      <c r="S60" s="19">
        <f t="shared" ref="S60:S81" si="30">SUM(O60:R60)</f>
        <v>10000</v>
      </c>
      <c r="T60" s="48">
        <f t="shared" ref="T60:T69" si="31">S60+N60+G60</f>
        <v>10000</v>
      </c>
    </row>
    <row r="61" spans="1:20" hidden="1" x14ac:dyDescent="0.25">
      <c r="A61" s="21">
        <v>54302</v>
      </c>
      <c r="B61" s="7" t="s">
        <v>73</v>
      </c>
      <c r="C61" s="19"/>
      <c r="D61" s="19"/>
      <c r="E61" s="19"/>
      <c r="F61" s="19"/>
      <c r="G61" s="49">
        <f t="shared" si="7"/>
        <v>0</v>
      </c>
      <c r="H61" s="37"/>
      <c r="I61" s="19"/>
      <c r="J61" s="19"/>
      <c r="K61" s="19"/>
      <c r="L61" s="19"/>
      <c r="M61" s="19"/>
      <c r="N61" s="38">
        <f t="shared" si="2"/>
        <v>0</v>
      </c>
      <c r="O61" s="37">
        <v>100</v>
      </c>
      <c r="P61" s="19"/>
      <c r="Q61" s="19"/>
      <c r="R61" s="19"/>
      <c r="S61" s="19">
        <f t="shared" si="30"/>
        <v>100</v>
      </c>
      <c r="T61" s="48">
        <f t="shared" si="31"/>
        <v>100</v>
      </c>
    </row>
    <row r="62" spans="1:20" hidden="1" x14ac:dyDescent="0.25">
      <c r="A62" s="21">
        <v>54303</v>
      </c>
      <c r="B62" s="7" t="s">
        <v>74</v>
      </c>
      <c r="C62" s="19"/>
      <c r="D62" s="19"/>
      <c r="E62" s="19"/>
      <c r="F62" s="19"/>
      <c r="G62" s="49">
        <f t="shared" si="7"/>
        <v>0</v>
      </c>
      <c r="H62" s="37"/>
      <c r="I62" s="19"/>
      <c r="J62" s="19"/>
      <c r="K62" s="19"/>
      <c r="L62" s="19"/>
      <c r="M62" s="19"/>
      <c r="N62" s="38">
        <f t="shared" si="2"/>
        <v>0</v>
      </c>
      <c r="O62" s="37">
        <v>1500</v>
      </c>
      <c r="P62" s="19"/>
      <c r="Q62" s="19"/>
      <c r="R62" s="19"/>
      <c r="S62" s="19">
        <f t="shared" si="30"/>
        <v>1500</v>
      </c>
      <c r="T62" s="48">
        <f t="shared" si="31"/>
        <v>1500</v>
      </c>
    </row>
    <row r="63" spans="1:20" hidden="1" x14ac:dyDescent="0.25">
      <c r="A63" s="21">
        <v>54304</v>
      </c>
      <c r="B63" s="7" t="s">
        <v>75</v>
      </c>
      <c r="C63" s="19"/>
      <c r="D63" s="19"/>
      <c r="E63" s="19"/>
      <c r="F63" s="19"/>
      <c r="G63" s="49">
        <f t="shared" si="7"/>
        <v>0</v>
      </c>
      <c r="H63" s="37"/>
      <c r="I63" s="19"/>
      <c r="J63" s="19"/>
      <c r="K63" s="19"/>
      <c r="L63" s="19"/>
      <c r="M63" s="19"/>
      <c r="N63" s="38">
        <f t="shared" si="2"/>
        <v>0</v>
      </c>
      <c r="O63" s="37">
        <f>500*12</f>
        <v>6000</v>
      </c>
      <c r="P63" s="19"/>
      <c r="Q63" s="19"/>
      <c r="R63" s="19"/>
      <c r="S63" s="19">
        <f t="shared" si="30"/>
        <v>6000</v>
      </c>
      <c r="T63" s="48">
        <f t="shared" si="31"/>
        <v>6000</v>
      </c>
    </row>
    <row r="64" spans="1:20" hidden="1" x14ac:dyDescent="0.25">
      <c r="A64" s="21">
        <v>54305</v>
      </c>
      <c r="B64" s="7" t="s">
        <v>76</v>
      </c>
      <c r="C64" s="19"/>
      <c r="D64" s="19"/>
      <c r="E64" s="19"/>
      <c r="F64" s="19"/>
      <c r="G64" s="49">
        <f t="shared" si="7"/>
        <v>0</v>
      </c>
      <c r="H64" s="37"/>
      <c r="I64" s="19"/>
      <c r="J64" s="19"/>
      <c r="K64" s="19"/>
      <c r="L64" s="19"/>
      <c r="M64" s="19"/>
      <c r="N64" s="38">
        <f t="shared" si="2"/>
        <v>0</v>
      </c>
      <c r="O64" s="37">
        <f>600*12</f>
        <v>7200</v>
      </c>
      <c r="P64" s="19"/>
      <c r="Q64" s="19"/>
      <c r="R64" s="19"/>
      <c r="S64" s="19">
        <f t="shared" si="30"/>
        <v>7200</v>
      </c>
      <c r="T64" s="48">
        <f t="shared" si="31"/>
        <v>7200</v>
      </c>
    </row>
    <row r="65" spans="1:20" hidden="1" x14ac:dyDescent="0.25">
      <c r="A65" s="21">
        <v>54307</v>
      </c>
      <c r="B65" s="7" t="s">
        <v>77</v>
      </c>
      <c r="C65" s="19"/>
      <c r="D65" s="19"/>
      <c r="E65" s="19"/>
      <c r="F65" s="19"/>
      <c r="G65" s="49">
        <f t="shared" si="7"/>
        <v>0</v>
      </c>
      <c r="H65" s="37"/>
      <c r="I65" s="19"/>
      <c r="J65" s="19"/>
      <c r="K65" s="19"/>
      <c r="L65" s="19"/>
      <c r="M65" s="19"/>
      <c r="N65" s="38">
        <f t="shared" si="2"/>
        <v>0</v>
      </c>
      <c r="O65" s="37">
        <v>100</v>
      </c>
      <c r="P65" s="19"/>
      <c r="Q65" s="19"/>
      <c r="R65" s="19"/>
      <c r="S65" s="19">
        <f t="shared" si="30"/>
        <v>100</v>
      </c>
      <c r="T65" s="48">
        <f t="shared" si="31"/>
        <v>100</v>
      </c>
    </row>
    <row r="66" spans="1:20" hidden="1" x14ac:dyDescent="0.25">
      <c r="A66" s="21">
        <v>54311</v>
      </c>
      <c r="B66" s="7" t="s">
        <v>78</v>
      </c>
      <c r="C66" s="19"/>
      <c r="D66" s="19"/>
      <c r="E66" s="19"/>
      <c r="F66" s="19"/>
      <c r="G66" s="49">
        <f t="shared" si="7"/>
        <v>0</v>
      </c>
      <c r="H66" s="37"/>
      <c r="I66" s="19"/>
      <c r="J66" s="19"/>
      <c r="K66" s="19"/>
      <c r="L66" s="19"/>
      <c r="M66" s="19"/>
      <c r="N66" s="38">
        <f t="shared" si="2"/>
        <v>0</v>
      </c>
      <c r="O66" s="37">
        <v>100</v>
      </c>
      <c r="P66" s="19"/>
      <c r="Q66" s="19"/>
      <c r="R66" s="19"/>
      <c r="S66" s="19">
        <f t="shared" si="30"/>
        <v>100</v>
      </c>
      <c r="T66" s="48">
        <f t="shared" si="31"/>
        <v>100</v>
      </c>
    </row>
    <row r="67" spans="1:20" hidden="1" x14ac:dyDescent="0.25">
      <c r="A67" s="21">
        <v>54313</v>
      </c>
      <c r="B67" s="7" t="s">
        <v>79</v>
      </c>
      <c r="C67" s="19"/>
      <c r="D67" s="19"/>
      <c r="E67" s="19"/>
      <c r="F67" s="19"/>
      <c r="G67" s="49">
        <f t="shared" si="7"/>
        <v>0</v>
      </c>
      <c r="H67" s="37"/>
      <c r="I67" s="19"/>
      <c r="J67" s="19"/>
      <c r="K67" s="19"/>
      <c r="L67" s="19"/>
      <c r="M67" s="19"/>
      <c r="N67" s="38">
        <f t="shared" si="2"/>
        <v>0</v>
      </c>
      <c r="O67" s="37">
        <f>300*12</f>
        <v>3600</v>
      </c>
      <c r="P67" s="19"/>
      <c r="Q67" s="19"/>
      <c r="R67" s="19"/>
      <c r="S67" s="19">
        <f t="shared" si="30"/>
        <v>3600</v>
      </c>
      <c r="T67" s="48">
        <f t="shared" si="31"/>
        <v>3600</v>
      </c>
    </row>
    <row r="68" spans="1:20" hidden="1" x14ac:dyDescent="0.25">
      <c r="A68" s="21">
        <v>54314</v>
      </c>
      <c r="B68" s="7" t="s">
        <v>80</v>
      </c>
      <c r="C68" s="19"/>
      <c r="D68" s="19"/>
      <c r="E68" s="19"/>
      <c r="F68" s="19"/>
      <c r="G68" s="49">
        <f t="shared" si="7"/>
        <v>0</v>
      </c>
      <c r="H68" s="37"/>
      <c r="I68" s="19"/>
      <c r="J68" s="19"/>
      <c r="K68" s="19"/>
      <c r="L68" s="19"/>
      <c r="M68" s="19"/>
      <c r="N68" s="38">
        <f t="shared" si="2"/>
        <v>0</v>
      </c>
      <c r="O68" s="37">
        <v>17000</v>
      </c>
      <c r="P68" s="19"/>
      <c r="Q68" s="19"/>
      <c r="R68" s="19"/>
      <c r="S68" s="19">
        <f t="shared" si="30"/>
        <v>17000</v>
      </c>
      <c r="T68" s="48">
        <f t="shared" si="31"/>
        <v>17000</v>
      </c>
    </row>
    <row r="69" spans="1:20" hidden="1" x14ac:dyDescent="0.25">
      <c r="A69" s="21">
        <v>54316</v>
      </c>
      <c r="B69" s="7" t="s">
        <v>135</v>
      </c>
      <c r="C69" s="19"/>
      <c r="D69" s="19"/>
      <c r="E69" s="19"/>
      <c r="F69" s="19"/>
      <c r="G69" s="49">
        <f t="shared" si="7"/>
        <v>0</v>
      </c>
      <c r="H69" s="37"/>
      <c r="I69" s="19"/>
      <c r="J69" s="19"/>
      <c r="K69" s="19"/>
      <c r="L69" s="19"/>
      <c r="M69" s="19"/>
      <c r="N69" s="38">
        <f t="shared" si="2"/>
        <v>0</v>
      </c>
      <c r="O69" s="37">
        <v>2500</v>
      </c>
      <c r="P69" s="19"/>
      <c r="Q69" s="19"/>
      <c r="R69" s="19"/>
      <c r="S69" s="19">
        <f t="shared" si="30"/>
        <v>2500</v>
      </c>
      <c r="T69" s="48">
        <f t="shared" si="31"/>
        <v>2500</v>
      </c>
    </row>
    <row r="70" spans="1:20" hidden="1" x14ac:dyDescent="0.25">
      <c r="A70" s="26">
        <v>544</v>
      </c>
      <c r="B70" s="25" t="s">
        <v>86</v>
      </c>
      <c r="C70" s="25"/>
      <c r="D70" s="29">
        <f t="shared" ref="D70:S70" si="32">SUM(D71:D73)</f>
        <v>0</v>
      </c>
      <c r="E70" s="29">
        <f t="shared" si="32"/>
        <v>0</v>
      </c>
      <c r="F70" s="29">
        <f t="shared" si="32"/>
        <v>0</v>
      </c>
      <c r="G70" s="34">
        <f>SUM(G71:G73)</f>
        <v>0</v>
      </c>
      <c r="H70" s="39">
        <f t="shared" si="32"/>
        <v>0</v>
      </c>
      <c r="I70" s="29">
        <f t="shared" si="32"/>
        <v>0</v>
      </c>
      <c r="J70" s="29">
        <f t="shared" si="32"/>
        <v>0</v>
      </c>
      <c r="K70" s="29">
        <f t="shared" si="32"/>
        <v>0</v>
      </c>
      <c r="L70" s="29">
        <f t="shared" si="32"/>
        <v>0</v>
      </c>
      <c r="M70" s="29">
        <f t="shared" si="32"/>
        <v>0</v>
      </c>
      <c r="N70" s="40">
        <f t="shared" si="32"/>
        <v>0</v>
      </c>
      <c r="O70" s="35">
        <f t="shared" si="32"/>
        <v>3500</v>
      </c>
      <c r="P70" s="29">
        <f t="shared" si="32"/>
        <v>0</v>
      </c>
      <c r="Q70" s="29">
        <f t="shared" si="32"/>
        <v>0</v>
      </c>
      <c r="R70" s="29">
        <f t="shared" si="32"/>
        <v>0</v>
      </c>
      <c r="S70" s="31">
        <f t="shared" si="32"/>
        <v>3500</v>
      </c>
      <c r="T70" s="40">
        <f>SUM(T71:T73)</f>
        <v>3500</v>
      </c>
    </row>
    <row r="71" spans="1:20" hidden="1" x14ac:dyDescent="0.25">
      <c r="A71" s="21">
        <v>54401</v>
      </c>
      <c r="B71" s="7" t="s">
        <v>87</v>
      </c>
      <c r="C71" s="7"/>
      <c r="D71" s="30"/>
      <c r="E71" s="19"/>
      <c r="F71" s="19"/>
      <c r="G71" s="49">
        <f t="shared" si="7"/>
        <v>0</v>
      </c>
      <c r="H71" s="37"/>
      <c r="I71" s="19"/>
      <c r="J71" s="19"/>
      <c r="K71" s="19"/>
      <c r="L71" s="19"/>
      <c r="M71" s="19"/>
      <c r="N71" s="41"/>
      <c r="O71" s="37">
        <v>800</v>
      </c>
      <c r="P71" s="19"/>
      <c r="Q71" s="19"/>
      <c r="R71" s="19"/>
      <c r="S71" s="19">
        <f t="shared" si="30"/>
        <v>800</v>
      </c>
      <c r="T71" s="48">
        <f t="shared" ref="T71:T73" si="33">S71+N71+G71</f>
        <v>800</v>
      </c>
    </row>
    <row r="72" spans="1:20" hidden="1" x14ac:dyDescent="0.25">
      <c r="A72" s="21">
        <v>54402</v>
      </c>
      <c r="B72" s="7" t="s">
        <v>88</v>
      </c>
      <c r="C72" s="7"/>
      <c r="D72" s="30"/>
      <c r="E72" s="19"/>
      <c r="F72" s="19"/>
      <c r="G72" s="49">
        <f t="shared" si="7"/>
        <v>0</v>
      </c>
      <c r="H72" s="37"/>
      <c r="I72" s="19"/>
      <c r="J72" s="19"/>
      <c r="K72" s="19"/>
      <c r="L72" s="19"/>
      <c r="M72" s="19"/>
      <c r="N72" s="41"/>
      <c r="O72" s="37">
        <v>2000</v>
      </c>
      <c r="P72" s="19"/>
      <c r="Q72" s="19"/>
      <c r="R72" s="19"/>
      <c r="S72" s="19">
        <f t="shared" si="30"/>
        <v>2000</v>
      </c>
      <c r="T72" s="48">
        <f t="shared" si="33"/>
        <v>2000</v>
      </c>
    </row>
    <row r="73" spans="1:20" hidden="1" x14ac:dyDescent="0.25">
      <c r="A73" s="21">
        <v>54403</v>
      </c>
      <c r="B73" s="7" t="s">
        <v>89</v>
      </c>
      <c r="C73" s="7"/>
      <c r="D73" s="30"/>
      <c r="E73" s="19"/>
      <c r="F73" s="19"/>
      <c r="G73" s="49">
        <f t="shared" si="7"/>
        <v>0</v>
      </c>
      <c r="H73" s="37"/>
      <c r="I73" s="19"/>
      <c r="J73" s="19"/>
      <c r="K73" s="19"/>
      <c r="L73" s="19"/>
      <c r="M73" s="19"/>
      <c r="N73" s="41"/>
      <c r="O73" s="37">
        <v>700</v>
      </c>
      <c r="P73" s="19"/>
      <c r="Q73" s="19"/>
      <c r="R73" s="19"/>
      <c r="S73" s="19">
        <f t="shared" si="30"/>
        <v>700</v>
      </c>
      <c r="T73" s="48">
        <f t="shared" si="33"/>
        <v>700</v>
      </c>
    </row>
    <row r="74" spans="1:20" hidden="1" x14ac:dyDescent="0.25">
      <c r="A74" s="26">
        <v>545</v>
      </c>
      <c r="B74" s="25" t="s">
        <v>90</v>
      </c>
      <c r="C74" s="25"/>
      <c r="D74" s="31">
        <f>SUM(D75:D79)</f>
        <v>0</v>
      </c>
      <c r="E74" s="31">
        <f>SUM(E75:E79)</f>
        <v>0</v>
      </c>
      <c r="F74" s="31">
        <f t="shared" ref="F74:T74" si="34">SUM(F75:F79)</f>
        <v>0</v>
      </c>
      <c r="G74" s="32">
        <f t="shared" si="34"/>
        <v>0</v>
      </c>
      <c r="H74" s="35">
        <f t="shared" si="34"/>
        <v>0</v>
      </c>
      <c r="I74" s="31">
        <f t="shared" si="34"/>
        <v>0</v>
      </c>
      <c r="J74" s="31">
        <f t="shared" si="34"/>
        <v>0</v>
      </c>
      <c r="K74" s="31">
        <f t="shared" si="34"/>
        <v>0</v>
      </c>
      <c r="L74" s="31">
        <f t="shared" si="34"/>
        <v>0</v>
      </c>
      <c r="M74" s="31">
        <f t="shared" si="34"/>
        <v>0</v>
      </c>
      <c r="N74" s="36">
        <f t="shared" si="34"/>
        <v>0</v>
      </c>
      <c r="O74" s="35">
        <f t="shared" si="34"/>
        <v>5261.3600000000006</v>
      </c>
      <c r="P74" s="31">
        <f t="shared" si="34"/>
        <v>0</v>
      </c>
      <c r="Q74" s="31">
        <f t="shared" si="34"/>
        <v>0</v>
      </c>
      <c r="R74" s="31">
        <f t="shared" si="34"/>
        <v>0</v>
      </c>
      <c r="S74" s="31">
        <f t="shared" si="34"/>
        <v>5261.3600000000006</v>
      </c>
      <c r="T74" s="36">
        <f t="shared" si="34"/>
        <v>5261.3600000000006</v>
      </c>
    </row>
    <row r="75" spans="1:20" hidden="1" x14ac:dyDescent="0.25">
      <c r="A75" s="21">
        <v>54502</v>
      </c>
      <c r="B75" s="7" t="s">
        <v>91</v>
      </c>
      <c r="C75" s="7"/>
      <c r="D75" s="30"/>
      <c r="E75" s="19"/>
      <c r="F75" s="19"/>
      <c r="G75" s="49">
        <f t="shared" si="7"/>
        <v>0</v>
      </c>
      <c r="H75" s="37"/>
      <c r="I75" s="19"/>
      <c r="J75" s="19"/>
      <c r="K75" s="19"/>
      <c r="L75" s="19"/>
      <c r="M75" s="19"/>
      <c r="N75" s="41"/>
      <c r="O75" s="37"/>
      <c r="P75" s="19"/>
      <c r="Q75" s="19"/>
      <c r="R75" s="19"/>
      <c r="S75" s="19">
        <f t="shared" si="30"/>
        <v>0</v>
      </c>
      <c r="T75" s="48">
        <f t="shared" ref="T75:T79" si="35">S75+N75+G75</f>
        <v>0</v>
      </c>
    </row>
    <row r="76" spans="1:20" hidden="1" x14ac:dyDescent="0.25">
      <c r="A76" s="21">
        <v>54503</v>
      </c>
      <c r="B76" s="7" t="s">
        <v>92</v>
      </c>
      <c r="C76" s="7"/>
      <c r="D76" s="30"/>
      <c r="E76" s="19"/>
      <c r="F76" s="19"/>
      <c r="G76" s="49">
        <f t="shared" si="7"/>
        <v>0</v>
      </c>
      <c r="H76" s="37"/>
      <c r="I76" s="19"/>
      <c r="J76" s="19"/>
      <c r="K76" s="19"/>
      <c r="L76" s="19"/>
      <c r="M76" s="19"/>
      <c r="N76" s="41"/>
      <c r="O76" s="37">
        <v>761.36</v>
      </c>
      <c r="P76" s="19"/>
      <c r="Q76" s="19"/>
      <c r="R76" s="19"/>
      <c r="S76" s="19">
        <f t="shared" si="30"/>
        <v>761.36</v>
      </c>
      <c r="T76" s="48">
        <f t="shared" si="35"/>
        <v>761.36</v>
      </c>
    </row>
    <row r="77" spans="1:20" hidden="1" x14ac:dyDescent="0.25">
      <c r="A77" s="21">
        <v>54504</v>
      </c>
      <c r="B77" s="7" t="s">
        <v>93</v>
      </c>
      <c r="C77" s="7"/>
      <c r="D77" s="30"/>
      <c r="E77" s="19"/>
      <c r="F77" s="19"/>
      <c r="G77" s="49">
        <f t="shared" si="7"/>
        <v>0</v>
      </c>
      <c r="H77" s="37"/>
      <c r="I77" s="19"/>
      <c r="J77" s="19"/>
      <c r="K77" s="19"/>
      <c r="L77" s="19"/>
      <c r="M77" s="19"/>
      <c r="N77" s="41"/>
      <c r="O77" s="37">
        <v>3000</v>
      </c>
      <c r="P77" s="19"/>
      <c r="Q77" s="19"/>
      <c r="R77" s="19"/>
      <c r="S77" s="19">
        <f t="shared" si="30"/>
        <v>3000</v>
      </c>
      <c r="T77" s="48">
        <f t="shared" si="35"/>
        <v>3000</v>
      </c>
    </row>
    <row r="78" spans="1:20" hidden="1" x14ac:dyDescent="0.25">
      <c r="A78" s="21">
        <v>54505</v>
      </c>
      <c r="B78" s="7" t="s">
        <v>94</v>
      </c>
      <c r="C78" s="7"/>
      <c r="D78" s="30"/>
      <c r="E78" s="19"/>
      <c r="F78" s="19"/>
      <c r="G78" s="49">
        <f t="shared" si="7"/>
        <v>0</v>
      </c>
      <c r="H78" s="37"/>
      <c r="I78" s="19"/>
      <c r="J78" s="19"/>
      <c r="K78" s="19"/>
      <c r="L78" s="19"/>
      <c r="M78" s="19"/>
      <c r="N78" s="41"/>
      <c r="O78" s="37">
        <v>1500</v>
      </c>
      <c r="P78" s="19"/>
      <c r="Q78" s="19"/>
      <c r="R78" s="19"/>
      <c r="S78" s="19">
        <f t="shared" si="30"/>
        <v>1500</v>
      </c>
      <c r="T78" s="48">
        <f t="shared" si="35"/>
        <v>1500</v>
      </c>
    </row>
    <row r="79" spans="1:20" hidden="1" x14ac:dyDescent="0.25">
      <c r="A79" s="21">
        <v>54599</v>
      </c>
      <c r="B79" s="7" t="s">
        <v>95</v>
      </c>
      <c r="C79" s="7"/>
      <c r="D79" s="30"/>
      <c r="E79" s="19"/>
      <c r="F79" s="19"/>
      <c r="G79" s="49">
        <f t="shared" si="7"/>
        <v>0</v>
      </c>
      <c r="H79" s="37"/>
      <c r="I79" s="19"/>
      <c r="J79" s="19"/>
      <c r="K79" s="19"/>
      <c r="L79" s="19"/>
      <c r="M79" s="19"/>
      <c r="N79" s="41"/>
      <c r="O79" s="37"/>
      <c r="P79" s="19"/>
      <c r="Q79" s="19"/>
      <c r="R79" s="19"/>
      <c r="S79" s="19">
        <f t="shared" si="30"/>
        <v>0</v>
      </c>
      <c r="T79" s="48">
        <f t="shared" si="35"/>
        <v>0</v>
      </c>
    </row>
    <row r="80" spans="1:20" hidden="1" x14ac:dyDescent="0.25">
      <c r="A80" s="26">
        <v>546</v>
      </c>
      <c r="B80" s="25" t="s">
        <v>96</v>
      </c>
      <c r="C80" s="25"/>
      <c r="D80" s="31">
        <f>D81</f>
        <v>0</v>
      </c>
      <c r="E80" s="31">
        <f>E81</f>
        <v>0</v>
      </c>
      <c r="F80" s="31">
        <f t="shared" ref="F80:T80" si="36">F81</f>
        <v>0</v>
      </c>
      <c r="G80" s="32">
        <f t="shared" si="36"/>
        <v>0</v>
      </c>
      <c r="H80" s="35">
        <f t="shared" si="36"/>
        <v>0</v>
      </c>
      <c r="I80" s="31">
        <f t="shared" si="36"/>
        <v>0</v>
      </c>
      <c r="J80" s="31">
        <f t="shared" si="36"/>
        <v>0</v>
      </c>
      <c r="K80" s="31">
        <f t="shared" si="36"/>
        <v>0</v>
      </c>
      <c r="L80" s="31">
        <f t="shared" si="36"/>
        <v>0</v>
      </c>
      <c r="M80" s="31">
        <f t="shared" si="36"/>
        <v>0</v>
      </c>
      <c r="N80" s="36">
        <f t="shared" si="36"/>
        <v>0</v>
      </c>
      <c r="O80" s="35">
        <f t="shared" si="36"/>
        <v>0</v>
      </c>
      <c r="P80" s="31">
        <f t="shared" si="36"/>
        <v>0</v>
      </c>
      <c r="Q80" s="31">
        <f t="shared" si="36"/>
        <v>0</v>
      </c>
      <c r="R80" s="31">
        <f t="shared" si="36"/>
        <v>0</v>
      </c>
      <c r="S80" s="31">
        <f>S81</f>
        <v>0</v>
      </c>
      <c r="T80" s="36">
        <f t="shared" si="36"/>
        <v>0</v>
      </c>
    </row>
    <row r="81" spans="1:20" hidden="1" x14ac:dyDescent="0.25">
      <c r="A81" s="21">
        <v>54602</v>
      </c>
      <c r="B81" s="7" t="s">
        <v>97</v>
      </c>
      <c r="C81" s="7"/>
      <c r="D81" s="19"/>
      <c r="E81" s="19"/>
      <c r="F81" s="19"/>
      <c r="G81" s="49">
        <f t="shared" si="7"/>
        <v>0</v>
      </c>
      <c r="H81" s="37"/>
      <c r="I81" s="19"/>
      <c r="J81" s="19"/>
      <c r="K81" s="19"/>
      <c r="L81" s="19"/>
      <c r="M81" s="19"/>
      <c r="N81" s="41"/>
      <c r="O81" s="37"/>
      <c r="P81" s="19"/>
      <c r="Q81" s="19"/>
      <c r="R81" s="19"/>
      <c r="S81" s="19">
        <f t="shared" si="30"/>
        <v>0</v>
      </c>
      <c r="T81" s="48">
        <f t="shared" ref="T81" si="37">S81+N81+G81</f>
        <v>0</v>
      </c>
    </row>
    <row r="82" spans="1:20" hidden="1" x14ac:dyDescent="0.25">
      <c r="A82" s="26">
        <v>55</v>
      </c>
      <c r="B82" s="25" t="s">
        <v>98</v>
      </c>
      <c r="C82" s="25"/>
      <c r="D82" s="31">
        <f>D83+D86+D89</f>
        <v>0</v>
      </c>
      <c r="E82" s="31">
        <f>E83+E86+E89</f>
        <v>0</v>
      </c>
      <c r="F82" s="31">
        <f t="shared" ref="F82:T82" si="38">F83+F86+F89</f>
        <v>0</v>
      </c>
      <c r="G82" s="32">
        <f t="shared" si="38"/>
        <v>0</v>
      </c>
      <c r="H82" s="35">
        <f t="shared" si="38"/>
        <v>0</v>
      </c>
      <c r="I82" s="31">
        <f t="shared" si="38"/>
        <v>0</v>
      </c>
      <c r="J82" s="31">
        <f t="shared" si="38"/>
        <v>0</v>
      </c>
      <c r="K82" s="31">
        <f t="shared" si="38"/>
        <v>0</v>
      </c>
      <c r="L82" s="31">
        <f t="shared" si="38"/>
        <v>0</v>
      </c>
      <c r="M82" s="31">
        <f t="shared" si="38"/>
        <v>0</v>
      </c>
      <c r="N82" s="36">
        <f t="shared" si="38"/>
        <v>0</v>
      </c>
      <c r="O82" s="35">
        <f t="shared" si="38"/>
        <v>3000</v>
      </c>
      <c r="P82" s="31">
        <f t="shared" si="38"/>
        <v>0</v>
      </c>
      <c r="Q82" s="31">
        <f t="shared" si="38"/>
        <v>0</v>
      </c>
      <c r="R82" s="31">
        <f t="shared" si="38"/>
        <v>0</v>
      </c>
      <c r="S82" s="31">
        <f>S83+S86+S89</f>
        <v>3000</v>
      </c>
      <c r="T82" s="36">
        <f t="shared" si="38"/>
        <v>3000</v>
      </c>
    </row>
    <row r="83" spans="1:20" hidden="1" x14ac:dyDescent="0.25">
      <c r="A83" s="26">
        <v>553</v>
      </c>
      <c r="B83" s="25" t="s">
        <v>99</v>
      </c>
      <c r="C83" s="25"/>
      <c r="D83" s="31">
        <f>SUM(D84:D85)</f>
        <v>0</v>
      </c>
      <c r="E83" s="31">
        <f>SUM(E84:E85)</f>
        <v>0</v>
      </c>
      <c r="F83" s="31">
        <f t="shared" ref="F83:T83" si="39">SUM(F84:F85)</f>
        <v>0</v>
      </c>
      <c r="G83" s="32">
        <f t="shared" si="39"/>
        <v>0</v>
      </c>
      <c r="H83" s="35">
        <f t="shared" si="39"/>
        <v>0</v>
      </c>
      <c r="I83" s="31">
        <f t="shared" si="39"/>
        <v>0</v>
      </c>
      <c r="J83" s="31">
        <f t="shared" si="39"/>
        <v>0</v>
      </c>
      <c r="K83" s="31">
        <f t="shared" si="39"/>
        <v>0</v>
      </c>
      <c r="L83" s="31">
        <f t="shared" si="39"/>
        <v>0</v>
      </c>
      <c r="M83" s="31">
        <f t="shared" si="39"/>
        <v>0</v>
      </c>
      <c r="N83" s="36">
        <f t="shared" si="39"/>
        <v>0</v>
      </c>
      <c r="O83" s="35">
        <f t="shared" si="39"/>
        <v>0</v>
      </c>
      <c r="P83" s="31">
        <f t="shared" si="39"/>
        <v>0</v>
      </c>
      <c r="Q83" s="31">
        <f t="shared" si="39"/>
        <v>0</v>
      </c>
      <c r="R83" s="31">
        <f t="shared" si="39"/>
        <v>0</v>
      </c>
      <c r="S83" s="31">
        <f t="shared" si="39"/>
        <v>0</v>
      </c>
      <c r="T83" s="36">
        <f t="shared" si="39"/>
        <v>0</v>
      </c>
    </row>
    <row r="84" spans="1:20" hidden="1" x14ac:dyDescent="0.25">
      <c r="A84" s="21">
        <v>55302</v>
      </c>
      <c r="B84" s="7" t="s">
        <v>100</v>
      </c>
      <c r="C84" s="7"/>
      <c r="D84" s="19"/>
      <c r="E84" s="19"/>
      <c r="F84" s="19"/>
      <c r="G84" s="49">
        <f t="shared" ref="G84:G85" si="40">C84+D84+E84+F84</f>
        <v>0</v>
      </c>
      <c r="H84" s="37"/>
      <c r="I84" s="19"/>
      <c r="J84" s="19"/>
      <c r="K84" s="19"/>
      <c r="L84" s="19"/>
      <c r="M84" s="19"/>
      <c r="N84" s="41"/>
      <c r="O84" s="37"/>
      <c r="P84" s="19"/>
      <c r="Q84" s="19"/>
      <c r="R84" s="19"/>
      <c r="S84" s="19">
        <f t="shared" ref="S84:S85" si="41">SUM(O84:R84)</f>
        <v>0</v>
      </c>
      <c r="T84" s="48">
        <f t="shared" ref="T84:T85" si="42">S84+N84+G84</f>
        <v>0</v>
      </c>
    </row>
    <row r="85" spans="1:20" hidden="1" x14ac:dyDescent="0.25">
      <c r="A85" s="21">
        <v>55304</v>
      </c>
      <c r="B85" s="7" t="s">
        <v>101</v>
      </c>
      <c r="C85" s="7"/>
      <c r="D85" s="19"/>
      <c r="E85" s="19"/>
      <c r="F85" s="19"/>
      <c r="G85" s="49">
        <f t="shared" si="40"/>
        <v>0</v>
      </c>
      <c r="H85" s="37"/>
      <c r="I85" s="19"/>
      <c r="J85" s="19"/>
      <c r="K85" s="19"/>
      <c r="L85" s="19"/>
      <c r="M85" s="19"/>
      <c r="N85" s="41"/>
      <c r="O85" s="37"/>
      <c r="P85" s="19"/>
      <c r="Q85" s="19"/>
      <c r="R85" s="19"/>
      <c r="S85" s="19">
        <f t="shared" si="41"/>
        <v>0</v>
      </c>
      <c r="T85" s="48">
        <f t="shared" si="42"/>
        <v>0</v>
      </c>
    </row>
    <row r="86" spans="1:20" hidden="1" x14ac:dyDescent="0.25">
      <c r="A86" s="26">
        <v>556</v>
      </c>
      <c r="B86" s="25" t="s">
        <v>102</v>
      </c>
      <c r="C86" s="25"/>
      <c r="D86" s="31">
        <f>SUM(D87:D88)</f>
        <v>0</v>
      </c>
      <c r="E86" s="31">
        <f>SUM(E87:E88)</f>
        <v>0</v>
      </c>
      <c r="F86" s="31">
        <f t="shared" ref="F86:T86" si="43">SUM(F87:F88)</f>
        <v>0</v>
      </c>
      <c r="G86" s="32">
        <f t="shared" si="43"/>
        <v>0</v>
      </c>
      <c r="H86" s="35">
        <f t="shared" si="43"/>
        <v>0</v>
      </c>
      <c r="I86" s="31">
        <f t="shared" si="43"/>
        <v>0</v>
      </c>
      <c r="J86" s="31">
        <f t="shared" si="43"/>
        <v>0</v>
      </c>
      <c r="K86" s="31">
        <f t="shared" si="43"/>
        <v>0</v>
      </c>
      <c r="L86" s="31">
        <f t="shared" si="43"/>
        <v>0</v>
      </c>
      <c r="M86" s="31">
        <f t="shared" si="43"/>
        <v>0</v>
      </c>
      <c r="N86" s="36">
        <f t="shared" si="43"/>
        <v>0</v>
      </c>
      <c r="O86" s="35">
        <f t="shared" si="43"/>
        <v>3000</v>
      </c>
      <c r="P86" s="31">
        <f t="shared" si="43"/>
        <v>0</v>
      </c>
      <c r="Q86" s="31">
        <f t="shared" si="43"/>
        <v>0</v>
      </c>
      <c r="R86" s="31">
        <f t="shared" si="43"/>
        <v>0</v>
      </c>
      <c r="S86" s="31">
        <f t="shared" si="43"/>
        <v>3000</v>
      </c>
      <c r="T86" s="36">
        <f t="shared" si="43"/>
        <v>3000</v>
      </c>
    </row>
    <row r="87" spans="1:20" hidden="1" x14ac:dyDescent="0.25">
      <c r="A87" s="21">
        <v>55602</v>
      </c>
      <c r="B87" s="7" t="s">
        <v>103</v>
      </c>
      <c r="C87" s="7"/>
      <c r="D87" s="19"/>
      <c r="E87" s="19"/>
      <c r="F87" s="19"/>
      <c r="G87" s="49">
        <f t="shared" ref="G87:G88" si="44">C87+D87+E87+F87</f>
        <v>0</v>
      </c>
      <c r="H87" s="37"/>
      <c r="I87" s="19"/>
      <c r="J87" s="19"/>
      <c r="K87" s="19"/>
      <c r="L87" s="19"/>
      <c r="M87" s="19"/>
      <c r="N87" s="41"/>
      <c r="O87" s="37">
        <v>3000</v>
      </c>
      <c r="P87" s="19"/>
      <c r="Q87" s="19"/>
      <c r="R87" s="19"/>
      <c r="S87" s="19">
        <f t="shared" ref="S87:S88" si="45">SUM(O87:R87)</f>
        <v>3000</v>
      </c>
      <c r="T87" s="48">
        <f t="shared" ref="T87:T88" si="46">S87+N87+G87</f>
        <v>3000</v>
      </c>
    </row>
    <row r="88" spans="1:20" hidden="1" x14ac:dyDescent="0.25">
      <c r="A88" s="21">
        <v>55603</v>
      </c>
      <c r="B88" s="7" t="s">
        <v>104</v>
      </c>
      <c r="C88" s="7"/>
      <c r="D88" s="19"/>
      <c r="E88" s="19"/>
      <c r="F88" s="19"/>
      <c r="G88" s="49">
        <f t="shared" si="44"/>
        <v>0</v>
      </c>
      <c r="H88" s="37"/>
      <c r="I88" s="19"/>
      <c r="J88" s="19"/>
      <c r="K88" s="19"/>
      <c r="L88" s="19"/>
      <c r="M88" s="19"/>
      <c r="N88" s="41"/>
      <c r="O88" s="37"/>
      <c r="P88" s="19"/>
      <c r="Q88" s="19"/>
      <c r="R88" s="19"/>
      <c r="S88" s="19">
        <f t="shared" si="45"/>
        <v>0</v>
      </c>
      <c r="T88" s="48">
        <f t="shared" si="46"/>
        <v>0</v>
      </c>
    </row>
    <row r="89" spans="1:20" hidden="1" x14ac:dyDescent="0.25">
      <c r="A89" s="26">
        <v>557</v>
      </c>
      <c r="B89" s="25" t="s">
        <v>105</v>
      </c>
      <c r="C89" s="25"/>
      <c r="D89" s="31">
        <f>SUM(D90:D91)</f>
        <v>0</v>
      </c>
      <c r="E89" s="31">
        <f>SUM(E90:E91)</f>
        <v>0</v>
      </c>
      <c r="F89" s="31">
        <f t="shared" ref="F89:T89" si="47">SUM(F90:F91)</f>
        <v>0</v>
      </c>
      <c r="G89" s="32">
        <f t="shared" si="47"/>
        <v>0</v>
      </c>
      <c r="H89" s="35">
        <f t="shared" si="47"/>
        <v>0</v>
      </c>
      <c r="I89" s="31">
        <f t="shared" si="47"/>
        <v>0</v>
      </c>
      <c r="J89" s="31">
        <f t="shared" si="47"/>
        <v>0</v>
      </c>
      <c r="K89" s="31">
        <f t="shared" si="47"/>
        <v>0</v>
      </c>
      <c r="L89" s="31">
        <f t="shared" si="47"/>
        <v>0</v>
      </c>
      <c r="M89" s="31">
        <f t="shared" si="47"/>
        <v>0</v>
      </c>
      <c r="N89" s="36">
        <f t="shared" si="47"/>
        <v>0</v>
      </c>
      <c r="O89" s="35">
        <f t="shared" si="47"/>
        <v>0</v>
      </c>
      <c r="P89" s="31">
        <f t="shared" si="47"/>
        <v>0</v>
      </c>
      <c r="Q89" s="31">
        <f t="shared" si="47"/>
        <v>0</v>
      </c>
      <c r="R89" s="31">
        <f t="shared" si="47"/>
        <v>0</v>
      </c>
      <c r="S89" s="31">
        <f t="shared" si="47"/>
        <v>0</v>
      </c>
      <c r="T89" s="36">
        <f t="shared" si="47"/>
        <v>0</v>
      </c>
    </row>
    <row r="90" spans="1:20" hidden="1" x14ac:dyDescent="0.25">
      <c r="A90" s="21">
        <v>55703</v>
      </c>
      <c r="B90" s="7" t="s">
        <v>106</v>
      </c>
      <c r="C90" s="7"/>
      <c r="D90" s="19"/>
      <c r="E90" s="19"/>
      <c r="F90" s="19"/>
      <c r="G90" s="49">
        <f t="shared" ref="G90:G91" si="48">C90+D90+E90+F90</f>
        <v>0</v>
      </c>
      <c r="H90" s="37"/>
      <c r="I90" s="19"/>
      <c r="J90" s="19"/>
      <c r="K90" s="19"/>
      <c r="L90" s="19"/>
      <c r="M90" s="19"/>
      <c r="N90" s="41"/>
      <c r="O90" s="37"/>
      <c r="P90" s="19"/>
      <c r="Q90" s="19"/>
      <c r="R90" s="19"/>
      <c r="S90" s="19">
        <f t="shared" ref="S90:S91" si="49">SUM(O90:R90)</f>
        <v>0</v>
      </c>
      <c r="T90" s="48">
        <f t="shared" ref="T90:T91" si="50">S90+N90+G90</f>
        <v>0</v>
      </c>
    </row>
    <row r="91" spans="1:20" hidden="1" x14ac:dyDescent="0.25">
      <c r="A91" s="21">
        <v>55799</v>
      </c>
      <c r="B91" s="7" t="s">
        <v>107</v>
      </c>
      <c r="C91" s="7"/>
      <c r="D91" s="19"/>
      <c r="E91" s="19"/>
      <c r="F91" s="19"/>
      <c r="G91" s="49">
        <f t="shared" si="48"/>
        <v>0</v>
      </c>
      <c r="H91" s="37"/>
      <c r="I91" s="19"/>
      <c r="J91" s="19"/>
      <c r="K91" s="19"/>
      <c r="L91" s="19"/>
      <c r="M91" s="19"/>
      <c r="N91" s="41"/>
      <c r="O91" s="37"/>
      <c r="P91" s="19"/>
      <c r="Q91" s="19"/>
      <c r="R91" s="19"/>
      <c r="S91" s="19">
        <f t="shared" si="49"/>
        <v>0</v>
      </c>
      <c r="T91" s="48">
        <f t="shared" si="50"/>
        <v>0</v>
      </c>
    </row>
    <row r="92" spans="1:20" hidden="1" x14ac:dyDescent="0.25">
      <c r="A92" s="26">
        <v>56</v>
      </c>
      <c r="B92" s="25" t="s">
        <v>108</v>
      </c>
      <c r="C92" s="25"/>
      <c r="D92" s="31">
        <f>D93</f>
        <v>6000</v>
      </c>
      <c r="E92" s="31">
        <f t="shared" ref="E92:R93" si="51">E93</f>
        <v>0</v>
      </c>
      <c r="F92" s="31">
        <f t="shared" si="51"/>
        <v>0</v>
      </c>
      <c r="G92" s="31">
        <f>SUM(D92:F92)</f>
        <v>6000</v>
      </c>
      <c r="H92" s="35"/>
      <c r="I92" s="31"/>
      <c r="J92" s="31"/>
      <c r="K92" s="31"/>
      <c r="L92" s="31"/>
      <c r="M92" s="31"/>
      <c r="N92" s="36"/>
      <c r="O92" s="35"/>
      <c r="P92" s="31"/>
      <c r="Q92" s="31"/>
      <c r="R92" s="31"/>
      <c r="S92" s="31">
        <f>S93+S95</f>
        <v>25329.16</v>
      </c>
      <c r="T92" s="36">
        <f>T93+T95</f>
        <v>31329.16</v>
      </c>
    </row>
    <row r="93" spans="1:20" hidden="1" x14ac:dyDescent="0.25">
      <c r="A93" s="26">
        <v>562</v>
      </c>
      <c r="B93" s="25" t="s">
        <v>109</v>
      </c>
      <c r="C93" s="25"/>
      <c r="D93" s="31">
        <f>D94</f>
        <v>6000</v>
      </c>
      <c r="E93" s="31">
        <f>E94</f>
        <v>0</v>
      </c>
      <c r="F93" s="31">
        <f t="shared" si="51"/>
        <v>0</v>
      </c>
      <c r="G93" s="32">
        <f t="shared" si="51"/>
        <v>6000</v>
      </c>
      <c r="H93" s="35">
        <f t="shared" si="51"/>
        <v>0</v>
      </c>
      <c r="I93" s="31">
        <f t="shared" si="51"/>
        <v>0</v>
      </c>
      <c r="J93" s="31">
        <f t="shared" si="51"/>
        <v>0</v>
      </c>
      <c r="K93" s="31">
        <f t="shared" si="51"/>
        <v>0</v>
      </c>
      <c r="L93" s="31">
        <f t="shared" si="51"/>
        <v>0</v>
      </c>
      <c r="M93" s="31">
        <f t="shared" si="51"/>
        <v>0</v>
      </c>
      <c r="N93" s="36">
        <f t="shared" si="51"/>
        <v>0</v>
      </c>
      <c r="O93" s="35">
        <f t="shared" si="51"/>
        <v>66.12</v>
      </c>
      <c r="P93" s="31">
        <f t="shared" si="51"/>
        <v>95.88</v>
      </c>
      <c r="Q93" s="31">
        <f t="shared" si="51"/>
        <v>36.24</v>
      </c>
      <c r="R93" s="31">
        <f t="shared" si="51"/>
        <v>205.92000000000002</v>
      </c>
      <c r="S93" s="31">
        <f>S94</f>
        <v>404.16</v>
      </c>
      <c r="T93" s="36">
        <f>T94</f>
        <v>6404.16</v>
      </c>
    </row>
    <row r="94" spans="1:20" hidden="1" x14ac:dyDescent="0.25">
      <c r="A94" s="21">
        <v>56201</v>
      </c>
      <c r="B94" s="7" t="s">
        <v>110</v>
      </c>
      <c r="C94" s="7"/>
      <c r="D94" s="19">
        <f>500*12</f>
        <v>6000</v>
      </c>
      <c r="E94" s="19"/>
      <c r="F94" s="19"/>
      <c r="G94" s="49">
        <f t="shared" ref="G94" si="52">C94+D94+E94+F94</f>
        <v>6000</v>
      </c>
      <c r="H94" s="37"/>
      <c r="I94" s="19"/>
      <c r="J94" s="19"/>
      <c r="K94" s="19"/>
      <c r="L94" s="19"/>
      <c r="M94" s="19"/>
      <c r="N94" s="41"/>
      <c r="O94" s="37">
        <f>5.51*12</f>
        <v>66.12</v>
      </c>
      <c r="P94" s="19">
        <f>7.99*12</f>
        <v>95.88</v>
      </c>
      <c r="Q94" s="19">
        <f>3.02*12</f>
        <v>36.24</v>
      </c>
      <c r="R94" s="19">
        <f>17.16*12</f>
        <v>205.92000000000002</v>
      </c>
      <c r="S94" s="19">
        <f t="shared" ref="S94" si="53">SUM(O94:R94)</f>
        <v>404.16</v>
      </c>
      <c r="T94" s="48">
        <f t="shared" ref="T94" si="54">S94+N94+G94</f>
        <v>6404.16</v>
      </c>
    </row>
    <row r="95" spans="1:20" hidden="1" x14ac:dyDescent="0.25">
      <c r="A95" s="26">
        <v>563</v>
      </c>
      <c r="B95" s="25" t="s">
        <v>111</v>
      </c>
      <c r="C95" s="25"/>
      <c r="D95" s="31">
        <f>SUM(D96:D98)</f>
        <v>0</v>
      </c>
      <c r="E95" s="31">
        <f>SUM(E96:E98)</f>
        <v>0</v>
      </c>
      <c r="F95" s="31">
        <f t="shared" ref="F95:T95" si="55">SUM(F96:F98)</f>
        <v>0</v>
      </c>
      <c r="G95" s="32">
        <f t="shared" si="55"/>
        <v>0</v>
      </c>
      <c r="H95" s="35">
        <f t="shared" si="55"/>
        <v>0</v>
      </c>
      <c r="I95" s="31">
        <f t="shared" si="55"/>
        <v>0</v>
      </c>
      <c r="J95" s="31">
        <f t="shared" si="55"/>
        <v>0</v>
      </c>
      <c r="K95" s="31">
        <f t="shared" si="55"/>
        <v>0</v>
      </c>
      <c r="L95" s="31">
        <f t="shared" si="55"/>
        <v>0</v>
      </c>
      <c r="M95" s="31">
        <f t="shared" si="55"/>
        <v>0</v>
      </c>
      <c r="N95" s="36">
        <f t="shared" si="55"/>
        <v>0</v>
      </c>
      <c r="O95" s="35">
        <f t="shared" si="55"/>
        <v>24925</v>
      </c>
      <c r="P95" s="31">
        <f t="shared" si="55"/>
        <v>0</v>
      </c>
      <c r="Q95" s="31">
        <f t="shared" si="55"/>
        <v>0</v>
      </c>
      <c r="R95" s="31">
        <f t="shared" si="55"/>
        <v>0</v>
      </c>
      <c r="S95" s="31">
        <f>SUM(S96:S98)</f>
        <v>24925</v>
      </c>
      <c r="T95" s="36">
        <f t="shared" si="55"/>
        <v>24925</v>
      </c>
    </row>
    <row r="96" spans="1:20" hidden="1" x14ac:dyDescent="0.25">
      <c r="A96" s="21">
        <v>56301</v>
      </c>
      <c r="B96" s="7" t="s">
        <v>112</v>
      </c>
      <c r="C96" s="7"/>
      <c r="D96" s="19"/>
      <c r="E96" s="19"/>
      <c r="F96" s="19"/>
      <c r="G96" s="49">
        <f t="shared" ref="G96:G98" si="56">C96+D96+E96+F96</f>
        <v>0</v>
      </c>
      <c r="H96" s="37"/>
      <c r="I96" s="19"/>
      <c r="J96" s="19"/>
      <c r="K96" s="19"/>
      <c r="L96" s="19"/>
      <c r="M96" s="19"/>
      <c r="N96" s="41"/>
      <c r="O96" s="37"/>
      <c r="P96" s="19"/>
      <c r="Q96" s="19"/>
      <c r="R96" s="19"/>
      <c r="S96" s="19">
        <f t="shared" ref="S96:S98" si="57">SUM(O96:R96)</f>
        <v>0</v>
      </c>
      <c r="T96" s="48">
        <f t="shared" ref="T96:T98" si="58">S96+N96+G96</f>
        <v>0</v>
      </c>
    </row>
    <row r="97" spans="1:20" hidden="1" x14ac:dyDescent="0.25">
      <c r="A97" s="21">
        <v>56303</v>
      </c>
      <c r="B97" s="7" t="s">
        <v>113</v>
      </c>
      <c r="C97" s="7"/>
      <c r="D97" s="19"/>
      <c r="E97" s="19"/>
      <c r="F97" s="19"/>
      <c r="G97" s="49">
        <f t="shared" si="56"/>
        <v>0</v>
      </c>
      <c r="H97" s="37"/>
      <c r="I97" s="19"/>
      <c r="J97" s="19"/>
      <c r="K97" s="19"/>
      <c r="L97" s="19"/>
      <c r="M97" s="19"/>
      <c r="N97" s="41"/>
      <c r="O97" s="37">
        <v>24925</v>
      </c>
      <c r="P97" s="19"/>
      <c r="Q97" s="19"/>
      <c r="R97" s="19"/>
      <c r="S97" s="19">
        <f t="shared" si="57"/>
        <v>24925</v>
      </c>
      <c r="T97" s="48">
        <f t="shared" si="58"/>
        <v>24925</v>
      </c>
    </row>
    <row r="98" spans="1:20" hidden="1" x14ac:dyDescent="0.25">
      <c r="A98" s="21">
        <v>56305</v>
      </c>
      <c r="B98" s="7" t="s">
        <v>114</v>
      </c>
      <c r="C98" s="7"/>
      <c r="D98" s="19"/>
      <c r="E98" s="19"/>
      <c r="F98" s="19"/>
      <c r="G98" s="49">
        <f t="shared" si="56"/>
        <v>0</v>
      </c>
      <c r="H98" s="37"/>
      <c r="I98" s="19"/>
      <c r="J98" s="19"/>
      <c r="K98" s="19"/>
      <c r="L98" s="19"/>
      <c r="M98" s="19"/>
      <c r="N98" s="41"/>
      <c r="O98" s="37"/>
      <c r="P98" s="19"/>
      <c r="Q98" s="19"/>
      <c r="R98" s="19"/>
      <c r="S98" s="19">
        <f t="shared" si="57"/>
        <v>0</v>
      </c>
      <c r="T98" s="48">
        <f t="shared" si="58"/>
        <v>0</v>
      </c>
    </row>
    <row r="99" spans="1:20" x14ac:dyDescent="0.25">
      <c r="A99" s="26">
        <v>61</v>
      </c>
      <c r="B99" s="25" t="s">
        <v>115</v>
      </c>
      <c r="C99" s="25"/>
      <c r="D99" s="31">
        <f>D100+D104+D106+D108</f>
        <v>0</v>
      </c>
      <c r="E99" s="31">
        <f>E100+E104+E106+E108</f>
        <v>0</v>
      </c>
      <c r="F99" s="31">
        <f t="shared" ref="F99:R99" si="59">F100+F104+F106+F108</f>
        <v>0</v>
      </c>
      <c r="G99" s="32">
        <f t="shared" si="59"/>
        <v>0</v>
      </c>
      <c r="H99" s="35">
        <f t="shared" si="59"/>
        <v>20000</v>
      </c>
      <c r="I99" s="31">
        <f>I100+I104+I106+I108</f>
        <v>1117410.6400000001</v>
      </c>
      <c r="J99" s="31">
        <f t="shared" si="59"/>
        <v>0</v>
      </c>
      <c r="K99" s="31">
        <f t="shared" si="59"/>
        <v>0</v>
      </c>
      <c r="L99" s="31">
        <f t="shared" si="59"/>
        <v>0</v>
      </c>
      <c r="M99" s="31">
        <f t="shared" si="59"/>
        <v>0</v>
      </c>
      <c r="N99" s="36">
        <f>N100+N104+N106+N108</f>
        <v>1137410.6400000001</v>
      </c>
      <c r="O99" s="35">
        <f t="shared" si="59"/>
        <v>4000</v>
      </c>
      <c r="P99" s="31">
        <f t="shared" si="59"/>
        <v>0</v>
      </c>
      <c r="Q99" s="31">
        <f t="shared" si="59"/>
        <v>0</v>
      </c>
      <c r="R99" s="31">
        <f t="shared" si="59"/>
        <v>0</v>
      </c>
      <c r="S99" s="31">
        <f>S100+S104+S106+S108</f>
        <v>4000</v>
      </c>
      <c r="T99" s="36">
        <f>T100+T104+T106+T108</f>
        <v>728410.64</v>
      </c>
    </row>
    <row r="100" spans="1:20" hidden="1" x14ac:dyDescent="0.25">
      <c r="A100" s="26">
        <v>611</v>
      </c>
      <c r="B100" s="25" t="s">
        <v>116</v>
      </c>
      <c r="C100" s="25"/>
      <c r="D100" s="31">
        <f>SUM(D101:D103)</f>
        <v>0</v>
      </c>
      <c r="E100" s="31">
        <f>SUM(E101:E103)</f>
        <v>0</v>
      </c>
      <c r="F100" s="31">
        <f t="shared" ref="F100:T100" si="60">SUM(F101:F103)</f>
        <v>0</v>
      </c>
      <c r="G100" s="32">
        <f t="shared" si="60"/>
        <v>0</v>
      </c>
      <c r="H100" s="35">
        <f t="shared" si="60"/>
        <v>0</v>
      </c>
      <c r="I100" s="31">
        <f t="shared" si="60"/>
        <v>0</v>
      </c>
      <c r="J100" s="31">
        <f t="shared" si="60"/>
        <v>0</v>
      </c>
      <c r="K100" s="31">
        <f t="shared" si="60"/>
        <v>0</v>
      </c>
      <c r="L100" s="31">
        <f t="shared" si="60"/>
        <v>0</v>
      </c>
      <c r="M100" s="31">
        <f t="shared" si="60"/>
        <v>0</v>
      </c>
      <c r="N100" s="36">
        <f>SUM(N101:N103)</f>
        <v>0</v>
      </c>
      <c r="O100" s="35">
        <f t="shared" si="60"/>
        <v>4000</v>
      </c>
      <c r="P100" s="31">
        <f t="shared" si="60"/>
        <v>0</v>
      </c>
      <c r="Q100" s="31">
        <f t="shared" si="60"/>
        <v>0</v>
      </c>
      <c r="R100" s="31">
        <f t="shared" si="60"/>
        <v>0</v>
      </c>
      <c r="S100" s="31">
        <f>SUM(S101:S103)</f>
        <v>4000</v>
      </c>
      <c r="T100" s="36">
        <f t="shared" si="60"/>
        <v>4000</v>
      </c>
    </row>
    <row r="101" spans="1:20" hidden="1" x14ac:dyDescent="0.25">
      <c r="A101" s="21">
        <v>61102</v>
      </c>
      <c r="B101" s="7" t="s">
        <v>117</v>
      </c>
      <c r="C101" s="7"/>
      <c r="D101" s="19"/>
      <c r="E101" s="19"/>
      <c r="F101" s="19"/>
      <c r="G101" s="49">
        <f t="shared" ref="G101:G103" si="61">C101+D101+E101+F101</f>
        <v>0</v>
      </c>
      <c r="H101" s="37"/>
      <c r="I101" s="19"/>
      <c r="J101" s="19"/>
      <c r="K101" s="19"/>
      <c r="L101" s="19"/>
      <c r="M101" s="19"/>
      <c r="N101" s="41">
        <f>SUM(H101:M101)</f>
        <v>0</v>
      </c>
      <c r="O101" s="37"/>
      <c r="P101" s="19"/>
      <c r="Q101" s="19"/>
      <c r="R101" s="19"/>
      <c r="S101" s="19">
        <f t="shared" ref="S101:S103" si="62">SUM(O101:R101)</f>
        <v>0</v>
      </c>
      <c r="T101" s="48">
        <f t="shared" ref="T101:T103" si="63">S101+N101+G101</f>
        <v>0</v>
      </c>
    </row>
    <row r="102" spans="1:20" hidden="1" x14ac:dyDescent="0.25">
      <c r="A102" s="21">
        <v>61104</v>
      </c>
      <c r="B102" s="7" t="s">
        <v>118</v>
      </c>
      <c r="C102" s="7"/>
      <c r="D102" s="19"/>
      <c r="E102" s="19"/>
      <c r="F102" s="19"/>
      <c r="G102" s="49">
        <f t="shared" si="61"/>
        <v>0</v>
      </c>
      <c r="H102" s="37"/>
      <c r="I102" s="19"/>
      <c r="J102" s="19"/>
      <c r="K102" s="19"/>
      <c r="L102" s="19"/>
      <c r="M102" s="19"/>
      <c r="N102" s="41">
        <f t="shared" ref="N102:N105" si="64">SUM(H102:M102)</f>
        <v>0</v>
      </c>
      <c r="O102" s="37">
        <v>4000</v>
      </c>
      <c r="P102" s="19"/>
      <c r="Q102" s="19"/>
      <c r="R102" s="19"/>
      <c r="S102" s="19">
        <f t="shared" si="62"/>
        <v>4000</v>
      </c>
      <c r="T102" s="48">
        <f t="shared" si="63"/>
        <v>4000</v>
      </c>
    </row>
    <row r="103" spans="1:20" hidden="1" x14ac:dyDescent="0.25">
      <c r="A103" s="21">
        <v>61199</v>
      </c>
      <c r="B103" s="7" t="s">
        <v>119</v>
      </c>
      <c r="C103" s="7"/>
      <c r="D103" s="19"/>
      <c r="E103" s="19"/>
      <c r="F103" s="19"/>
      <c r="G103" s="49">
        <f t="shared" si="61"/>
        <v>0</v>
      </c>
      <c r="H103" s="37"/>
      <c r="I103" s="19"/>
      <c r="J103" s="19"/>
      <c r="K103" s="19"/>
      <c r="L103" s="19"/>
      <c r="M103" s="19"/>
      <c r="N103" s="41">
        <f t="shared" si="64"/>
        <v>0</v>
      </c>
      <c r="O103" s="37"/>
      <c r="P103" s="19"/>
      <c r="Q103" s="19"/>
      <c r="R103" s="19"/>
      <c r="S103" s="19">
        <f t="shared" si="62"/>
        <v>0</v>
      </c>
      <c r="T103" s="48">
        <f t="shared" si="63"/>
        <v>0</v>
      </c>
    </row>
    <row r="104" spans="1:20" x14ac:dyDescent="0.25">
      <c r="A104" s="26">
        <v>612</v>
      </c>
      <c r="B104" s="25" t="s">
        <v>120</v>
      </c>
      <c r="C104" s="25"/>
      <c r="D104" s="31">
        <f>D105</f>
        <v>0</v>
      </c>
      <c r="E104" s="31">
        <f>E105</f>
        <v>0</v>
      </c>
      <c r="F104" s="31">
        <f t="shared" ref="F104:T104" si="65">F105</f>
        <v>0</v>
      </c>
      <c r="G104" s="32">
        <f t="shared" si="65"/>
        <v>0</v>
      </c>
      <c r="H104" s="35">
        <f t="shared" si="65"/>
        <v>0</v>
      </c>
      <c r="I104" s="31">
        <f t="shared" si="65"/>
        <v>93000</v>
      </c>
      <c r="J104" s="31">
        <f t="shared" si="65"/>
        <v>0</v>
      </c>
      <c r="K104" s="31">
        <f t="shared" si="65"/>
        <v>0</v>
      </c>
      <c r="L104" s="31">
        <f t="shared" si="65"/>
        <v>0</v>
      </c>
      <c r="M104" s="31">
        <f t="shared" si="65"/>
        <v>0</v>
      </c>
      <c r="N104" s="36">
        <f t="shared" si="65"/>
        <v>93000</v>
      </c>
      <c r="O104" s="35">
        <f t="shared" si="65"/>
        <v>0</v>
      </c>
      <c r="P104" s="31">
        <f t="shared" si="65"/>
        <v>0</v>
      </c>
      <c r="Q104" s="31">
        <f t="shared" si="65"/>
        <v>0</v>
      </c>
      <c r="R104" s="31">
        <f t="shared" si="65"/>
        <v>0</v>
      </c>
      <c r="S104" s="31">
        <f>S105</f>
        <v>0</v>
      </c>
      <c r="T104" s="36">
        <f t="shared" si="65"/>
        <v>93000</v>
      </c>
    </row>
    <row r="105" spans="1:20" x14ac:dyDescent="0.25">
      <c r="A105" s="21">
        <v>61201</v>
      </c>
      <c r="B105" s="7" t="s">
        <v>121</v>
      </c>
      <c r="C105" s="7"/>
      <c r="D105" s="19"/>
      <c r="E105" s="19"/>
      <c r="F105" s="19"/>
      <c r="G105" s="49">
        <f t="shared" ref="G105" si="66">C105+D105+E105+F105</f>
        <v>0</v>
      </c>
      <c r="H105" s="37"/>
      <c r="I105" s="19">
        <v>93000</v>
      </c>
      <c r="J105" s="19"/>
      <c r="K105" s="19"/>
      <c r="L105" s="19"/>
      <c r="M105" s="19"/>
      <c r="N105" s="41">
        <f t="shared" si="64"/>
        <v>93000</v>
      </c>
      <c r="O105" s="37"/>
      <c r="P105" s="19"/>
      <c r="Q105" s="19"/>
      <c r="R105" s="19"/>
      <c r="S105" s="19">
        <f t="shared" ref="S105" si="67">SUM(O105:R105)</f>
        <v>0</v>
      </c>
      <c r="T105" s="48">
        <f t="shared" ref="T105" si="68">S105+N105+G105</f>
        <v>93000</v>
      </c>
    </row>
    <row r="106" spans="1:20" x14ac:dyDescent="0.25">
      <c r="A106" s="21">
        <v>615</v>
      </c>
      <c r="B106" s="25" t="s">
        <v>122</v>
      </c>
      <c r="C106" s="25"/>
      <c r="D106" s="31">
        <f>D107</f>
        <v>0</v>
      </c>
      <c r="E106" s="31">
        <f>E107</f>
        <v>0</v>
      </c>
      <c r="F106" s="31">
        <f t="shared" ref="F106:T106" si="69">F107</f>
        <v>0</v>
      </c>
      <c r="G106" s="32">
        <f t="shared" si="69"/>
        <v>0</v>
      </c>
      <c r="H106" s="35">
        <f>H107</f>
        <v>20000</v>
      </c>
      <c r="I106" s="31">
        <f t="shared" si="69"/>
        <v>0</v>
      </c>
      <c r="J106" s="31">
        <f t="shared" si="69"/>
        <v>0</v>
      </c>
      <c r="K106" s="31">
        <f t="shared" si="69"/>
        <v>0</v>
      </c>
      <c r="L106" s="31">
        <f t="shared" si="69"/>
        <v>0</v>
      </c>
      <c r="M106" s="31">
        <f t="shared" si="69"/>
        <v>0</v>
      </c>
      <c r="N106" s="36">
        <f>N107</f>
        <v>20000</v>
      </c>
      <c r="O106" s="35">
        <f t="shared" si="69"/>
        <v>0</v>
      </c>
      <c r="P106" s="31">
        <f t="shared" si="69"/>
        <v>0</v>
      </c>
      <c r="Q106" s="31">
        <f t="shared" si="69"/>
        <v>0</v>
      </c>
      <c r="R106" s="31">
        <f t="shared" si="69"/>
        <v>0</v>
      </c>
      <c r="S106" s="31">
        <f>S107</f>
        <v>0</v>
      </c>
      <c r="T106" s="36">
        <f t="shared" si="69"/>
        <v>20000</v>
      </c>
    </row>
    <row r="107" spans="1:20" x14ac:dyDescent="0.25">
      <c r="A107" s="21">
        <v>61599</v>
      </c>
      <c r="B107" s="7" t="s">
        <v>123</v>
      </c>
      <c r="C107" s="7"/>
      <c r="D107" s="19"/>
      <c r="E107" s="19"/>
      <c r="F107" s="19"/>
      <c r="G107" s="49">
        <f t="shared" ref="G107" si="70">C107+D107+E107+F107</f>
        <v>0</v>
      </c>
      <c r="H107" s="37">
        <v>20000</v>
      </c>
      <c r="I107" s="19"/>
      <c r="J107" s="19"/>
      <c r="K107" s="19"/>
      <c r="L107" s="19"/>
      <c r="M107" s="19"/>
      <c r="N107" s="41">
        <f t="shared" ref="N107" si="71">SUM(H107:M107)</f>
        <v>20000</v>
      </c>
      <c r="O107" s="37"/>
      <c r="P107" s="19"/>
      <c r="Q107" s="19"/>
      <c r="R107" s="19"/>
      <c r="S107" s="19">
        <f t="shared" ref="S107" si="72">SUM(O107:R107)</f>
        <v>0</v>
      </c>
      <c r="T107" s="48">
        <f t="shared" ref="T107" si="73">S107+N107+G107</f>
        <v>20000</v>
      </c>
    </row>
    <row r="108" spans="1:20" x14ac:dyDescent="0.25">
      <c r="A108" s="26">
        <v>616</v>
      </c>
      <c r="B108" s="25" t="s">
        <v>124</v>
      </c>
      <c r="C108" s="25"/>
      <c r="D108" s="31">
        <f>SUM(D109:D113)</f>
        <v>0</v>
      </c>
      <c r="E108" s="31">
        <f>SUM(E109:E113)</f>
        <v>0</v>
      </c>
      <c r="F108" s="31">
        <f t="shared" ref="F108:T108" si="74">SUM(F109:F113)</f>
        <v>0</v>
      </c>
      <c r="G108" s="32">
        <f t="shared" si="74"/>
        <v>0</v>
      </c>
      <c r="H108" s="35">
        <f t="shared" si="74"/>
        <v>0</v>
      </c>
      <c r="I108" s="31">
        <f>SUM(I109:I115)</f>
        <v>1024410.64</v>
      </c>
      <c r="J108" s="31">
        <f t="shared" ref="J108:M108" si="75">SUM(J109:J115)</f>
        <v>0</v>
      </c>
      <c r="K108" s="31">
        <f t="shared" si="75"/>
        <v>0</v>
      </c>
      <c r="L108" s="31">
        <f t="shared" si="75"/>
        <v>0</v>
      </c>
      <c r="M108" s="31">
        <f t="shared" si="75"/>
        <v>0</v>
      </c>
      <c r="N108" s="36">
        <f>SUM(N109:N115)</f>
        <v>1024410.64</v>
      </c>
      <c r="O108" s="35">
        <f t="shared" si="74"/>
        <v>0</v>
      </c>
      <c r="P108" s="31">
        <f t="shared" si="74"/>
        <v>0</v>
      </c>
      <c r="Q108" s="31">
        <f t="shared" si="74"/>
        <v>0</v>
      </c>
      <c r="R108" s="31">
        <f t="shared" si="74"/>
        <v>0</v>
      </c>
      <c r="S108" s="31">
        <f>SUM(S109:S113)</f>
        <v>0</v>
      </c>
      <c r="T108" s="36">
        <f t="shared" si="74"/>
        <v>611410.64</v>
      </c>
    </row>
    <row r="109" spans="1:20" x14ac:dyDescent="0.25">
      <c r="A109" s="21">
        <v>61601</v>
      </c>
      <c r="B109" s="7" t="s">
        <v>125</v>
      </c>
      <c r="C109" s="7"/>
      <c r="D109" s="19"/>
      <c r="E109" s="19"/>
      <c r="F109" s="19"/>
      <c r="G109" s="49">
        <f t="shared" ref="G109:G115" si="76">C109+D109+E109+F109</f>
        <v>0</v>
      </c>
      <c r="H109" s="37"/>
      <c r="I109" s="19">
        <v>248210.64</v>
      </c>
      <c r="J109" s="19"/>
      <c r="K109" s="19"/>
      <c r="L109" s="19"/>
      <c r="M109" s="19"/>
      <c r="N109" s="41">
        <f t="shared" ref="N109:N115" si="77">SUM(H109:M109)</f>
        <v>248210.64</v>
      </c>
      <c r="O109" s="37"/>
      <c r="P109" s="19"/>
      <c r="Q109" s="19"/>
      <c r="R109" s="19"/>
      <c r="S109" s="19">
        <f t="shared" ref="S109:S115" si="78">SUM(O109:R109)</f>
        <v>0</v>
      </c>
      <c r="T109" s="48">
        <f t="shared" ref="T109:T115" si="79">S109+N109+G109</f>
        <v>248210.64</v>
      </c>
    </row>
    <row r="110" spans="1:20" x14ac:dyDescent="0.25">
      <c r="A110" s="21">
        <v>61603</v>
      </c>
      <c r="B110" s="7" t="s">
        <v>126</v>
      </c>
      <c r="C110" s="7"/>
      <c r="D110" s="19"/>
      <c r="E110" s="19"/>
      <c r="F110" s="19"/>
      <c r="G110" s="49">
        <f t="shared" si="76"/>
        <v>0</v>
      </c>
      <c r="H110" s="37"/>
      <c r="I110" s="19">
        <f>201000-40000-8000</f>
        <v>153000</v>
      </c>
      <c r="J110" s="19"/>
      <c r="K110" s="19"/>
      <c r="L110" s="19"/>
      <c r="M110" s="19"/>
      <c r="N110" s="41">
        <f t="shared" si="77"/>
        <v>153000</v>
      </c>
      <c r="O110" s="37"/>
      <c r="P110" s="19"/>
      <c r="Q110" s="19"/>
      <c r="R110" s="19"/>
      <c r="S110" s="19">
        <f t="shared" si="78"/>
        <v>0</v>
      </c>
      <c r="T110" s="48">
        <f t="shared" si="79"/>
        <v>153000</v>
      </c>
    </row>
    <row r="111" spans="1:20" x14ac:dyDescent="0.25">
      <c r="A111" s="21">
        <v>61606</v>
      </c>
      <c r="B111" s="7" t="s">
        <v>127</v>
      </c>
      <c r="C111" s="7"/>
      <c r="D111" s="19"/>
      <c r="E111" s="19"/>
      <c r="F111" s="19"/>
      <c r="G111" s="49">
        <f t="shared" si="76"/>
        <v>0</v>
      </c>
      <c r="H111" s="37"/>
      <c r="I111" s="19">
        <v>19200</v>
      </c>
      <c r="J111" s="19"/>
      <c r="K111" s="19"/>
      <c r="L111" s="19"/>
      <c r="M111" s="19"/>
      <c r="N111" s="41">
        <f t="shared" si="77"/>
        <v>19200</v>
      </c>
      <c r="O111" s="37"/>
      <c r="P111" s="19"/>
      <c r="Q111" s="19"/>
      <c r="R111" s="19"/>
      <c r="S111" s="19">
        <f t="shared" si="78"/>
        <v>0</v>
      </c>
      <c r="T111" s="48">
        <f t="shared" si="79"/>
        <v>19200</v>
      </c>
    </row>
    <row r="112" spans="1:20" hidden="1" x14ac:dyDescent="0.25">
      <c r="A112" s="21">
        <v>61608</v>
      </c>
      <c r="B112" s="7" t="s">
        <v>128</v>
      </c>
      <c r="C112" s="7"/>
      <c r="D112" s="19"/>
      <c r="E112" s="19"/>
      <c r="F112" s="19"/>
      <c r="G112" s="49">
        <f t="shared" si="76"/>
        <v>0</v>
      </c>
      <c r="H112" s="37"/>
      <c r="I112" s="19"/>
      <c r="J112" s="19"/>
      <c r="K112" s="19"/>
      <c r="L112" s="19"/>
      <c r="M112" s="19"/>
      <c r="N112" s="41">
        <f t="shared" si="77"/>
        <v>0</v>
      </c>
      <c r="O112" s="37"/>
      <c r="P112" s="19"/>
      <c r="Q112" s="19"/>
      <c r="R112" s="19"/>
      <c r="S112" s="19">
        <f t="shared" si="78"/>
        <v>0</v>
      </c>
      <c r="T112" s="48">
        <f t="shared" si="79"/>
        <v>0</v>
      </c>
    </row>
    <row r="113" spans="1:20" x14ac:dyDescent="0.25">
      <c r="A113" s="21">
        <v>61609</v>
      </c>
      <c r="B113" s="7" t="s">
        <v>129</v>
      </c>
      <c r="C113" s="7"/>
      <c r="D113" s="19"/>
      <c r="E113" s="19"/>
      <c r="F113" s="19"/>
      <c r="G113" s="49">
        <f t="shared" si="76"/>
        <v>0</v>
      </c>
      <c r="H113" s="37"/>
      <c r="I113" s="19">
        <v>191000</v>
      </c>
      <c r="J113" s="19"/>
      <c r="K113" s="19"/>
      <c r="L113" s="19"/>
      <c r="M113" s="19"/>
      <c r="N113" s="41">
        <f>SUM(H113:M113)</f>
        <v>191000</v>
      </c>
      <c r="O113" s="37"/>
      <c r="P113" s="19"/>
      <c r="Q113" s="19"/>
      <c r="R113" s="19"/>
      <c r="S113" s="19">
        <f t="shared" si="78"/>
        <v>0</v>
      </c>
      <c r="T113" s="48">
        <f t="shared" si="79"/>
        <v>191000</v>
      </c>
    </row>
    <row r="114" spans="1:20" x14ac:dyDescent="0.25">
      <c r="A114" s="21">
        <v>61610</v>
      </c>
      <c r="B114" s="7" t="s">
        <v>136</v>
      </c>
      <c r="C114" s="7"/>
      <c r="D114" s="19"/>
      <c r="E114" s="19"/>
      <c r="F114" s="19"/>
      <c r="G114" s="49">
        <f t="shared" si="76"/>
        <v>0</v>
      </c>
      <c r="H114" s="37"/>
      <c r="I114" s="19">
        <v>413000</v>
      </c>
      <c r="J114" s="19"/>
      <c r="K114" s="19"/>
      <c r="L114" s="19"/>
      <c r="M114" s="19"/>
      <c r="N114" s="41">
        <f t="shared" si="77"/>
        <v>413000</v>
      </c>
      <c r="O114" s="37"/>
      <c r="P114" s="19"/>
      <c r="Q114" s="19"/>
      <c r="R114" s="19"/>
      <c r="S114" s="19">
        <f t="shared" si="78"/>
        <v>0</v>
      </c>
      <c r="T114" s="48">
        <f t="shared" si="79"/>
        <v>413000</v>
      </c>
    </row>
    <row r="115" spans="1:20" hidden="1" x14ac:dyDescent="0.25">
      <c r="A115" s="21">
        <v>61611</v>
      </c>
      <c r="B115" s="7" t="s">
        <v>137</v>
      </c>
      <c r="C115" s="7"/>
      <c r="D115" s="19"/>
      <c r="E115" s="19"/>
      <c r="F115" s="19"/>
      <c r="G115" s="49">
        <f t="shared" si="76"/>
        <v>0</v>
      </c>
      <c r="H115" s="37"/>
      <c r="I115" s="19"/>
      <c r="J115" s="19"/>
      <c r="K115" s="19"/>
      <c r="L115" s="19"/>
      <c r="M115" s="19"/>
      <c r="N115" s="41">
        <f t="shared" si="77"/>
        <v>0</v>
      </c>
      <c r="O115" s="37"/>
      <c r="P115" s="19"/>
      <c r="Q115" s="19"/>
      <c r="R115" s="19"/>
      <c r="S115" s="19">
        <f t="shared" si="78"/>
        <v>0</v>
      </c>
      <c r="T115" s="48">
        <f t="shared" si="79"/>
        <v>0</v>
      </c>
    </row>
    <row r="116" spans="1:20" x14ac:dyDescent="0.25">
      <c r="A116" s="26">
        <v>71</v>
      </c>
      <c r="B116" s="25" t="s">
        <v>130</v>
      </c>
      <c r="C116" s="25"/>
      <c r="D116" s="31">
        <f>D117</f>
        <v>0</v>
      </c>
      <c r="E116" s="31">
        <f>E117</f>
        <v>0</v>
      </c>
      <c r="F116" s="31">
        <f t="shared" ref="F116:T117" si="80">F117</f>
        <v>0</v>
      </c>
      <c r="G116" s="32">
        <f t="shared" si="80"/>
        <v>0</v>
      </c>
      <c r="H116" s="35">
        <f t="shared" si="80"/>
        <v>0</v>
      </c>
      <c r="I116" s="31">
        <f t="shared" si="80"/>
        <v>0</v>
      </c>
      <c r="J116" s="31">
        <f t="shared" si="80"/>
        <v>0</v>
      </c>
      <c r="K116" s="31">
        <f t="shared" si="80"/>
        <v>0</v>
      </c>
      <c r="L116" s="31">
        <f t="shared" si="80"/>
        <v>0</v>
      </c>
      <c r="M116" s="31">
        <f>M117</f>
        <v>365780.4</v>
      </c>
      <c r="N116" s="36">
        <f t="shared" si="80"/>
        <v>365780.4</v>
      </c>
      <c r="O116" s="35">
        <f t="shared" si="80"/>
        <v>0</v>
      </c>
      <c r="P116" s="31">
        <f t="shared" si="80"/>
        <v>0</v>
      </c>
      <c r="Q116" s="31">
        <f t="shared" si="80"/>
        <v>0</v>
      </c>
      <c r="R116" s="31">
        <f t="shared" si="80"/>
        <v>0</v>
      </c>
      <c r="S116" s="31">
        <f>S117</f>
        <v>0</v>
      </c>
      <c r="T116" s="36">
        <f>T117</f>
        <v>365780.4</v>
      </c>
    </row>
    <row r="117" spans="1:20" x14ac:dyDescent="0.25">
      <c r="A117" s="26">
        <v>713</v>
      </c>
      <c r="B117" s="25" t="s">
        <v>131</v>
      </c>
      <c r="C117" s="25"/>
      <c r="D117" s="31">
        <f>D118</f>
        <v>0</v>
      </c>
      <c r="E117" s="31">
        <f>E118</f>
        <v>0</v>
      </c>
      <c r="F117" s="31">
        <f t="shared" si="80"/>
        <v>0</v>
      </c>
      <c r="G117" s="32">
        <f t="shared" si="80"/>
        <v>0</v>
      </c>
      <c r="H117" s="35">
        <f t="shared" si="80"/>
        <v>0</v>
      </c>
      <c r="I117" s="31">
        <f t="shared" si="80"/>
        <v>0</v>
      </c>
      <c r="J117" s="31">
        <f t="shared" si="80"/>
        <v>0</v>
      </c>
      <c r="K117" s="31">
        <f t="shared" si="80"/>
        <v>0</v>
      </c>
      <c r="L117" s="31">
        <f t="shared" si="80"/>
        <v>0</v>
      </c>
      <c r="M117" s="31">
        <f>M118</f>
        <v>365780.4</v>
      </c>
      <c r="N117" s="36">
        <f t="shared" si="80"/>
        <v>365780.4</v>
      </c>
      <c r="O117" s="35">
        <f t="shared" si="80"/>
        <v>0</v>
      </c>
      <c r="P117" s="31">
        <f t="shared" si="80"/>
        <v>0</v>
      </c>
      <c r="Q117" s="31">
        <f t="shared" si="80"/>
        <v>0</v>
      </c>
      <c r="R117" s="31">
        <f t="shared" si="80"/>
        <v>0</v>
      </c>
      <c r="S117" s="31">
        <f t="shared" si="80"/>
        <v>0</v>
      </c>
      <c r="T117" s="36">
        <f t="shared" si="80"/>
        <v>365780.4</v>
      </c>
    </row>
    <row r="118" spans="1:20" x14ac:dyDescent="0.25">
      <c r="A118" s="21">
        <v>71304</v>
      </c>
      <c r="B118" s="7" t="s">
        <v>101</v>
      </c>
      <c r="C118" s="7"/>
      <c r="D118" s="19"/>
      <c r="E118" s="19"/>
      <c r="F118" s="19"/>
      <c r="G118" s="49">
        <f t="shared" ref="G118" si="81">C118+D118+E118+F118</f>
        <v>0</v>
      </c>
      <c r="H118" s="37"/>
      <c r="I118" s="19"/>
      <c r="J118" s="19"/>
      <c r="K118" s="19"/>
      <c r="L118" s="19"/>
      <c r="M118" s="51">
        <v>365780.4</v>
      </c>
      <c r="N118" s="41">
        <f t="shared" ref="N118" si="82">SUM(H118:M118)</f>
        <v>365780.4</v>
      </c>
      <c r="O118" s="37"/>
      <c r="P118" s="19"/>
      <c r="Q118" s="19"/>
      <c r="R118" s="19"/>
      <c r="S118" s="19">
        <f t="shared" ref="S118" si="83">SUM(O118:R118)</f>
        <v>0</v>
      </c>
      <c r="T118" s="48">
        <f t="shared" ref="T118" si="84">S118+N118+G118</f>
        <v>365780.4</v>
      </c>
    </row>
    <row r="119" spans="1:20" hidden="1" x14ac:dyDescent="0.25">
      <c r="A119" s="26">
        <v>72</v>
      </c>
      <c r="B119" s="25" t="s">
        <v>132</v>
      </c>
      <c r="C119" s="25"/>
      <c r="D119" s="31">
        <f>D120</f>
        <v>0</v>
      </c>
      <c r="E119" s="31">
        <f>E120</f>
        <v>0</v>
      </c>
      <c r="F119" s="31">
        <f t="shared" ref="F119:T120" si="85">F120</f>
        <v>0</v>
      </c>
      <c r="G119" s="32">
        <f t="shared" si="85"/>
        <v>0</v>
      </c>
      <c r="H119" s="35">
        <f t="shared" si="85"/>
        <v>0</v>
      </c>
      <c r="I119" s="31">
        <f t="shared" si="85"/>
        <v>0</v>
      </c>
      <c r="J119" s="31">
        <f t="shared" si="85"/>
        <v>0</v>
      </c>
      <c r="K119" s="31">
        <f t="shared" si="85"/>
        <v>0</v>
      </c>
      <c r="L119" s="31">
        <f t="shared" si="85"/>
        <v>0</v>
      </c>
      <c r="M119" s="31">
        <f t="shared" si="85"/>
        <v>0</v>
      </c>
      <c r="N119" s="36">
        <f t="shared" si="85"/>
        <v>0</v>
      </c>
      <c r="O119" s="35">
        <f t="shared" si="85"/>
        <v>0</v>
      </c>
      <c r="P119" s="31">
        <f t="shared" si="85"/>
        <v>0</v>
      </c>
      <c r="Q119" s="31">
        <f t="shared" si="85"/>
        <v>0</v>
      </c>
      <c r="R119" s="31">
        <f t="shared" si="85"/>
        <v>0</v>
      </c>
      <c r="S119" s="31">
        <f>S120</f>
        <v>0</v>
      </c>
      <c r="T119" s="36">
        <f>T120</f>
        <v>0</v>
      </c>
    </row>
    <row r="120" spans="1:20" hidden="1" x14ac:dyDescent="0.25">
      <c r="A120" s="26">
        <v>721</v>
      </c>
      <c r="B120" s="25" t="s">
        <v>133</v>
      </c>
      <c r="C120" s="25"/>
      <c r="D120" s="31">
        <f>D121</f>
        <v>0</v>
      </c>
      <c r="E120" s="31">
        <f>E121</f>
        <v>0</v>
      </c>
      <c r="F120" s="31">
        <f t="shared" si="85"/>
        <v>0</v>
      </c>
      <c r="G120" s="32">
        <f t="shared" si="85"/>
        <v>0</v>
      </c>
      <c r="H120" s="35">
        <f t="shared" si="85"/>
        <v>0</v>
      </c>
      <c r="I120" s="31">
        <f t="shared" si="85"/>
        <v>0</v>
      </c>
      <c r="J120" s="31">
        <f t="shared" si="85"/>
        <v>0</v>
      </c>
      <c r="K120" s="31">
        <f t="shared" si="85"/>
        <v>0</v>
      </c>
      <c r="L120" s="31">
        <f t="shared" si="85"/>
        <v>0</v>
      </c>
      <c r="M120" s="31">
        <f t="shared" si="85"/>
        <v>0</v>
      </c>
      <c r="N120" s="36">
        <f t="shared" si="85"/>
        <v>0</v>
      </c>
      <c r="O120" s="35">
        <f t="shared" si="85"/>
        <v>0</v>
      </c>
      <c r="P120" s="31">
        <f t="shared" si="85"/>
        <v>0</v>
      </c>
      <c r="Q120" s="31">
        <f t="shared" si="85"/>
        <v>0</v>
      </c>
      <c r="R120" s="31">
        <f t="shared" si="85"/>
        <v>0</v>
      </c>
      <c r="S120" s="31">
        <f t="shared" si="85"/>
        <v>0</v>
      </c>
      <c r="T120" s="36">
        <f t="shared" si="85"/>
        <v>0</v>
      </c>
    </row>
    <row r="121" spans="1:20" hidden="1" x14ac:dyDescent="0.25">
      <c r="A121" s="21">
        <v>72101</v>
      </c>
      <c r="B121" s="7" t="s">
        <v>133</v>
      </c>
      <c r="C121" s="7"/>
      <c r="D121" s="19"/>
      <c r="E121" s="19"/>
      <c r="F121" s="19"/>
      <c r="G121" s="49">
        <f t="shared" ref="G121" si="86">C121+D121+E121+F121</f>
        <v>0</v>
      </c>
      <c r="H121" s="37"/>
      <c r="I121" s="19"/>
      <c r="J121" s="19"/>
      <c r="K121" s="19"/>
      <c r="L121" s="19"/>
      <c r="M121" s="19"/>
      <c r="N121" s="41">
        <f t="shared" ref="N121" si="87">SUM(H121:M121)</f>
        <v>0</v>
      </c>
      <c r="O121" s="37"/>
      <c r="P121" s="19"/>
      <c r="Q121" s="19"/>
      <c r="R121" s="19"/>
      <c r="S121" s="19">
        <f t="shared" ref="S121" si="88">SUM(O121:R121)</f>
        <v>0</v>
      </c>
      <c r="T121" s="48">
        <f t="shared" ref="T121" si="89">S121+N121+G121</f>
        <v>0</v>
      </c>
    </row>
    <row r="122" spans="1:20" x14ac:dyDescent="0.25">
      <c r="A122" s="24" t="s">
        <v>29</v>
      </c>
      <c r="B122" s="25" t="s">
        <v>81</v>
      </c>
      <c r="C122" s="31">
        <f>C10+C33+C82+C92+C99+C116+C119</f>
        <v>244505.59</v>
      </c>
      <c r="D122" s="31">
        <f t="shared" ref="D122:T122" si="90">D10+D33+D82+D92+D99+D116+D119</f>
        <v>110071</v>
      </c>
      <c r="E122" s="31">
        <f t="shared" si="90"/>
        <v>39543</v>
      </c>
      <c r="F122" s="31">
        <f t="shared" si="90"/>
        <v>114595.69</v>
      </c>
      <c r="G122" s="31">
        <f>G10+G33+G82+G92+G99+G116+G119</f>
        <v>508715.27999999997</v>
      </c>
      <c r="H122" s="31">
        <f t="shared" si="90"/>
        <v>20000</v>
      </c>
      <c r="I122" s="31">
        <f t="shared" si="90"/>
        <v>1117410.6400000001</v>
      </c>
      <c r="J122" s="31">
        <f t="shared" si="90"/>
        <v>0</v>
      </c>
      <c r="K122" s="31">
        <f t="shared" si="90"/>
        <v>0</v>
      </c>
      <c r="L122" s="31">
        <f t="shared" si="90"/>
        <v>0</v>
      </c>
      <c r="M122" s="31">
        <f t="shared" si="90"/>
        <v>365780.4</v>
      </c>
      <c r="N122" s="31">
        <f>N10+N33+N82+N92+N99+N116+N119</f>
        <v>1503191.04</v>
      </c>
      <c r="O122" s="31">
        <f t="shared" si="90"/>
        <v>248804.32</v>
      </c>
      <c r="P122" s="31">
        <f t="shared" si="90"/>
        <v>22280.959999999999</v>
      </c>
      <c r="Q122" s="31">
        <f t="shared" si="90"/>
        <v>12764.2</v>
      </c>
      <c r="R122" s="31">
        <f t="shared" si="90"/>
        <v>31265</v>
      </c>
      <c r="S122" s="31">
        <f>S10+S33+S82+S92+S99+S116+S119</f>
        <v>349204.99999999994</v>
      </c>
      <c r="T122" s="31">
        <f t="shared" si="90"/>
        <v>1939349.96</v>
      </c>
    </row>
    <row r="123" spans="1:20" x14ac:dyDescent="0.25">
      <c r="A123" s="24" t="s">
        <v>29</v>
      </c>
      <c r="B123" s="25" t="s">
        <v>82</v>
      </c>
      <c r="C123" s="31">
        <f>C122</f>
        <v>244505.59</v>
      </c>
      <c r="D123" s="31">
        <f t="shared" ref="D123:T124" si="91">D122</f>
        <v>110071</v>
      </c>
      <c r="E123" s="31">
        <f t="shared" si="91"/>
        <v>39543</v>
      </c>
      <c r="F123" s="31">
        <f t="shared" si="91"/>
        <v>114595.69</v>
      </c>
      <c r="G123" s="32">
        <f t="shared" si="91"/>
        <v>508715.27999999997</v>
      </c>
      <c r="H123" s="35">
        <f t="shared" si="91"/>
        <v>20000</v>
      </c>
      <c r="I123" s="31">
        <f t="shared" si="91"/>
        <v>1117410.6400000001</v>
      </c>
      <c r="J123" s="31">
        <f t="shared" si="91"/>
        <v>0</v>
      </c>
      <c r="K123" s="31">
        <f t="shared" si="91"/>
        <v>0</v>
      </c>
      <c r="L123" s="31">
        <f t="shared" si="91"/>
        <v>0</v>
      </c>
      <c r="M123" s="31">
        <f t="shared" si="91"/>
        <v>365780.4</v>
      </c>
      <c r="N123" s="36">
        <f t="shared" si="91"/>
        <v>1503191.04</v>
      </c>
      <c r="O123" s="35">
        <f t="shared" si="91"/>
        <v>248804.32</v>
      </c>
      <c r="P123" s="31">
        <f t="shared" si="91"/>
        <v>22280.959999999999</v>
      </c>
      <c r="Q123" s="31">
        <f t="shared" si="91"/>
        <v>12764.2</v>
      </c>
      <c r="R123" s="31">
        <f t="shared" si="91"/>
        <v>31265</v>
      </c>
      <c r="S123" s="31">
        <f t="shared" si="91"/>
        <v>349204.99999999994</v>
      </c>
      <c r="T123" s="36">
        <f t="shared" si="91"/>
        <v>1939349.96</v>
      </c>
    </row>
    <row r="124" spans="1:20" ht="15.75" thickBot="1" x14ac:dyDescent="0.3">
      <c r="A124" s="27" t="s">
        <v>83</v>
      </c>
      <c r="B124" s="28"/>
      <c r="C124" s="31">
        <f>C123</f>
        <v>244505.59</v>
      </c>
      <c r="D124" s="31">
        <f t="shared" si="91"/>
        <v>110071</v>
      </c>
      <c r="E124" s="31">
        <f t="shared" si="91"/>
        <v>39543</v>
      </c>
      <c r="F124" s="31">
        <f t="shared" si="91"/>
        <v>114595.69</v>
      </c>
      <c r="G124" s="32">
        <f>G123</f>
        <v>508715.27999999997</v>
      </c>
      <c r="H124" s="42">
        <f t="shared" si="91"/>
        <v>20000</v>
      </c>
      <c r="I124" s="43">
        <f t="shared" si="91"/>
        <v>1117410.6400000001</v>
      </c>
      <c r="J124" s="43">
        <f t="shared" si="91"/>
        <v>0</v>
      </c>
      <c r="K124" s="43">
        <f t="shared" si="91"/>
        <v>0</v>
      </c>
      <c r="L124" s="43">
        <f t="shared" si="91"/>
        <v>0</v>
      </c>
      <c r="M124" s="43">
        <f t="shared" si="91"/>
        <v>365780.4</v>
      </c>
      <c r="N124" s="44">
        <f>N123</f>
        <v>1503191.04</v>
      </c>
      <c r="O124" s="42">
        <f t="shared" si="91"/>
        <v>248804.32</v>
      </c>
      <c r="P124" s="43">
        <f t="shared" si="91"/>
        <v>22280.959999999999</v>
      </c>
      <c r="Q124" s="43">
        <f t="shared" si="91"/>
        <v>12764.2</v>
      </c>
      <c r="R124" s="43">
        <f t="shared" si="91"/>
        <v>31265</v>
      </c>
      <c r="S124" s="43">
        <f t="shared" si="91"/>
        <v>349204.99999999994</v>
      </c>
      <c r="T124" s="44">
        <f t="shared" si="91"/>
        <v>1939349.96</v>
      </c>
    </row>
    <row r="127" spans="1:20" x14ac:dyDescent="0.25">
      <c r="T127" s="50">
        <v>285705</v>
      </c>
    </row>
  </sheetData>
  <mergeCells count="11">
    <mergeCell ref="C7:G7"/>
    <mergeCell ref="O7:S7"/>
    <mergeCell ref="C8:G8"/>
    <mergeCell ref="O8:S8"/>
    <mergeCell ref="A1:T1"/>
    <mergeCell ref="A2:T2"/>
    <mergeCell ref="A3:T3"/>
    <mergeCell ref="O5:S5"/>
    <mergeCell ref="C6:G6"/>
    <mergeCell ref="H6:N6"/>
    <mergeCell ref="O6:S6"/>
  </mergeCells>
  <pageMargins left="0.51181102362204722" right="0.51181102362204722" top="0.55118110236220474" bottom="0.55118110236220474" header="0.31496062992125984" footer="0.31496062992125984"/>
  <pageSetup paperSize="5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129"/>
  <sheetViews>
    <sheetView topLeftCell="B9" zoomScaleNormal="100" workbookViewId="0">
      <selection activeCell="O126" sqref="O126"/>
    </sheetView>
  </sheetViews>
  <sheetFormatPr baseColWidth="10" defaultRowHeight="15" x14ac:dyDescent="0.25"/>
  <cols>
    <col min="1" max="1" width="8" style="129" customWidth="1"/>
    <col min="2" max="2" width="33.42578125" style="129" customWidth="1"/>
    <col min="3" max="3" width="15.28515625" style="129" hidden="1" customWidth="1"/>
    <col min="4" max="5" width="13.5703125" style="129" hidden="1" customWidth="1"/>
    <col min="6" max="6" width="14.7109375" style="129" hidden="1" customWidth="1"/>
    <col min="7" max="7" width="14.42578125" style="129" hidden="1" customWidth="1"/>
    <col min="8" max="8" width="12.7109375" style="129" hidden="1" customWidth="1"/>
    <col min="9" max="9" width="16.42578125" style="129" hidden="1" customWidth="1"/>
    <col min="10" max="10" width="11.42578125" style="129" hidden="1" customWidth="1"/>
    <col min="11" max="11" width="13" style="129" hidden="1" customWidth="1"/>
    <col min="12" max="12" width="11.42578125" style="129" hidden="1" customWidth="1"/>
    <col min="13" max="13" width="13.5703125" style="129" hidden="1" customWidth="1"/>
    <col min="14" max="14" width="16" style="129" hidden="1" customWidth="1"/>
    <col min="15" max="15" width="15" style="129" customWidth="1"/>
    <col min="16" max="16" width="13.5703125" style="129" customWidth="1"/>
    <col min="17" max="18" width="12.85546875" style="129" customWidth="1"/>
    <col min="19" max="19" width="13.7109375" style="129" customWidth="1"/>
    <col min="20" max="16384" width="11.42578125" style="129"/>
  </cols>
  <sheetData>
    <row r="1" spans="1:27" s="163" customFormat="1" ht="23.25" x14ac:dyDescent="0.35">
      <c r="A1" s="255" t="s">
        <v>138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129"/>
      <c r="U1" s="129"/>
      <c r="V1" s="129"/>
      <c r="W1" s="129"/>
      <c r="X1" s="129"/>
      <c r="Y1" s="129"/>
      <c r="Z1" s="129"/>
      <c r="AA1" s="129"/>
    </row>
    <row r="2" spans="1:27" s="163" customFormat="1" ht="23.25" x14ac:dyDescent="0.35">
      <c r="A2" s="255" t="s">
        <v>229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129"/>
      <c r="U2" s="129"/>
      <c r="V2" s="129"/>
      <c r="W2" s="129"/>
      <c r="X2" s="129"/>
      <c r="Y2" s="129"/>
      <c r="Z2" s="129"/>
      <c r="AA2" s="129"/>
    </row>
    <row r="3" spans="1:27" s="163" customFormat="1" ht="23.25" x14ac:dyDescent="0.35">
      <c r="A3" s="255" t="s">
        <v>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29"/>
      <c r="U3" s="129"/>
      <c r="V3" s="129"/>
      <c r="W3" s="129"/>
      <c r="X3" s="129"/>
      <c r="Y3" s="129"/>
      <c r="Z3" s="129"/>
      <c r="AA3" s="129"/>
    </row>
    <row r="4" spans="1:27" s="163" customFormat="1" ht="15.75" thickBot="1" x14ac:dyDescent="0.3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pans="1:27" s="163" customFormat="1" ht="15.75" thickBot="1" x14ac:dyDescent="0.3">
      <c r="A5" s="127"/>
      <c r="B5" s="128"/>
      <c r="C5" s="164" t="s">
        <v>26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6"/>
      <c r="O5" s="256" t="s">
        <v>0</v>
      </c>
      <c r="P5" s="257"/>
      <c r="Q5" s="257"/>
      <c r="R5" s="257"/>
      <c r="S5" s="258"/>
      <c r="T5" s="129"/>
      <c r="U5" s="129"/>
      <c r="V5" s="129"/>
      <c r="W5" s="129"/>
      <c r="X5" s="129"/>
      <c r="Y5" s="129"/>
      <c r="Z5" s="129"/>
      <c r="AA5" s="129"/>
    </row>
    <row r="6" spans="1:27" s="163" customFormat="1" ht="15.75" thickBot="1" x14ac:dyDescent="0.3">
      <c r="A6" s="130"/>
      <c r="B6" s="131"/>
      <c r="C6" s="227" t="s">
        <v>25</v>
      </c>
      <c r="D6" s="227"/>
      <c r="E6" s="227"/>
      <c r="F6" s="227"/>
      <c r="G6" s="228"/>
      <c r="H6" s="256" t="s">
        <v>11</v>
      </c>
      <c r="I6" s="257"/>
      <c r="J6" s="257"/>
      <c r="K6" s="257"/>
      <c r="L6" s="257"/>
      <c r="M6" s="257"/>
      <c r="N6" s="257"/>
      <c r="O6" s="259" t="s">
        <v>1</v>
      </c>
      <c r="P6" s="227"/>
      <c r="Q6" s="227"/>
      <c r="R6" s="227"/>
      <c r="S6" s="228"/>
      <c r="T6" s="129"/>
      <c r="U6" s="129"/>
      <c r="V6" s="129"/>
      <c r="W6" s="129"/>
      <c r="X6" s="129"/>
      <c r="Y6" s="129"/>
      <c r="Z6" s="129"/>
      <c r="AA6" s="129"/>
    </row>
    <row r="7" spans="1:27" s="163" customFormat="1" x14ac:dyDescent="0.25">
      <c r="A7" s="132" t="s">
        <v>28</v>
      </c>
      <c r="B7" s="133" t="s">
        <v>27</v>
      </c>
      <c r="C7" s="229" t="s">
        <v>2</v>
      </c>
      <c r="D7" s="229"/>
      <c r="E7" s="229"/>
      <c r="F7" s="229"/>
      <c r="G7" s="229"/>
      <c r="H7" s="167" t="s">
        <v>18</v>
      </c>
      <c r="I7" s="168" t="s">
        <v>18</v>
      </c>
      <c r="J7" s="168" t="s">
        <v>18</v>
      </c>
      <c r="K7" s="168" t="s">
        <v>19</v>
      </c>
      <c r="L7" s="168" t="s">
        <v>18</v>
      </c>
      <c r="M7" s="168" t="s">
        <v>20</v>
      </c>
      <c r="N7" s="169"/>
      <c r="O7" s="252" t="s">
        <v>2</v>
      </c>
      <c r="P7" s="253"/>
      <c r="Q7" s="253"/>
      <c r="R7" s="253"/>
      <c r="S7" s="254"/>
      <c r="T7" s="129"/>
      <c r="U7" s="129"/>
      <c r="V7" s="129"/>
      <c r="W7" s="129"/>
      <c r="X7" s="129"/>
      <c r="Y7" s="129"/>
      <c r="Z7" s="129"/>
      <c r="AA7" s="129"/>
    </row>
    <row r="8" spans="1:27" s="163" customFormat="1" x14ac:dyDescent="0.25">
      <c r="A8" s="130"/>
      <c r="B8" s="131"/>
      <c r="C8" s="231" t="s">
        <v>24</v>
      </c>
      <c r="D8" s="231"/>
      <c r="E8" s="231"/>
      <c r="F8" s="231"/>
      <c r="G8" s="231"/>
      <c r="H8" s="170" t="s">
        <v>21</v>
      </c>
      <c r="I8" s="171" t="s">
        <v>21</v>
      </c>
      <c r="J8" s="171" t="s">
        <v>21</v>
      </c>
      <c r="K8" s="171" t="s">
        <v>22</v>
      </c>
      <c r="L8" s="171" t="s">
        <v>21</v>
      </c>
      <c r="M8" s="171" t="s">
        <v>23</v>
      </c>
      <c r="N8" s="172" t="s">
        <v>12</v>
      </c>
      <c r="O8" s="252" t="s">
        <v>3</v>
      </c>
      <c r="P8" s="253"/>
      <c r="Q8" s="253"/>
      <c r="R8" s="253"/>
      <c r="S8" s="254"/>
      <c r="T8" s="129"/>
      <c r="U8" s="129"/>
      <c r="V8" s="129"/>
      <c r="W8" s="129"/>
      <c r="X8" s="129"/>
      <c r="Y8" s="129"/>
      <c r="Z8" s="129"/>
      <c r="AA8" s="129"/>
    </row>
    <row r="9" spans="1:27" s="163" customFormat="1" ht="25.5" thickBot="1" x14ac:dyDescent="0.3">
      <c r="A9" s="134"/>
      <c r="B9" s="135"/>
      <c r="C9" s="136" t="s">
        <v>6</v>
      </c>
      <c r="D9" s="137" t="s">
        <v>7</v>
      </c>
      <c r="E9" s="137" t="s">
        <v>8</v>
      </c>
      <c r="F9" s="137" t="s">
        <v>9</v>
      </c>
      <c r="G9" s="173" t="s">
        <v>10</v>
      </c>
      <c r="H9" s="174" t="s">
        <v>13</v>
      </c>
      <c r="I9" s="137" t="s">
        <v>14</v>
      </c>
      <c r="J9" s="137" t="s">
        <v>14</v>
      </c>
      <c r="K9" s="137" t="s">
        <v>15</v>
      </c>
      <c r="L9" s="137" t="s">
        <v>16</v>
      </c>
      <c r="M9" s="173" t="s">
        <v>17</v>
      </c>
      <c r="N9" s="175"/>
      <c r="O9" s="176" t="s">
        <v>6</v>
      </c>
      <c r="P9" s="177" t="s">
        <v>7</v>
      </c>
      <c r="Q9" s="177" t="s">
        <v>8</v>
      </c>
      <c r="R9" s="177" t="s">
        <v>9</v>
      </c>
      <c r="S9" s="178" t="s">
        <v>228</v>
      </c>
      <c r="T9" s="129"/>
      <c r="U9" s="129"/>
      <c r="V9" s="129"/>
      <c r="W9" s="129"/>
      <c r="X9" s="129"/>
      <c r="Y9" s="129"/>
      <c r="Z9" s="129"/>
      <c r="AA9" s="129"/>
    </row>
    <row r="10" spans="1:27" s="163" customFormat="1" x14ac:dyDescent="0.25">
      <c r="A10" s="179">
        <v>51</v>
      </c>
      <c r="B10" s="140" t="s">
        <v>30</v>
      </c>
      <c r="C10" s="141">
        <f>C11+C18+C22+C25+C31+C34+C28</f>
        <v>124657.79</v>
      </c>
      <c r="D10" s="141">
        <f t="shared" ref="D10:R10" si="0">D11+D18+D22+D25+D31+D34+D28</f>
        <v>103071</v>
      </c>
      <c r="E10" s="141">
        <f t="shared" si="0"/>
        <v>39043</v>
      </c>
      <c r="F10" s="141">
        <f t="shared" si="0"/>
        <v>114095.69</v>
      </c>
      <c r="G10" s="180">
        <f>G11+G18+G22+G25+G31+G34+G28</f>
        <v>380867.48</v>
      </c>
      <c r="H10" s="181">
        <f t="shared" si="0"/>
        <v>0</v>
      </c>
      <c r="I10" s="141">
        <f t="shared" si="0"/>
        <v>0</v>
      </c>
      <c r="J10" s="141">
        <f t="shared" si="0"/>
        <v>0</v>
      </c>
      <c r="K10" s="141">
        <f t="shared" si="0"/>
        <v>0</v>
      </c>
      <c r="L10" s="141">
        <f t="shared" si="0"/>
        <v>0</v>
      </c>
      <c r="M10" s="141">
        <f t="shared" si="0"/>
        <v>0</v>
      </c>
      <c r="N10" s="142">
        <f t="shared" si="0"/>
        <v>0</v>
      </c>
      <c r="O10" s="181">
        <f>O11+O18+O22+O25+O31+O34+O28</f>
        <v>152349.10999999999</v>
      </c>
      <c r="P10" s="141">
        <f>P11+P18+P22+P25+P31+P34+P28</f>
        <v>34725.14</v>
      </c>
      <c r="Q10" s="141">
        <f t="shared" si="0"/>
        <v>7791</v>
      </c>
      <c r="R10" s="141">
        <f t="shared" si="0"/>
        <v>35818.879999999997</v>
      </c>
      <c r="S10" s="141">
        <f>S11+S18+S22+S25+S28+S31+S34</f>
        <v>230684.13</v>
      </c>
      <c r="T10" s="129"/>
      <c r="U10" s="129"/>
      <c r="V10" s="129"/>
      <c r="W10" s="129"/>
      <c r="X10" s="129"/>
      <c r="Y10" s="129"/>
      <c r="Z10" s="129"/>
      <c r="AA10" s="129"/>
    </row>
    <row r="11" spans="1:27" s="163" customFormat="1" x14ac:dyDescent="0.25">
      <c r="A11" s="182">
        <v>511</v>
      </c>
      <c r="B11" s="144" t="s">
        <v>31</v>
      </c>
      <c r="C11" s="141">
        <f>C12+C13+C14</f>
        <v>112657.79</v>
      </c>
      <c r="D11" s="141">
        <f t="shared" ref="D11:R11" si="1">D12+D13+D14</f>
        <v>103071</v>
      </c>
      <c r="E11" s="141">
        <f t="shared" si="1"/>
        <v>39043</v>
      </c>
      <c r="F11" s="141">
        <f t="shared" si="1"/>
        <v>114095.69</v>
      </c>
      <c r="G11" s="180">
        <f t="shared" si="1"/>
        <v>368867.48</v>
      </c>
      <c r="H11" s="181">
        <f t="shared" si="1"/>
        <v>0</v>
      </c>
      <c r="I11" s="141">
        <f t="shared" si="1"/>
        <v>0</v>
      </c>
      <c r="J11" s="141">
        <f t="shared" si="1"/>
        <v>0</v>
      </c>
      <c r="K11" s="141">
        <f t="shared" si="1"/>
        <v>0</v>
      </c>
      <c r="L11" s="141">
        <f t="shared" si="1"/>
        <v>0</v>
      </c>
      <c r="M11" s="141">
        <f t="shared" si="1"/>
        <v>0</v>
      </c>
      <c r="N11" s="142">
        <f t="shared" si="1"/>
        <v>0</v>
      </c>
      <c r="O11" s="181">
        <f>O12+O13+O14</f>
        <v>33827.78</v>
      </c>
      <c r="P11" s="141">
        <f t="shared" si="1"/>
        <v>18710</v>
      </c>
      <c r="Q11" s="141">
        <f t="shared" si="1"/>
        <v>4200</v>
      </c>
      <c r="R11" s="141">
        <f t="shared" si="1"/>
        <v>12212</v>
      </c>
      <c r="S11" s="141">
        <f>S12+S13+S14+S15+S16+S17</f>
        <v>68949.78</v>
      </c>
      <c r="T11" s="129"/>
      <c r="U11" s="129"/>
      <c r="V11" s="129"/>
      <c r="W11" s="129"/>
      <c r="X11" s="129"/>
      <c r="Y11" s="129"/>
      <c r="Z11" s="129"/>
      <c r="AA11" s="129"/>
    </row>
    <row r="12" spans="1:27" s="163" customFormat="1" x14ac:dyDescent="0.25">
      <c r="A12" s="183">
        <v>51101</v>
      </c>
      <c r="B12" s="146" t="s">
        <v>32</v>
      </c>
      <c r="C12" s="147">
        <v>66166.679999999993</v>
      </c>
      <c r="D12" s="147">
        <v>95880</v>
      </c>
      <c r="E12" s="147">
        <v>36240</v>
      </c>
      <c r="F12" s="147">
        <f>65946.72+32000.04</f>
        <v>97946.760000000009</v>
      </c>
      <c r="G12" s="184">
        <f>C12+D12+E12+F12</f>
        <v>296233.44</v>
      </c>
      <c r="H12" s="185"/>
      <c r="I12" s="147"/>
      <c r="J12" s="147"/>
      <c r="K12" s="147"/>
      <c r="L12" s="147"/>
      <c r="M12" s="147"/>
      <c r="N12" s="186">
        <f t="shared" ref="N12:N72" si="2">SUM(H12:M12)</f>
        <v>0</v>
      </c>
      <c r="O12" s="185">
        <f>5913.89*2</f>
        <v>11827.78</v>
      </c>
      <c r="P12" s="147">
        <f>18710</f>
        <v>18710</v>
      </c>
      <c r="Q12" s="147">
        <f>2100*2</f>
        <v>4200</v>
      </c>
      <c r="R12" s="187">
        <v>12212</v>
      </c>
      <c r="S12" s="147">
        <f t="shared" ref="S12:S17" si="3">SUM(O12:R12)</f>
        <v>46949.78</v>
      </c>
      <c r="T12" s="129"/>
      <c r="U12" s="129"/>
      <c r="V12" s="129"/>
      <c r="W12" s="129"/>
      <c r="X12" s="129"/>
      <c r="Y12" s="129"/>
      <c r="Z12" s="129"/>
      <c r="AA12" s="129"/>
    </row>
    <row r="13" spans="1:27" s="163" customFormat="1" x14ac:dyDescent="0.25">
      <c r="A13" s="183">
        <v>51103</v>
      </c>
      <c r="B13" s="146" t="s">
        <v>33</v>
      </c>
      <c r="C13" s="147">
        <v>4491.1099999999997</v>
      </c>
      <c r="D13" s="147">
        <v>7191</v>
      </c>
      <c r="E13" s="147">
        <v>2803</v>
      </c>
      <c r="F13" s="147">
        <f>8032.23+8116.7</f>
        <v>16148.93</v>
      </c>
      <c r="G13" s="184">
        <f>C13+D13+E13+F13</f>
        <v>30634.04</v>
      </c>
      <c r="H13" s="185"/>
      <c r="I13" s="147"/>
      <c r="J13" s="147"/>
      <c r="K13" s="147"/>
      <c r="L13" s="147"/>
      <c r="M13" s="147"/>
      <c r="N13" s="186">
        <f t="shared" si="2"/>
        <v>0</v>
      </c>
      <c r="O13" s="185"/>
      <c r="P13" s="147"/>
      <c r="Q13" s="147"/>
      <c r="R13" s="147"/>
      <c r="S13" s="147">
        <f t="shared" si="3"/>
        <v>0</v>
      </c>
      <c r="T13" s="129"/>
      <c r="U13" s="129"/>
      <c r="V13" s="129"/>
      <c r="W13" s="129"/>
      <c r="X13" s="129"/>
      <c r="Y13" s="129"/>
      <c r="Z13" s="129"/>
      <c r="AA13" s="129"/>
    </row>
    <row r="14" spans="1:27" s="163" customFormat="1" x14ac:dyDescent="0.25">
      <c r="A14" s="183">
        <v>51105</v>
      </c>
      <c r="B14" s="146" t="s">
        <v>34</v>
      </c>
      <c r="C14" s="147">
        <v>42000</v>
      </c>
      <c r="D14" s="147"/>
      <c r="E14" s="147"/>
      <c r="F14" s="147"/>
      <c r="G14" s="184">
        <f>C14+D14+E14+F14</f>
        <v>42000</v>
      </c>
      <c r="H14" s="185"/>
      <c r="I14" s="147"/>
      <c r="J14" s="147"/>
      <c r="K14" s="147"/>
      <c r="L14" s="147"/>
      <c r="M14" s="147"/>
      <c r="N14" s="186">
        <f t="shared" si="2"/>
        <v>0</v>
      </c>
      <c r="O14" s="185">
        <v>22000</v>
      </c>
      <c r="P14" s="147"/>
      <c r="Q14" s="147"/>
      <c r="R14" s="147"/>
      <c r="S14" s="147">
        <f t="shared" si="3"/>
        <v>22000</v>
      </c>
      <c r="T14" s="129"/>
      <c r="U14" s="129"/>
      <c r="V14" s="129"/>
      <c r="W14" s="129"/>
      <c r="X14" s="129"/>
      <c r="Y14" s="129"/>
      <c r="Z14" s="129"/>
      <c r="AA14" s="129"/>
    </row>
    <row r="15" spans="1:27" s="163" customFormat="1" hidden="1" x14ac:dyDescent="0.25">
      <c r="A15" s="183"/>
      <c r="B15" s="146"/>
      <c r="C15" s="147"/>
      <c r="D15" s="147"/>
      <c r="E15" s="147"/>
      <c r="F15" s="147"/>
      <c r="G15" s="184"/>
      <c r="H15" s="185"/>
      <c r="I15" s="147"/>
      <c r="J15" s="147"/>
      <c r="K15" s="147"/>
      <c r="L15" s="147"/>
      <c r="M15" s="147"/>
      <c r="N15" s="186"/>
      <c r="O15" s="185"/>
      <c r="P15" s="147"/>
      <c r="Q15" s="147"/>
      <c r="R15" s="147"/>
      <c r="S15" s="147">
        <f t="shared" si="3"/>
        <v>0</v>
      </c>
      <c r="T15" s="129"/>
      <c r="U15" s="129"/>
      <c r="V15" s="129"/>
      <c r="W15" s="129"/>
      <c r="X15" s="129"/>
      <c r="Y15" s="129"/>
      <c r="Z15" s="129"/>
      <c r="AA15" s="129"/>
    </row>
    <row r="16" spans="1:27" s="163" customFormat="1" hidden="1" x14ac:dyDescent="0.25">
      <c r="A16" s="183"/>
      <c r="B16" s="146"/>
      <c r="C16" s="147"/>
      <c r="D16" s="147"/>
      <c r="E16" s="147"/>
      <c r="F16" s="147"/>
      <c r="G16" s="184"/>
      <c r="H16" s="185"/>
      <c r="I16" s="147"/>
      <c r="J16" s="147"/>
      <c r="K16" s="147"/>
      <c r="L16" s="147"/>
      <c r="M16" s="147"/>
      <c r="N16" s="186"/>
      <c r="O16" s="185"/>
      <c r="P16" s="147"/>
      <c r="Q16" s="147"/>
      <c r="R16" s="147"/>
      <c r="S16" s="147">
        <f t="shared" si="3"/>
        <v>0</v>
      </c>
      <c r="T16" s="129"/>
      <c r="U16" s="129"/>
      <c r="V16" s="129"/>
      <c r="W16" s="129"/>
      <c r="X16" s="129"/>
      <c r="Y16" s="129"/>
      <c r="Z16" s="129"/>
      <c r="AA16" s="129"/>
    </row>
    <row r="17" spans="1:19" hidden="1" x14ac:dyDescent="0.25">
      <c r="A17" s="183"/>
      <c r="B17" s="146"/>
      <c r="C17" s="147"/>
      <c r="D17" s="147"/>
      <c r="E17" s="147"/>
      <c r="F17" s="147"/>
      <c r="G17" s="184"/>
      <c r="H17" s="185"/>
      <c r="I17" s="147"/>
      <c r="J17" s="147"/>
      <c r="K17" s="147"/>
      <c r="L17" s="147"/>
      <c r="M17" s="147"/>
      <c r="N17" s="186"/>
      <c r="O17" s="185"/>
      <c r="P17" s="147"/>
      <c r="Q17" s="147"/>
      <c r="R17" s="147"/>
      <c r="S17" s="147">
        <f t="shared" si="3"/>
        <v>0</v>
      </c>
    </row>
    <row r="18" spans="1:19" x14ac:dyDescent="0.25">
      <c r="A18" s="182">
        <v>512</v>
      </c>
      <c r="B18" s="144" t="s">
        <v>35</v>
      </c>
      <c r="C18" s="141">
        <f>C19+C20+C21</f>
        <v>7200</v>
      </c>
      <c r="D18" s="141">
        <f t="shared" ref="D18:F18" si="4">D19+D20+D21</f>
        <v>0</v>
      </c>
      <c r="E18" s="141">
        <f t="shared" si="4"/>
        <v>0</v>
      </c>
      <c r="F18" s="141">
        <f t="shared" si="4"/>
        <v>0</v>
      </c>
      <c r="G18" s="180">
        <f>G19+G20+G21</f>
        <v>7200</v>
      </c>
      <c r="H18" s="181">
        <f t="shared" ref="H18:R18" si="5">H19+H20+H21</f>
        <v>0</v>
      </c>
      <c r="I18" s="141">
        <f t="shared" si="5"/>
        <v>0</v>
      </c>
      <c r="J18" s="141">
        <f t="shared" si="5"/>
        <v>0</v>
      </c>
      <c r="K18" s="141">
        <f t="shared" si="5"/>
        <v>0</v>
      </c>
      <c r="L18" s="141">
        <f t="shared" si="5"/>
        <v>0</v>
      </c>
      <c r="M18" s="141">
        <f t="shared" si="5"/>
        <v>0</v>
      </c>
      <c r="N18" s="142">
        <f t="shared" si="5"/>
        <v>0</v>
      </c>
      <c r="O18" s="181">
        <f>O19+O20+O21</f>
        <v>72950.12</v>
      </c>
      <c r="P18" s="141">
        <f t="shared" si="5"/>
        <v>0</v>
      </c>
      <c r="Q18" s="141">
        <f t="shared" si="5"/>
        <v>0</v>
      </c>
      <c r="R18" s="141">
        <f t="shared" si="5"/>
        <v>0</v>
      </c>
      <c r="S18" s="141">
        <f>S19+S20+S21</f>
        <v>72950.12</v>
      </c>
    </row>
    <row r="19" spans="1:19" x14ac:dyDescent="0.25">
      <c r="A19" s="183">
        <v>51201</v>
      </c>
      <c r="B19" s="146" t="s">
        <v>226</v>
      </c>
      <c r="C19" s="147">
        <v>7200</v>
      </c>
      <c r="D19" s="147"/>
      <c r="E19" s="147"/>
      <c r="F19" s="147"/>
      <c r="G19" s="184">
        <f t="shared" ref="G19:G85" si="6">C19+D19+E19+F19</f>
        <v>7200</v>
      </c>
      <c r="H19" s="185"/>
      <c r="I19" s="147"/>
      <c r="J19" s="147"/>
      <c r="K19" s="147"/>
      <c r="L19" s="147"/>
      <c r="M19" s="147"/>
      <c r="N19" s="186">
        <f t="shared" si="2"/>
        <v>0</v>
      </c>
      <c r="O19" s="185">
        <f>23339.2+12800.04</f>
        <v>36139.240000000005</v>
      </c>
      <c r="P19" s="147">
        <v>0</v>
      </c>
      <c r="Q19" s="188">
        <v>0</v>
      </c>
      <c r="R19" s="147">
        <v>0</v>
      </c>
      <c r="S19" s="147">
        <f>O19+P19+Q19+R19</f>
        <v>36139.240000000005</v>
      </c>
    </row>
    <row r="20" spans="1:19" x14ac:dyDescent="0.25">
      <c r="A20" s="183">
        <v>51202</v>
      </c>
      <c r="B20" s="146" t="s">
        <v>36</v>
      </c>
      <c r="C20" s="147"/>
      <c r="D20" s="147"/>
      <c r="E20" s="147"/>
      <c r="F20" s="147"/>
      <c r="G20" s="184">
        <f t="shared" si="6"/>
        <v>0</v>
      </c>
      <c r="H20" s="185"/>
      <c r="I20" s="147"/>
      <c r="J20" s="147"/>
      <c r="K20" s="147"/>
      <c r="L20" s="147"/>
      <c r="M20" s="147"/>
      <c r="N20" s="186">
        <f t="shared" si="2"/>
        <v>0</v>
      </c>
      <c r="O20" s="185">
        <v>36810.879999999997</v>
      </c>
      <c r="P20" s="147"/>
      <c r="Q20" s="147"/>
      <c r="R20" s="147"/>
      <c r="S20" s="147">
        <f>SUM(O20:R20)</f>
        <v>36810.879999999997</v>
      </c>
    </row>
    <row r="21" spans="1:19" hidden="1" x14ac:dyDescent="0.25">
      <c r="A21" s="183">
        <v>51203</v>
      </c>
      <c r="B21" s="146" t="s">
        <v>33</v>
      </c>
      <c r="C21" s="147"/>
      <c r="D21" s="147"/>
      <c r="E21" s="147"/>
      <c r="F21" s="147"/>
      <c r="G21" s="184">
        <f t="shared" si="6"/>
        <v>0</v>
      </c>
      <c r="H21" s="185"/>
      <c r="I21" s="147"/>
      <c r="J21" s="147"/>
      <c r="K21" s="147"/>
      <c r="L21" s="147"/>
      <c r="M21" s="147"/>
      <c r="N21" s="186">
        <f t="shared" si="2"/>
        <v>0</v>
      </c>
      <c r="O21" s="185"/>
      <c r="P21" s="147"/>
      <c r="Q21" s="147"/>
      <c r="R21" s="147"/>
      <c r="S21" s="147">
        <f t="shared" ref="S21" si="7">SUM(O21:R21)</f>
        <v>0</v>
      </c>
    </row>
    <row r="22" spans="1:19" x14ac:dyDescent="0.25">
      <c r="A22" s="182">
        <v>514</v>
      </c>
      <c r="B22" s="144" t="s">
        <v>37</v>
      </c>
      <c r="C22" s="141">
        <f>C23+C24</f>
        <v>0</v>
      </c>
      <c r="D22" s="141">
        <f t="shared" ref="D22:N22" si="8">D23+D24</f>
        <v>0</v>
      </c>
      <c r="E22" s="141">
        <f t="shared" si="8"/>
        <v>0</v>
      </c>
      <c r="F22" s="141">
        <f t="shared" si="8"/>
        <v>0</v>
      </c>
      <c r="G22" s="180">
        <f t="shared" si="8"/>
        <v>0</v>
      </c>
      <c r="H22" s="181">
        <f t="shared" si="8"/>
        <v>0</v>
      </c>
      <c r="I22" s="141">
        <f t="shared" si="8"/>
        <v>0</v>
      </c>
      <c r="J22" s="141">
        <f t="shared" si="8"/>
        <v>0</v>
      </c>
      <c r="K22" s="141">
        <f t="shared" si="8"/>
        <v>0</v>
      </c>
      <c r="L22" s="141">
        <f t="shared" si="8"/>
        <v>0</v>
      </c>
      <c r="M22" s="141">
        <f t="shared" si="8"/>
        <v>0</v>
      </c>
      <c r="N22" s="142">
        <f t="shared" si="8"/>
        <v>0</v>
      </c>
      <c r="O22" s="181">
        <f>O23+O24</f>
        <v>4720.04</v>
      </c>
      <c r="P22" s="141">
        <f>P23+P24</f>
        <v>8923.5600000000013</v>
      </c>
      <c r="Q22" s="141">
        <f>Q23+Q24</f>
        <v>1890</v>
      </c>
      <c r="R22" s="141">
        <f>R23+R24</f>
        <v>13066.2</v>
      </c>
      <c r="S22" s="141">
        <f>S23+S24</f>
        <v>28599.800000000003</v>
      </c>
    </row>
    <row r="23" spans="1:19" x14ac:dyDescent="0.25">
      <c r="A23" s="183">
        <v>51401</v>
      </c>
      <c r="B23" s="146" t="s">
        <v>38</v>
      </c>
      <c r="C23" s="147">
        <v>0</v>
      </c>
      <c r="D23" s="147">
        <v>0</v>
      </c>
      <c r="E23" s="147">
        <v>0</v>
      </c>
      <c r="F23" s="147">
        <v>0</v>
      </c>
      <c r="G23" s="184">
        <f t="shared" si="6"/>
        <v>0</v>
      </c>
      <c r="H23" s="185"/>
      <c r="I23" s="147"/>
      <c r="J23" s="147"/>
      <c r="K23" s="147"/>
      <c r="L23" s="147"/>
      <c r="M23" s="147"/>
      <c r="N23" s="186">
        <f t="shared" si="2"/>
        <v>0</v>
      </c>
      <c r="O23" s="185">
        <v>4220.04</v>
      </c>
      <c r="P23" s="147">
        <f>8014.56+504+45+360</f>
        <v>8923.5600000000013</v>
      </c>
      <c r="Q23" s="147">
        <v>1890</v>
      </c>
      <c r="R23" s="147">
        <f>4842.96+504+7233.24+486</f>
        <v>13066.2</v>
      </c>
      <c r="S23" s="147">
        <f>SUM(O23:R23)</f>
        <v>28099.800000000003</v>
      </c>
    </row>
    <row r="24" spans="1:19" x14ac:dyDescent="0.25">
      <c r="A24" s="183">
        <v>51402</v>
      </c>
      <c r="B24" s="146" t="s">
        <v>39</v>
      </c>
      <c r="C24" s="147"/>
      <c r="D24" s="147"/>
      <c r="E24" s="147"/>
      <c r="F24" s="147"/>
      <c r="G24" s="184">
        <f t="shared" si="6"/>
        <v>0</v>
      </c>
      <c r="H24" s="185"/>
      <c r="I24" s="147"/>
      <c r="J24" s="147"/>
      <c r="K24" s="147"/>
      <c r="L24" s="147"/>
      <c r="M24" s="147"/>
      <c r="N24" s="186">
        <f t="shared" si="2"/>
        <v>0</v>
      </c>
      <c r="O24" s="185">
        <v>500</v>
      </c>
      <c r="P24" s="147"/>
      <c r="Q24" s="147"/>
      <c r="R24" s="147"/>
      <c r="S24" s="147">
        <f>SUM(O24:R24)</f>
        <v>500</v>
      </c>
    </row>
    <row r="25" spans="1:19" x14ac:dyDescent="0.25">
      <c r="A25" s="182">
        <v>515</v>
      </c>
      <c r="B25" s="144" t="s">
        <v>40</v>
      </c>
      <c r="C25" s="141">
        <f>C26+C27</f>
        <v>0</v>
      </c>
      <c r="D25" s="141">
        <f t="shared" ref="D25:N25" si="9">D26+D27</f>
        <v>0</v>
      </c>
      <c r="E25" s="141">
        <f t="shared" si="9"/>
        <v>0</v>
      </c>
      <c r="F25" s="141">
        <f t="shared" si="9"/>
        <v>0</v>
      </c>
      <c r="G25" s="180">
        <f t="shared" si="9"/>
        <v>0</v>
      </c>
      <c r="H25" s="181">
        <f t="shared" si="9"/>
        <v>0</v>
      </c>
      <c r="I25" s="141">
        <f t="shared" si="9"/>
        <v>0</v>
      </c>
      <c r="J25" s="141">
        <f t="shared" si="9"/>
        <v>0</v>
      </c>
      <c r="K25" s="141">
        <f t="shared" si="9"/>
        <v>0</v>
      </c>
      <c r="L25" s="141">
        <f t="shared" si="9"/>
        <v>0</v>
      </c>
      <c r="M25" s="141">
        <f t="shared" si="9"/>
        <v>0</v>
      </c>
      <c r="N25" s="142">
        <f t="shared" si="9"/>
        <v>0</v>
      </c>
      <c r="O25" s="181">
        <f>O26+O27</f>
        <v>5343.28</v>
      </c>
      <c r="P25" s="141">
        <f t="shared" ref="P25:R25" si="10">P26+P27</f>
        <v>7091.58</v>
      </c>
      <c r="Q25" s="141">
        <f t="shared" si="10"/>
        <v>1701</v>
      </c>
      <c r="R25" s="141">
        <f t="shared" si="10"/>
        <v>10540.679999999998</v>
      </c>
      <c r="S25" s="141">
        <f>S26+S27</f>
        <v>24676.54</v>
      </c>
    </row>
    <row r="26" spans="1:19" x14ac:dyDescent="0.25">
      <c r="A26" s="183">
        <v>51501</v>
      </c>
      <c r="B26" s="146" t="s">
        <v>38</v>
      </c>
      <c r="C26" s="147"/>
      <c r="D26" s="147"/>
      <c r="E26" s="147"/>
      <c r="F26" s="147"/>
      <c r="G26" s="184">
        <f t="shared" si="6"/>
        <v>0</v>
      </c>
      <c r="H26" s="185"/>
      <c r="I26" s="147"/>
      <c r="J26" s="147"/>
      <c r="K26" s="147"/>
      <c r="L26" s="147"/>
      <c r="M26" s="147"/>
      <c r="N26" s="186">
        <f t="shared" si="2"/>
        <v>0</v>
      </c>
      <c r="O26" s="185">
        <v>4790.28</v>
      </c>
      <c r="P26" s="147">
        <f>6727.08+40.5+324</f>
        <v>7091.58</v>
      </c>
      <c r="Q26" s="147">
        <v>1701</v>
      </c>
      <c r="R26" s="147">
        <f>3872.64+6303.48+364.56</f>
        <v>10540.679999999998</v>
      </c>
      <c r="S26" s="147">
        <f>SUM(O26:R26)</f>
        <v>24123.54</v>
      </c>
    </row>
    <row r="27" spans="1:19" x14ac:dyDescent="0.25">
      <c r="A27" s="183">
        <v>51502</v>
      </c>
      <c r="B27" s="146" t="s">
        <v>39</v>
      </c>
      <c r="C27" s="147"/>
      <c r="D27" s="147"/>
      <c r="E27" s="147"/>
      <c r="F27" s="147"/>
      <c r="G27" s="184">
        <f t="shared" si="6"/>
        <v>0</v>
      </c>
      <c r="H27" s="185"/>
      <c r="I27" s="147"/>
      <c r="J27" s="147"/>
      <c r="K27" s="147"/>
      <c r="L27" s="147"/>
      <c r="M27" s="147"/>
      <c r="N27" s="186">
        <f t="shared" si="2"/>
        <v>0</v>
      </c>
      <c r="O27" s="185">
        <v>553</v>
      </c>
      <c r="P27" s="147"/>
      <c r="Q27" s="147"/>
      <c r="R27" s="147"/>
      <c r="S27" s="147">
        <f>SUM(O27:R27)</f>
        <v>553</v>
      </c>
    </row>
    <row r="28" spans="1:19" x14ac:dyDescent="0.25">
      <c r="A28" s="182">
        <v>517</v>
      </c>
      <c r="B28" s="144" t="s">
        <v>84</v>
      </c>
      <c r="C28" s="141">
        <f>C29+C30</f>
        <v>0</v>
      </c>
      <c r="D28" s="141">
        <f>D29+D30</f>
        <v>0</v>
      </c>
      <c r="E28" s="141">
        <f t="shared" ref="E28:R28" si="11">E29+E30</f>
        <v>0</v>
      </c>
      <c r="F28" s="141">
        <f t="shared" si="11"/>
        <v>0</v>
      </c>
      <c r="G28" s="180">
        <f t="shared" si="11"/>
        <v>0</v>
      </c>
      <c r="H28" s="181">
        <f t="shared" si="11"/>
        <v>0</v>
      </c>
      <c r="I28" s="141">
        <f t="shared" si="11"/>
        <v>0</v>
      </c>
      <c r="J28" s="141">
        <f t="shared" si="11"/>
        <v>0</v>
      </c>
      <c r="K28" s="141">
        <f t="shared" si="11"/>
        <v>0</v>
      </c>
      <c r="L28" s="141">
        <f t="shared" si="11"/>
        <v>0</v>
      </c>
      <c r="M28" s="141">
        <f t="shared" si="11"/>
        <v>0</v>
      </c>
      <c r="N28" s="142">
        <f t="shared" si="11"/>
        <v>0</v>
      </c>
      <c r="O28" s="141">
        <f>O29+O30</f>
        <v>20507.89</v>
      </c>
      <c r="P28" s="141">
        <f t="shared" si="11"/>
        <v>0</v>
      </c>
      <c r="Q28" s="141">
        <f t="shared" si="11"/>
        <v>0</v>
      </c>
      <c r="R28" s="141">
        <f t="shared" si="11"/>
        <v>0</v>
      </c>
      <c r="S28" s="141">
        <f>S29+S30</f>
        <v>20507.89</v>
      </c>
    </row>
    <row r="29" spans="1:19" x14ac:dyDescent="0.25">
      <c r="A29" s="183">
        <v>51701</v>
      </c>
      <c r="B29" s="146" t="s">
        <v>134</v>
      </c>
      <c r="C29" s="147"/>
      <c r="D29" s="147">
        <v>0</v>
      </c>
      <c r="E29" s="147">
        <v>0</v>
      </c>
      <c r="F29" s="147">
        <v>0</v>
      </c>
      <c r="G29" s="189">
        <v>0</v>
      </c>
      <c r="H29" s="185">
        <v>0</v>
      </c>
      <c r="I29" s="147">
        <v>0</v>
      </c>
      <c r="J29" s="147">
        <v>0</v>
      </c>
      <c r="K29" s="147">
        <v>0</v>
      </c>
      <c r="L29" s="147">
        <v>0</v>
      </c>
      <c r="M29" s="147">
        <v>0</v>
      </c>
      <c r="N29" s="149">
        <v>0</v>
      </c>
      <c r="O29" s="147">
        <v>20407.89</v>
      </c>
      <c r="P29" s="147">
        <v>0</v>
      </c>
      <c r="Q29" s="147">
        <v>0</v>
      </c>
      <c r="R29" s="147">
        <v>0</v>
      </c>
      <c r="S29" s="147">
        <f>SUM(O29:R29)</f>
        <v>20407.89</v>
      </c>
    </row>
    <row r="30" spans="1:19" x14ac:dyDescent="0.25">
      <c r="A30" s="183">
        <v>51702</v>
      </c>
      <c r="B30" s="146" t="s">
        <v>85</v>
      </c>
      <c r="C30" s="147"/>
      <c r="D30" s="147"/>
      <c r="E30" s="147"/>
      <c r="F30" s="147"/>
      <c r="G30" s="189">
        <v>0</v>
      </c>
      <c r="H30" s="185"/>
      <c r="I30" s="147"/>
      <c r="J30" s="147"/>
      <c r="K30" s="147"/>
      <c r="L30" s="147"/>
      <c r="M30" s="147"/>
      <c r="N30" s="186"/>
      <c r="O30" s="185">
        <v>100</v>
      </c>
      <c r="P30" s="147"/>
      <c r="Q30" s="147"/>
      <c r="R30" s="147"/>
      <c r="S30" s="147">
        <f>SUM(O30:R30)</f>
        <v>100</v>
      </c>
    </row>
    <row r="31" spans="1:19" x14ac:dyDescent="0.25">
      <c r="A31" s="182">
        <v>516</v>
      </c>
      <c r="B31" s="144" t="s">
        <v>41</v>
      </c>
      <c r="C31" s="141">
        <f>C32+C33</f>
        <v>0</v>
      </c>
      <c r="D31" s="141">
        <f t="shared" ref="D31:R31" si="12">D32+D33</f>
        <v>0</v>
      </c>
      <c r="E31" s="141">
        <f t="shared" si="12"/>
        <v>0</v>
      </c>
      <c r="F31" s="141">
        <f t="shared" si="12"/>
        <v>0</v>
      </c>
      <c r="G31" s="180">
        <f t="shared" si="12"/>
        <v>0</v>
      </c>
      <c r="H31" s="181">
        <f t="shared" si="12"/>
        <v>0</v>
      </c>
      <c r="I31" s="141">
        <f t="shared" si="12"/>
        <v>0</v>
      </c>
      <c r="J31" s="141">
        <f t="shared" si="12"/>
        <v>0</v>
      </c>
      <c r="K31" s="141">
        <f t="shared" si="12"/>
        <v>0</v>
      </c>
      <c r="L31" s="141">
        <f t="shared" si="12"/>
        <v>0</v>
      </c>
      <c r="M31" s="141">
        <f t="shared" si="12"/>
        <v>0</v>
      </c>
      <c r="N31" s="142">
        <f t="shared" si="12"/>
        <v>0</v>
      </c>
      <c r="O31" s="181">
        <f t="shared" si="12"/>
        <v>13000</v>
      </c>
      <c r="P31" s="141">
        <f t="shared" si="12"/>
        <v>0</v>
      </c>
      <c r="Q31" s="141">
        <f t="shared" si="12"/>
        <v>0</v>
      </c>
      <c r="R31" s="141">
        <f t="shared" si="12"/>
        <v>0</v>
      </c>
      <c r="S31" s="141">
        <f>S32+S33</f>
        <v>13000</v>
      </c>
    </row>
    <row r="32" spans="1:19" x14ac:dyDescent="0.25">
      <c r="A32" s="183">
        <v>51601</v>
      </c>
      <c r="B32" s="146" t="s">
        <v>42</v>
      </c>
      <c r="C32" s="147"/>
      <c r="D32" s="147"/>
      <c r="E32" s="147"/>
      <c r="F32" s="147"/>
      <c r="G32" s="184">
        <f t="shared" si="6"/>
        <v>0</v>
      </c>
      <c r="H32" s="185"/>
      <c r="I32" s="147"/>
      <c r="J32" s="147"/>
      <c r="K32" s="147"/>
      <c r="L32" s="147"/>
      <c r="M32" s="147"/>
      <c r="N32" s="186">
        <f t="shared" si="2"/>
        <v>0</v>
      </c>
      <c r="O32" s="185">
        <v>12000</v>
      </c>
      <c r="P32" s="147"/>
      <c r="Q32" s="147"/>
      <c r="R32" s="147"/>
      <c r="S32" s="147">
        <f>SUM(O32:R32)</f>
        <v>12000</v>
      </c>
    </row>
    <row r="33" spans="1:19" x14ac:dyDescent="0.25">
      <c r="A33" s="183">
        <v>51602</v>
      </c>
      <c r="B33" s="146" t="s">
        <v>43</v>
      </c>
      <c r="C33" s="147"/>
      <c r="D33" s="147"/>
      <c r="E33" s="147"/>
      <c r="F33" s="147"/>
      <c r="G33" s="184">
        <f t="shared" si="6"/>
        <v>0</v>
      </c>
      <c r="H33" s="185"/>
      <c r="I33" s="147"/>
      <c r="J33" s="147"/>
      <c r="K33" s="147"/>
      <c r="L33" s="147"/>
      <c r="M33" s="147"/>
      <c r="N33" s="186">
        <f t="shared" si="2"/>
        <v>0</v>
      </c>
      <c r="O33" s="185">
        <v>1000</v>
      </c>
      <c r="P33" s="147"/>
      <c r="Q33" s="147"/>
      <c r="R33" s="147"/>
      <c r="S33" s="147">
        <f>SUM(O33:R33)</f>
        <v>1000</v>
      </c>
    </row>
    <row r="34" spans="1:19" x14ac:dyDescent="0.25">
      <c r="A34" s="182">
        <v>519</v>
      </c>
      <c r="B34" s="144" t="s">
        <v>44</v>
      </c>
      <c r="C34" s="141">
        <f>C35</f>
        <v>4800</v>
      </c>
      <c r="D34" s="141">
        <f t="shared" ref="D34:G34" si="13">D35</f>
        <v>0</v>
      </c>
      <c r="E34" s="141">
        <f t="shared" si="13"/>
        <v>0</v>
      </c>
      <c r="F34" s="141">
        <f t="shared" si="13"/>
        <v>0</v>
      </c>
      <c r="G34" s="180">
        <f t="shared" si="13"/>
        <v>4800</v>
      </c>
      <c r="H34" s="181">
        <f>H35</f>
        <v>0</v>
      </c>
      <c r="I34" s="141">
        <f t="shared" ref="I34:R34" si="14">I35</f>
        <v>0</v>
      </c>
      <c r="J34" s="141">
        <f t="shared" si="14"/>
        <v>0</v>
      </c>
      <c r="K34" s="141">
        <f t="shared" si="14"/>
        <v>0</v>
      </c>
      <c r="L34" s="141">
        <f t="shared" si="14"/>
        <v>0</v>
      </c>
      <c r="M34" s="141">
        <f t="shared" si="14"/>
        <v>0</v>
      </c>
      <c r="N34" s="142">
        <f t="shared" si="14"/>
        <v>0</v>
      </c>
      <c r="O34" s="181">
        <f t="shared" si="14"/>
        <v>2000</v>
      </c>
      <c r="P34" s="141">
        <f t="shared" si="14"/>
        <v>0</v>
      </c>
      <c r="Q34" s="141">
        <f t="shared" si="14"/>
        <v>0</v>
      </c>
      <c r="R34" s="141">
        <f t="shared" si="14"/>
        <v>0</v>
      </c>
      <c r="S34" s="141">
        <f>S35</f>
        <v>2000</v>
      </c>
    </row>
    <row r="35" spans="1:19" x14ac:dyDescent="0.25">
      <c r="A35" s="183">
        <v>51901</v>
      </c>
      <c r="B35" s="146" t="s">
        <v>45</v>
      </c>
      <c r="C35" s="147">
        <v>4800</v>
      </c>
      <c r="D35" s="147"/>
      <c r="E35" s="147"/>
      <c r="F35" s="147"/>
      <c r="G35" s="184">
        <f t="shared" si="6"/>
        <v>4800</v>
      </c>
      <c r="H35" s="185"/>
      <c r="I35" s="147"/>
      <c r="J35" s="147"/>
      <c r="K35" s="147"/>
      <c r="L35" s="147"/>
      <c r="M35" s="147"/>
      <c r="N35" s="186">
        <f t="shared" si="2"/>
        <v>0</v>
      </c>
      <c r="O35" s="185">
        <v>2000</v>
      </c>
      <c r="P35" s="147"/>
      <c r="Q35" s="147"/>
      <c r="R35" s="147"/>
      <c r="S35" s="147">
        <f>SUM(O35:R35)</f>
        <v>2000</v>
      </c>
    </row>
    <row r="36" spans="1:19" x14ac:dyDescent="0.25">
      <c r="A36" s="182">
        <v>54</v>
      </c>
      <c r="B36" s="144" t="s">
        <v>46</v>
      </c>
      <c r="C36" s="141">
        <f>C37+C56+C62</f>
        <v>119847.8</v>
      </c>
      <c r="D36" s="141">
        <f t="shared" ref="D36:R36" si="15">D37+D56+D62</f>
        <v>1000</v>
      </c>
      <c r="E36" s="141">
        <f t="shared" si="15"/>
        <v>500</v>
      </c>
      <c r="F36" s="141">
        <f t="shared" si="15"/>
        <v>500</v>
      </c>
      <c r="G36" s="180">
        <f>G37+G56+G62+G74+G84+G78</f>
        <v>121847.8</v>
      </c>
      <c r="H36" s="181">
        <f t="shared" si="15"/>
        <v>0</v>
      </c>
      <c r="I36" s="141">
        <f t="shared" si="15"/>
        <v>0</v>
      </c>
      <c r="J36" s="141">
        <f t="shared" si="15"/>
        <v>0</v>
      </c>
      <c r="K36" s="141">
        <f t="shared" si="15"/>
        <v>0</v>
      </c>
      <c r="L36" s="141">
        <f t="shared" si="15"/>
        <v>0</v>
      </c>
      <c r="M36" s="141">
        <f t="shared" si="15"/>
        <v>0</v>
      </c>
      <c r="N36" s="142">
        <f t="shared" si="15"/>
        <v>0</v>
      </c>
      <c r="O36" s="181">
        <f>O37+O56+O62+O74+O78</f>
        <v>158458.15</v>
      </c>
      <c r="P36" s="141">
        <f t="shared" si="15"/>
        <v>5300</v>
      </c>
      <c r="Q36" s="141">
        <f t="shared" si="15"/>
        <v>4800</v>
      </c>
      <c r="R36" s="141">
        <f t="shared" si="15"/>
        <v>4200</v>
      </c>
      <c r="S36" s="141">
        <f>S37+S56+S62+S74+S84+S78</f>
        <v>175158.15</v>
      </c>
    </row>
    <row r="37" spans="1:19" x14ac:dyDescent="0.25">
      <c r="A37" s="182">
        <v>541</v>
      </c>
      <c r="B37" s="144" t="s">
        <v>47</v>
      </c>
      <c r="C37" s="141">
        <f>SUM(C38:C55)</f>
        <v>9102.36</v>
      </c>
      <c r="D37" s="141">
        <f t="shared" ref="D37:R37" si="16">SUM(D38:D55)</f>
        <v>1000</v>
      </c>
      <c r="E37" s="141">
        <f t="shared" si="16"/>
        <v>500</v>
      </c>
      <c r="F37" s="141">
        <f t="shared" si="16"/>
        <v>500</v>
      </c>
      <c r="G37" s="180">
        <f>SUM(G38:G55)</f>
        <v>11102.36</v>
      </c>
      <c r="H37" s="181">
        <f t="shared" si="16"/>
        <v>0</v>
      </c>
      <c r="I37" s="141">
        <f t="shared" si="16"/>
        <v>0</v>
      </c>
      <c r="J37" s="141">
        <f t="shared" si="16"/>
        <v>0</v>
      </c>
      <c r="K37" s="141">
        <f t="shared" si="16"/>
        <v>0</v>
      </c>
      <c r="L37" s="141">
        <f t="shared" si="16"/>
        <v>0</v>
      </c>
      <c r="M37" s="141">
        <f t="shared" si="16"/>
        <v>0</v>
      </c>
      <c r="N37" s="142">
        <f t="shared" si="16"/>
        <v>0</v>
      </c>
      <c r="O37" s="181">
        <f t="shared" si="16"/>
        <v>62337.95</v>
      </c>
      <c r="P37" s="141">
        <f>SUM(P38:P55)</f>
        <v>5300</v>
      </c>
      <c r="Q37" s="141">
        <f t="shared" si="16"/>
        <v>4800</v>
      </c>
      <c r="R37" s="141">
        <f t="shared" si="16"/>
        <v>4200</v>
      </c>
      <c r="S37" s="141">
        <f>SUM(S38:S55)</f>
        <v>76637.95</v>
      </c>
    </row>
    <row r="38" spans="1:19" x14ac:dyDescent="0.25">
      <c r="A38" s="183">
        <v>54101</v>
      </c>
      <c r="B38" s="146" t="s">
        <v>48</v>
      </c>
      <c r="C38" s="147"/>
      <c r="D38" s="147"/>
      <c r="E38" s="147"/>
      <c r="F38" s="147"/>
      <c r="G38" s="184">
        <f t="shared" si="6"/>
        <v>0</v>
      </c>
      <c r="H38" s="185"/>
      <c r="I38" s="147"/>
      <c r="J38" s="147"/>
      <c r="K38" s="147"/>
      <c r="L38" s="147"/>
      <c r="M38" s="147"/>
      <c r="N38" s="186">
        <f t="shared" si="2"/>
        <v>0</v>
      </c>
      <c r="O38" s="185">
        <f>5000+5000</f>
        <v>10000</v>
      </c>
      <c r="P38" s="147"/>
      <c r="Q38" s="147"/>
      <c r="R38" s="147"/>
      <c r="S38" s="147">
        <f>SUM(O38:R38)</f>
        <v>10000</v>
      </c>
    </row>
    <row r="39" spans="1:19" x14ac:dyDescent="0.25">
      <c r="A39" s="183">
        <v>54103</v>
      </c>
      <c r="B39" s="146" t="s">
        <v>49</v>
      </c>
      <c r="C39" s="147"/>
      <c r="D39" s="147"/>
      <c r="E39" s="147"/>
      <c r="F39" s="147"/>
      <c r="G39" s="184">
        <f t="shared" si="6"/>
        <v>0</v>
      </c>
      <c r="H39" s="185"/>
      <c r="I39" s="147"/>
      <c r="J39" s="147"/>
      <c r="K39" s="147"/>
      <c r="L39" s="147"/>
      <c r="M39" s="147"/>
      <c r="N39" s="186">
        <f t="shared" si="2"/>
        <v>0</v>
      </c>
      <c r="O39" s="185">
        <v>1000</v>
      </c>
      <c r="P39" s="147"/>
      <c r="Q39" s="147"/>
      <c r="R39" s="147"/>
      <c r="S39" s="147">
        <f>SUM(O39:R39)</f>
        <v>1000</v>
      </c>
    </row>
    <row r="40" spans="1:19" x14ac:dyDescent="0.25">
      <c r="A40" s="183">
        <v>54104</v>
      </c>
      <c r="B40" s="146" t="s">
        <v>50</v>
      </c>
      <c r="C40" s="147">
        <f>3605.36</f>
        <v>3605.36</v>
      </c>
      <c r="D40" s="147"/>
      <c r="E40" s="147"/>
      <c r="F40" s="147"/>
      <c r="G40" s="184">
        <f t="shared" si="6"/>
        <v>3605.36</v>
      </c>
      <c r="H40" s="185"/>
      <c r="I40" s="147"/>
      <c r="J40" s="147"/>
      <c r="K40" s="147"/>
      <c r="L40" s="147"/>
      <c r="M40" s="147"/>
      <c r="N40" s="186">
        <f t="shared" si="2"/>
        <v>0</v>
      </c>
      <c r="O40" s="185">
        <f>9248.83+1000-10.88</f>
        <v>10237.950000000001</v>
      </c>
      <c r="P40" s="147"/>
      <c r="Q40" s="147"/>
      <c r="R40" s="147"/>
      <c r="S40" s="147">
        <f>SUM(O40:R40)</f>
        <v>10237.950000000001</v>
      </c>
    </row>
    <row r="41" spans="1:19" x14ac:dyDescent="0.25">
      <c r="A41" s="183">
        <v>54105</v>
      </c>
      <c r="B41" s="146" t="s">
        <v>51</v>
      </c>
      <c r="C41" s="147"/>
      <c r="D41" s="147"/>
      <c r="E41" s="147"/>
      <c r="F41" s="147"/>
      <c r="G41" s="184">
        <f t="shared" si="6"/>
        <v>0</v>
      </c>
      <c r="H41" s="185"/>
      <c r="I41" s="147"/>
      <c r="J41" s="147"/>
      <c r="K41" s="147"/>
      <c r="L41" s="147"/>
      <c r="M41" s="147"/>
      <c r="N41" s="186">
        <f t="shared" si="2"/>
        <v>0</v>
      </c>
      <c r="O41" s="185">
        <f>2500+500+1000</f>
        <v>4000</v>
      </c>
      <c r="P41" s="147">
        <v>1500</v>
      </c>
      <c r="Q41" s="147">
        <v>1000</v>
      </c>
      <c r="R41" s="147">
        <v>1000</v>
      </c>
      <c r="S41" s="147">
        <f t="shared" ref="S41:S55" si="17">SUM(O41:R41)</f>
        <v>7500</v>
      </c>
    </row>
    <row r="42" spans="1:19" x14ac:dyDescent="0.25">
      <c r="A42" s="183">
        <v>54106</v>
      </c>
      <c r="B42" s="146" t="s">
        <v>52</v>
      </c>
      <c r="C42" s="147"/>
      <c r="D42" s="147"/>
      <c r="E42" s="147"/>
      <c r="F42" s="147"/>
      <c r="G42" s="184">
        <f t="shared" si="6"/>
        <v>0</v>
      </c>
      <c r="H42" s="185"/>
      <c r="I42" s="147"/>
      <c r="J42" s="147"/>
      <c r="K42" s="147"/>
      <c r="L42" s="147"/>
      <c r="M42" s="147"/>
      <c r="N42" s="186">
        <f t="shared" si="2"/>
        <v>0</v>
      </c>
      <c r="O42" s="185">
        <v>200</v>
      </c>
      <c r="P42" s="185">
        <v>100</v>
      </c>
      <c r="Q42" s="185">
        <v>100</v>
      </c>
      <c r="R42" s="185">
        <v>100</v>
      </c>
      <c r="S42" s="147">
        <f t="shared" si="17"/>
        <v>500</v>
      </c>
    </row>
    <row r="43" spans="1:19" x14ac:dyDescent="0.25">
      <c r="A43" s="183">
        <v>54107</v>
      </c>
      <c r="B43" s="146" t="s">
        <v>53</v>
      </c>
      <c r="C43" s="147"/>
      <c r="D43" s="147"/>
      <c r="E43" s="147"/>
      <c r="F43" s="147"/>
      <c r="G43" s="184">
        <f t="shared" si="6"/>
        <v>0</v>
      </c>
      <c r="H43" s="185"/>
      <c r="I43" s="147"/>
      <c r="J43" s="147"/>
      <c r="K43" s="147"/>
      <c r="L43" s="147"/>
      <c r="M43" s="147"/>
      <c r="N43" s="186">
        <f t="shared" si="2"/>
        <v>0</v>
      </c>
      <c r="O43" s="185">
        <v>1000</v>
      </c>
      <c r="P43" s="147">
        <v>0</v>
      </c>
      <c r="Q43" s="147">
        <v>0</v>
      </c>
      <c r="R43" s="147">
        <v>100</v>
      </c>
      <c r="S43" s="147">
        <f t="shared" si="17"/>
        <v>1100</v>
      </c>
    </row>
    <row r="44" spans="1:19" x14ac:dyDescent="0.25">
      <c r="A44" s="183">
        <v>54108</v>
      </c>
      <c r="B44" s="146" t="s">
        <v>54</v>
      </c>
      <c r="C44" s="147"/>
      <c r="D44" s="147"/>
      <c r="E44" s="147"/>
      <c r="F44" s="147"/>
      <c r="G44" s="184">
        <f t="shared" si="6"/>
        <v>0</v>
      </c>
      <c r="H44" s="185"/>
      <c r="I44" s="147"/>
      <c r="J44" s="147"/>
      <c r="K44" s="147"/>
      <c r="L44" s="147"/>
      <c r="M44" s="147"/>
      <c r="N44" s="186">
        <f t="shared" si="2"/>
        <v>0</v>
      </c>
      <c r="O44" s="185">
        <v>100</v>
      </c>
      <c r="P44" s="147"/>
      <c r="Q44" s="147"/>
      <c r="R44" s="147"/>
      <c r="S44" s="147">
        <f t="shared" si="17"/>
        <v>100</v>
      </c>
    </row>
    <row r="45" spans="1:19" x14ac:dyDescent="0.25">
      <c r="A45" s="183">
        <v>54109</v>
      </c>
      <c r="B45" s="146" t="s">
        <v>55</v>
      </c>
      <c r="C45" s="147"/>
      <c r="D45" s="147"/>
      <c r="E45" s="147"/>
      <c r="F45" s="147"/>
      <c r="G45" s="184">
        <f t="shared" si="6"/>
        <v>0</v>
      </c>
      <c r="H45" s="185"/>
      <c r="I45" s="147"/>
      <c r="J45" s="147"/>
      <c r="K45" s="147"/>
      <c r="L45" s="147"/>
      <c r="M45" s="147"/>
      <c r="N45" s="186">
        <f t="shared" si="2"/>
        <v>0</v>
      </c>
      <c r="O45" s="185">
        <v>2000</v>
      </c>
      <c r="P45" s="147"/>
      <c r="Q45" s="147"/>
      <c r="R45" s="147"/>
      <c r="S45" s="147">
        <f t="shared" si="17"/>
        <v>2000</v>
      </c>
    </row>
    <row r="46" spans="1:19" x14ac:dyDescent="0.25">
      <c r="A46" s="183">
        <v>54110</v>
      </c>
      <c r="B46" s="146" t="s">
        <v>56</v>
      </c>
      <c r="C46" s="147">
        <v>1497</v>
      </c>
      <c r="D46" s="147">
        <v>1000</v>
      </c>
      <c r="E46" s="147">
        <v>500</v>
      </c>
      <c r="F46" s="147">
        <v>500</v>
      </c>
      <c r="G46" s="184">
        <f>C46+D46+E46+F46</f>
        <v>3497</v>
      </c>
      <c r="H46" s="185"/>
      <c r="I46" s="147"/>
      <c r="J46" s="147"/>
      <c r="K46" s="147"/>
      <c r="L46" s="147"/>
      <c r="M46" s="147"/>
      <c r="N46" s="186">
        <f t="shared" si="2"/>
        <v>0</v>
      </c>
      <c r="O46" s="185">
        <v>1000</v>
      </c>
      <c r="P46" s="147">
        <v>500</v>
      </c>
      <c r="Q46" s="147">
        <v>500</v>
      </c>
      <c r="R46" s="147">
        <v>500</v>
      </c>
      <c r="S46" s="147">
        <f t="shared" si="17"/>
        <v>2500</v>
      </c>
    </row>
    <row r="47" spans="1:19" x14ac:dyDescent="0.25">
      <c r="A47" s="183">
        <v>54111</v>
      </c>
      <c r="B47" s="146" t="s">
        <v>57</v>
      </c>
      <c r="C47" s="147"/>
      <c r="D47" s="147"/>
      <c r="E47" s="147"/>
      <c r="F47" s="147"/>
      <c r="G47" s="184">
        <f t="shared" si="6"/>
        <v>0</v>
      </c>
      <c r="H47" s="185"/>
      <c r="I47" s="147"/>
      <c r="J47" s="147"/>
      <c r="K47" s="147"/>
      <c r="L47" s="147"/>
      <c r="M47" s="147"/>
      <c r="N47" s="186">
        <f t="shared" si="2"/>
        <v>0</v>
      </c>
      <c r="O47" s="185">
        <f>4100+1000</f>
        <v>5100</v>
      </c>
      <c r="P47" s="147">
        <v>100</v>
      </c>
      <c r="Q47" s="147">
        <v>100</v>
      </c>
      <c r="R47" s="147"/>
      <c r="S47" s="147">
        <f t="shared" si="17"/>
        <v>5300</v>
      </c>
    </row>
    <row r="48" spans="1:19" x14ac:dyDescent="0.25">
      <c r="A48" s="183">
        <v>54112</v>
      </c>
      <c r="B48" s="146" t="s">
        <v>58</v>
      </c>
      <c r="C48" s="147"/>
      <c r="D48" s="147"/>
      <c r="E48" s="147"/>
      <c r="F48" s="147"/>
      <c r="G48" s="184">
        <f t="shared" si="6"/>
        <v>0</v>
      </c>
      <c r="H48" s="185"/>
      <c r="I48" s="147"/>
      <c r="J48" s="147"/>
      <c r="K48" s="147"/>
      <c r="L48" s="147"/>
      <c r="M48" s="147"/>
      <c r="N48" s="186">
        <f t="shared" si="2"/>
        <v>0</v>
      </c>
      <c r="O48" s="185">
        <f>4100+500</f>
        <v>4600</v>
      </c>
      <c r="P48" s="147">
        <v>100</v>
      </c>
      <c r="Q48" s="147">
        <v>100</v>
      </c>
      <c r="R48" s="147"/>
      <c r="S48" s="147">
        <f t="shared" si="17"/>
        <v>4800</v>
      </c>
    </row>
    <row r="49" spans="1:19" x14ac:dyDescent="0.25">
      <c r="A49" s="183">
        <v>54114</v>
      </c>
      <c r="B49" s="146" t="s">
        <v>59</v>
      </c>
      <c r="C49" s="147"/>
      <c r="D49" s="147"/>
      <c r="E49" s="147"/>
      <c r="F49" s="147"/>
      <c r="G49" s="184">
        <f t="shared" si="6"/>
        <v>0</v>
      </c>
      <c r="H49" s="185"/>
      <c r="I49" s="147"/>
      <c r="J49" s="147"/>
      <c r="K49" s="147"/>
      <c r="L49" s="147"/>
      <c r="M49" s="147"/>
      <c r="N49" s="186">
        <f t="shared" si="2"/>
        <v>0</v>
      </c>
      <c r="O49" s="185">
        <f>1000+1000</f>
        <v>2000</v>
      </c>
      <c r="P49" s="147">
        <v>1000</v>
      </c>
      <c r="Q49" s="147">
        <v>1000</v>
      </c>
      <c r="R49" s="147">
        <v>1000</v>
      </c>
      <c r="S49" s="147">
        <f t="shared" si="17"/>
        <v>5000</v>
      </c>
    </row>
    <row r="50" spans="1:19" x14ac:dyDescent="0.25">
      <c r="A50" s="183">
        <v>54115</v>
      </c>
      <c r="B50" s="146" t="s">
        <v>60</v>
      </c>
      <c r="C50" s="147"/>
      <c r="D50" s="147"/>
      <c r="E50" s="147"/>
      <c r="F50" s="147"/>
      <c r="G50" s="184">
        <f t="shared" si="6"/>
        <v>0</v>
      </c>
      <c r="H50" s="185"/>
      <c r="I50" s="147"/>
      <c r="J50" s="147"/>
      <c r="K50" s="147"/>
      <c r="L50" s="147"/>
      <c r="M50" s="147"/>
      <c r="N50" s="186">
        <f t="shared" si="2"/>
        <v>0</v>
      </c>
      <c r="O50" s="185">
        <v>8000</v>
      </c>
      <c r="P50" s="147">
        <v>1000</v>
      </c>
      <c r="Q50" s="147">
        <v>1000</v>
      </c>
      <c r="R50" s="147">
        <v>1000</v>
      </c>
      <c r="S50" s="147">
        <f>SUM(O50:R50)</f>
        <v>11000</v>
      </c>
    </row>
    <row r="51" spans="1:19" x14ac:dyDescent="0.25">
      <c r="A51" s="183">
        <v>54116</v>
      </c>
      <c r="B51" s="146" t="s">
        <v>61</v>
      </c>
      <c r="C51" s="147"/>
      <c r="D51" s="147"/>
      <c r="E51" s="147"/>
      <c r="F51" s="147"/>
      <c r="G51" s="184">
        <f t="shared" si="6"/>
        <v>0</v>
      </c>
      <c r="H51" s="185"/>
      <c r="I51" s="147"/>
      <c r="J51" s="147"/>
      <c r="K51" s="147"/>
      <c r="L51" s="147"/>
      <c r="M51" s="147"/>
      <c r="N51" s="186">
        <f t="shared" si="2"/>
        <v>0</v>
      </c>
      <c r="O51" s="185">
        <v>100</v>
      </c>
      <c r="P51" s="147"/>
      <c r="Q51" s="147"/>
      <c r="R51" s="147"/>
      <c r="S51" s="147">
        <f t="shared" si="17"/>
        <v>100</v>
      </c>
    </row>
    <row r="52" spans="1:19" x14ac:dyDescent="0.25">
      <c r="A52" s="183">
        <v>54118</v>
      </c>
      <c r="B52" s="146" t="s">
        <v>62</v>
      </c>
      <c r="C52" s="147"/>
      <c r="D52" s="147"/>
      <c r="E52" s="147"/>
      <c r="F52" s="147"/>
      <c r="G52" s="184">
        <f t="shared" si="6"/>
        <v>0</v>
      </c>
      <c r="H52" s="185"/>
      <c r="I52" s="147"/>
      <c r="J52" s="147"/>
      <c r="K52" s="147"/>
      <c r="L52" s="147"/>
      <c r="M52" s="147"/>
      <c r="N52" s="186">
        <f t="shared" si="2"/>
        <v>0</v>
      </c>
      <c r="O52" s="185">
        <v>1000</v>
      </c>
      <c r="P52" s="147"/>
      <c r="Q52" s="147"/>
      <c r="R52" s="147"/>
      <c r="S52" s="147">
        <f t="shared" si="17"/>
        <v>1000</v>
      </c>
    </row>
    <row r="53" spans="1:19" x14ac:dyDescent="0.25">
      <c r="A53" s="183">
        <v>54119</v>
      </c>
      <c r="B53" s="146" t="s">
        <v>63</v>
      </c>
      <c r="C53" s="147"/>
      <c r="D53" s="147"/>
      <c r="E53" s="147"/>
      <c r="F53" s="147"/>
      <c r="G53" s="184">
        <f t="shared" si="6"/>
        <v>0</v>
      </c>
      <c r="H53" s="185"/>
      <c r="I53" s="147"/>
      <c r="J53" s="147"/>
      <c r="K53" s="147"/>
      <c r="L53" s="147"/>
      <c r="M53" s="147"/>
      <c r="N53" s="186">
        <f t="shared" si="2"/>
        <v>0</v>
      </c>
      <c r="O53" s="185">
        <v>1000</v>
      </c>
      <c r="P53" s="147"/>
      <c r="Q53" s="147"/>
      <c r="R53" s="147"/>
      <c r="S53" s="147">
        <f t="shared" si="17"/>
        <v>1000</v>
      </c>
    </row>
    <row r="54" spans="1:19" hidden="1" x14ac:dyDescent="0.25">
      <c r="A54" s="183">
        <v>54121</v>
      </c>
      <c r="B54" s="146" t="s">
        <v>64</v>
      </c>
      <c r="C54" s="147">
        <v>4000</v>
      </c>
      <c r="D54" s="147"/>
      <c r="E54" s="147"/>
      <c r="F54" s="147"/>
      <c r="G54" s="184">
        <f t="shared" si="6"/>
        <v>4000</v>
      </c>
      <c r="H54" s="185"/>
      <c r="I54" s="147"/>
      <c r="J54" s="147"/>
      <c r="K54" s="147"/>
      <c r="L54" s="147"/>
      <c r="M54" s="147"/>
      <c r="N54" s="186">
        <f t="shared" si="2"/>
        <v>0</v>
      </c>
      <c r="O54" s="185"/>
      <c r="P54" s="147"/>
      <c r="Q54" s="147"/>
      <c r="R54" s="147"/>
      <c r="S54" s="147">
        <f t="shared" si="17"/>
        <v>0</v>
      </c>
    </row>
    <row r="55" spans="1:19" x14ac:dyDescent="0.25">
      <c r="A55" s="183">
        <v>54199</v>
      </c>
      <c r="B55" s="146" t="s">
        <v>47</v>
      </c>
      <c r="C55" s="147"/>
      <c r="D55" s="147"/>
      <c r="E55" s="147"/>
      <c r="F55" s="147"/>
      <c r="G55" s="184">
        <f t="shared" si="6"/>
        <v>0</v>
      </c>
      <c r="H55" s="185"/>
      <c r="I55" s="147"/>
      <c r="J55" s="147"/>
      <c r="K55" s="147"/>
      <c r="L55" s="147"/>
      <c r="M55" s="147"/>
      <c r="N55" s="186">
        <f t="shared" si="2"/>
        <v>0</v>
      </c>
      <c r="O55" s="185">
        <f>4000+5000+2000</f>
        <v>11000</v>
      </c>
      <c r="P55" s="147">
        <v>1000</v>
      </c>
      <c r="Q55" s="147">
        <v>1000</v>
      </c>
      <c r="R55" s="147">
        <v>500</v>
      </c>
      <c r="S55" s="147">
        <f t="shared" si="17"/>
        <v>13500</v>
      </c>
    </row>
    <row r="56" spans="1:19" x14ac:dyDescent="0.25">
      <c r="A56" s="182">
        <v>542</v>
      </c>
      <c r="B56" s="144" t="s">
        <v>65</v>
      </c>
      <c r="C56" s="141">
        <f>SUM(C57:C61)</f>
        <v>110745.44</v>
      </c>
      <c r="D56" s="141">
        <f t="shared" ref="D56:R56" si="18">SUM(D57:D61)</f>
        <v>0</v>
      </c>
      <c r="E56" s="141">
        <f t="shared" si="18"/>
        <v>0</v>
      </c>
      <c r="F56" s="141">
        <f t="shared" si="18"/>
        <v>0</v>
      </c>
      <c r="G56" s="180">
        <f>SUM(G57:G61)</f>
        <v>110745.44</v>
      </c>
      <c r="H56" s="181">
        <f t="shared" si="18"/>
        <v>0</v>
      </c>
      <c r="I56" s="141">
        <f t="shared" si="18"/>
        <v>0</v>
      </c>
      <c r="J56" s="141">
        <f t="shared" si="18"/>
        <v>0</v>
      </c>
      <c r="K56" s="141">
        <f t="shared" si="18"/>
        <v>0</v>
      </c>
      <c r="L56" s="141">
        <f t="shared" si="18"/>
        <v>0</v>
      </c>
      <c r="M56" s="141">
        <f t="shared" si="18"/>
        <v>0</v>
      </c>
      <c r="N56" s="142">
        <f t="shared" si="18"/>
        <v>0</v>
      </c>
      <c r="O56" s="181">
        <f t="shared" si="18"/>
        <v>26620.2</v>
      </c>
      <c r="P56" s="141">
        <f t="shared" si="18"/>
        <v>0</v>
      </c>
      <c r="Q56" s="141">
        <f t="shared" si="18"/>
        <v>0</v>
      </c>
      <c r="R56" s="141">
        <f t="shared" si="18"/>
        <v>0</v>
      </c>
      <c r="S56" s="141">
        <f>SUM(S57:S61)</f>
        <v>26620.2</v>
      </c>
    </row>
    <row r="57" spans="1:19" x14ac:dyDescent="0.25">
      <c r="A57" s="183">
        <v>54201</v>
      </c>
      <c r="B57" s="146" t="s">
        <v>66</v>
      </c>
      <c r="C57" s="147">
        <v>49082.94</v>
      </c>
      <c r="D57" s="147"/>
      <c r="E57" s="147"/>
      <c r="F57" s="147"/>
      <c r="G57" s="184">
        <f t="shared" si="6"/>
        <v>49082.94</v>
      </c>
      <c r="H57" s="185"/>
      <c r="I57" s="147"/>
      <c r="J57" s="147"/>
      <c r="K57" s="147"/>
      <c r="L57" s="147"/>
      <c r="M57" s="147"/>
      <c r="N57" s="186">
        <f t="shared" si="2"/>
        <v>0</v>
      </c>
      <c r="O57" s="185">
        <v>6000</v>
      </c>
      <c r="P57" s="147"/>
      <c r="Q57" s="147"/>
      <c r="R57" s="147"/>
      <c r="S57" s="147">
        <f>SUM(O57:R57)</f>
        <v>6000</v>
      </c>
    </row>
    <row r="58" spans="1:19" x14ac:dyDescent="0.25">
      <c r="A58" s="183">
        <v>54202</v>
      </c>
      <c r="B58" s="146" t="s">
        <v>67</v>
      </c>
      <c r="C58" s="147">
        <f>944.73</f>
        <v>944.73</v>
      </c>
      <c r="D58" s="147"/>
      <c r="E58" s="147"/>
      <c r="F58" s="147"/>
      <c r="G58" s="184">
        <f t="shared" si="6"/>
        <v>944.73</v>
      </c>
      <c r="H58" s="185"/>
      <c r="I58" s="147"/>
      <c r="J58" s="147"/>
      <c r="K58" s="147"/>
      <c r="L58" s="147"/>
      <c r="M58" s="147"/>
      <c r="N58" s="186">
        <f t="shared" si="2"/>
        <v>0</v>
      </c>
      <c r="O58" s="185">
        <v>4020</v>
      </c>
      <c r="P58" s="147"/>
      <c r="Q58" s="147"/>
      <c r="R58" s="147"/>
      <c r="S58" s="147">
        <f t="shared" ref="S58:S61" si="19">SUM(O58:R58)</f>
        <v>4020</v>
      </c>
    </row>
    <row r="59" spans="1:19" x14ac:dyDescent="0.25">
      <c r="A59" s="183">
        <v>54203</v>
      </c>
      <c r="B59" s="146" t="s">
        <v>68</v>
      </c>
      <c r="C59" s="147">
        <f>3217.77+4500+3500</f>
        <v>11217.77</v>
      </c>
      <c r="D59" s="147"/>
      <c r="E59" s="147"/>
      <c r="F59" s="147"/>
      <c r="G59" s="184">
        <f t="shared" si="6"/>
        <v>11217.77</v>
      </c>
      <c r="H59" s="185"/>
      <c r="I59" s="147"/>
      <c r="J59" s="147"/>
      <c r="K59" s="147"/>
      <c r="L59" s="147"/>
      <c r="M59" s="147"/>
      <c r="N59" s="186">
        <f t="shared" si="2"/>
        <v>0</v>
      </c>
      <c r="O59" s="185">
        <v>1500</v>
      </c>
      <c r="P59" s="147"/>
      <c r="Q59" s="147"/>
      <c r="R59" s="147"/>
      <c r="S59" s="147">
        <f t="shared" si="19"/>
        <v>1500</v>
      </c>
    </row>
    <row r="60" spans="1:19" x14ac:dyDescent="0.25">
      <c r="A60" s="183">
        <v>54204</v>
      </c>
      <c r="B60" s="146" t="s">
        <v>69</v>
      </c>
      <c r="C60" s="147"/>
      <c r="D60" s="147"/>
      <c r="E60" s="147"/>
      <c r="F60" s="147"/>
      <c r="G60" s="184">
        <f t="shared" si="6"/>
        <v>0</v>
      </c>
      <c r="H60" s="185"/>
      <c r="I60" s="147"/>
      <c r="J60" s="147"/>
      <c r="K60" s="147"/>
      <c r="L60" s="147"/>
      <c r="M60" s="147"/>
      <c r="N60" s="186">
        <f t="shared" si="2"/>
        <v>0</v>
      </c>
      <c r="O60" s="185">
        <v>100.2</v>
      </c>
      <c r="P60" s="147"/>
      <c r="Q60" s="147"/>
      <c r="R60" s="147"/>
      <c r="S60" s="147">
        <f t="shared" si="19"/>
        <v>100.2</v>
      </c>
    </row>
    <row r="61" spans="1:19" x14ac:dyDescent="0.25">
      <c r="A61" s="183">
        <v>54205</v>
      </c>
      <c r="B61" s="146" t="s">
        <v>70</v>
      </c>
      <c r="C61" s="147">
        <v>49500</v>
      </c>
      <c r="D61" s="147"/>
      <c r="E61" s="147"/>
      <c r="F61" s="147"/>
      <c r="G61" s="184">
        <f t="shared" si="6"/>
        <v>49500</v>
      </c>
      <c r="H61" s="185"/>
      <c r="I61" s="147"/>
      <c r="J61" s="147"/>
      <c r="K61" s="147"/>
      <c r="L61" s="147"/>
      <c r="M61" s="147"/>
      <c r="N61" s="186">
        <f t="shared" si="2"/>
        <v>0</v>
      </c>
      <c r="O61" s="185">
        <v>15000</v>
      </c>
      <c r="P61" s="147"/>
      <c r="Q61" s="147"/>
      <c r="R61" s="147"/>
      <c r="S61" s="147">
        <f t="shared" si="19"/>
        <v>15000</v>
      </c>
    </row>
    <row r="62" spans="1:19" x14ac:dyDescent="0.25">
      <c r="A62" s="182">
        <v>543</v>
      </c>
      <c r="B62" s="144" t="s">
        <v>71</v>
      </c>
      <c r="C62" s="141">
        <f>SUM(C63:C72)</f>
        <v>0</v>
      </c>
      <c r="D62" s="141">
        <f t="shared" ref="D62:R62" si="20">SUM(D63:D72)</f>
        <v>0</v>
      </c>
      <c r="E62" s="141">
        <f t="shared" si="20"/>
        <v>0</v>
      </c>
      <c r="F62" s="141">
        <f t="shared" si="20"/>
        <v>0</v>
      </c>
      <c r="G62" s="180">
        <f>SUM(G63:G72)</f>
        <v>0</v>
      </c>
      <c r="H62" s="181">
        <f t="shared" si="20"/>
        <v>0</v>
      </c>
      <c r="I62" s="141">
        <f t="shared" si="20"/>
        <v>0</v>
      </c>
      <c r="J62" s="141">
        <f t="shared" si="20"/>
        <v>0</v>
      </c>
      <c r="K62" s="141">
        <f t="shared" si="20"/>
        <v>0</v>
      </c>
      <c r="L62" s="141">
        <f t="shared" si="20"/>
        <v>0</v>
      </c>
      <c r="M62" s="141">
        <f t="shared" si="20"/>
        <v>0</v>
      </c>
      <c r="N62" s="142">
        <f t="shared" si="20"/>
        <v>0</v>
      </c>
      <c r="O62" s="181">
        <f t="shared" si="20"/>
        <v>63600</v>
      </c>
      <c r="P62" s="141">
        <f t="shared" si="20"/>
        <v>0</v>
      </c>
      <c r="Q62" s="141">
        <f t="shared" si="20"/>
        <v>0</v>
      </c>
      <c r="R62" s="141">
        <f t="shared" si="20"/>
        <v>0</v>
      </c>
      <c r="S62" s="141">
        <f>SUM(S63:S73)</f>
        <v>66000</v>
      </c>
    </row>
    <row r="63" spans="1:19" x14ac:dyDescent="0.25">
      <c r="A63" s="183">
        <v>54301</v>
      </c>
      <c r="B63" s="146" t="s">
        <v>72</v>
      </c>
      <c r="C63" s="147"/>
      <c r="D63" s="147"/>
      <c r="E63" s="147"/>
      <c r="F63" s="147"/>
      <c r="G63" s="184">
        <f t="shared" si="6"/>
        <v>0</v>
      </c>
      <c r="H63" s="185"/>
      <c r="I63" s="147"/>
      <c r="J63" s="147"/>
      <c r="K63" s="147"/>
      <c r="L63" s="147"/>
      <c r="M63" s="147"/>
      <c r="N63" s="186">
        <f t="shared" si="2"/>
        <v>0</v>
      </c>
      <c r="O63" s="185">
        <v>5000</v>
      </c>
      <c r="P63" s="147"/>
      <c r="Q63" s="147"/>
      <c r="R63" s="147"/>
      <c r="S63" s="147">
        <f t="shared" ref="S63:S85" si="21">SUM(O63:R63)</f>
        <v>5000</v>
      </c>
    </row>
    <row r="64" spans="1:19" x14ac:dyDescent="0.25">
      <c r="A64" s="183">
        <v>54302</v>
      </c>
      <c r="B64" s="146" t="s">
        <v>73</v>
      </c>
      <c r="C64" s="147"/>
      <c r="D64" s="147"/>
      <c r="E64" s="147"/>
      <c r="F64" s="147"/>
      <c r="G64" s="184">
        <f t="shared" si="6"/>
        <v>0</v>
      </c>
      <c r="H64" s="185"/>
      <c r="I64" s="147"/>
      <c r="J64" s="147"/>
      <c r="K64" s="147"/>
      <c r="L64" s="147"/>
      <c r="M64" s="147"/>
      <c r="N64" s="186">
        <f t="shared" si="2"/>
        <v>0</v>
      </c>
      <c r="O64" s="185">
        <v>100</v>
      </c>
      <c r="P64" s="147"/>
      <c r="Q64" s="147"/>
      <c r="R64" s="147"/>
      <c r="S64" s="147">
        <f t="shared" si="21"/>
        <v>100</v>
      </c>
    </row>
    <row r="65" spans="1:19" x14ac:dyDescent="0.25">
      <c r="A65" s="183">
        <v>54303</v>
      </c>
      <c r="B65" s="146" t="s">
        <v>74</v>
      </c>
      <c r="C65" s="147"/>
      <c r="D65" s="147"/>
      <c r="E65" s="147"/>
      <c r="F65" s="147"/>
      <c r="G65" s="184">
        <f t="shared" si="6"/>
        <v>0</v>
      </c>
      <c r="H65" s="185"/>
      <c r="I65" s="147"/>
      <c r="J65" s="147"/>
      <c r="K65" s="147"/>
      <c r="L65" s="147"/>
      <c r="M65" s="147"/>
      <c r="N65" s="186">
        <f t="shared" si="2"/>
        <v>0</v>
      </c>
      <c r="O65" s="185">
        <v>1500</v>
      </c>
      <c r="P65" s="147"/>
      <c r="Q65" s="147"/>
      <c r="R65" s="147"/>
      <c r="S65" s="147">
        <f t="shared" si="21"/>
        <v>1500</v>
      </c>
    </row>
    <row r="66" spans="1:19" x14ac:dyDescent="0.25">
      <c r="A66" s="183">
        <v>54304</v>
      </c>
      <c r="B66" s="146" t="s">
        <v>75</v>
      </c>
      <c r="C66" s="147"/>
      <c r="D66" s="147"/>
      <c r="E66" s="147"/>
      <c r="F66" s="147"/>
      <c r="G66" s="184">
        <f t="shared" si="6"/>
        <v>0</v>
      </c>
      <c r="H66" s="185"/>
      <c r="I66" s="147"/>
      <c r="J66" s="147"/>
      <c r="K66" s="147"/>
      <c r="L66" s="147"/>
      <c r="M66" s="147"/>
      <c r="N66" s="186">
        <f t="shared" si="2"/>
        <v>0</v>
      </c>
      <c r="O66" s="185">
        <f>10000+4000+1000</f>
        <v>15000</v>
      </c>
      <c r="P66" s="147"/>
      <c r="Q66" s="147"/>
      <c r="R66" s="147"/>
      <c r="S66" s="147">
        <f t="shared" si="21"/>
        <v>15000</v>
      </c>
    </row>
    <row r="67" spans="1:19" x14ac:dyDescent="0.25">
      <c r="A67" s="183">
        <v>54305</v>
      </c>
      <c r="B67" s="146" t="s">
        <v>76</v>
      </c>
      <c r="C67" s="147"/>
      <c r="D67" s="147"/>
      <c r="E67" s="147"/>
      <c r="F67" s="147"/>
      <c r="G67" s="184">
        <f t="shared" si="6"/>
        <v>0</v>
      </c>
      <c r="H67" s="185"/>
      <c r="I67" s="147"/>
      <c r="J67" s="147"/>
      <c r="K67" s="147"/>
      <c r="L67" s="147"/>
      <c r="M67" s="147"/>
      <c r="N67" s="186">
        <f t="shared" si="2"/>
        <v>0</v>
      </c>
      <c r="O67" s="185">
        <v>5000</v>
      </c>
      <c r="P67" s="147"/>
      <c r="Q67" s="147"/>
      <c r="R67" s="147"/>
      <c r="S67" s="147">
        <f t="shared" si="21"/>
        <v>5000</v>
      </c>
    </row>
    <row r="68" spans="1:19" x14ac:dyDescent="0.25">
      <c r="A68" s="183">
        <v>54307</v>
      </c>
      <c r="B68" s="146" t="s">
        <v>77</v>
      </c>
      <c r="C68" s="147"/>
      <c r="D68" s="147"/>
      <c r="E68" s="147"/>
      <c r="F68" s="147"/>
      <c r="G68" s="184">
        <f t="shared" si="6"/>
        <v>0</v>
      </c>
      <c r="H68" s="185"/>
      <c r="I68" s="147"/>
      <c r="J68" s="147"/>
      <c r="K68" s="147"/>
      <c r="L68" s="147"/>
      <c r="M68" s="147"/>
      <c r="N68" s="186">
        <f t="shared" si="2"/>
        <v>0</v>
      </c>
      <c r="O68" s="185">
        <v>300</v>
      </c>
      <c r="P68" s="147"/>
      <c r="Q68" s="147"/>
      <c r="R68" s="147"/>
      <c r="S68" s="147">
        <f t="shared" si="21"/>
        <v>300</v>
      </c>
    </row>
    <row r="69" spans="1:19" x14ac:dyDescent="0.25">
      <c r="A69" s="183">
        <v>54311</v>
      </c>
      <c r="B69" s="146" t="s">
        <v>78</v>
      </c>
      <c r="C69" s="147"/>
      <c r="D69" s="147"/>
      <c r="E69" s="147"/>
      <c r="F69" s="147"/>
      <c r="G69" s="184">
        <f t="shared" si="6"/>
        <v>0</v>
      </c>
      <c r="H69" s="185"/>
      <c r="I69" s="147"/>
      <c r="J69" s="147"/>
      <c r="K69" s="147"/>
      <c r="L69" s="147"/>
      <c r="M69" s="147"/>
      <c r="N69" s="186">
        <f t="shared" si="2"/>
        <v>0</v>
      </c>
      <c r="O69" s="185">
        <v>100</v>
      </c>
      <c r="P69" s="147"/>
      <c r="Q69" s="147"/>
      <c r="R69" s="147"/>
      <c r="S69" s="147">
        <f t="shared" si="21"/>
        <v>100</v>
      </c>
    </row>
    <row r="70" spans="1:19" x14ac:dyDescent="0.25">
      <c r="A70" s="183">
        <v>54313</v>
      </c>
      <c r="B70" s="146" t="s">
        <v>79</v>
      </c>
      <c r="C70" s="147"/>
      <c r="D70" s="147"/>
      <c r="E70" s="147"/>
      <c r="F70" s="147"/>
      <c r="G70" s="184">
        <f t="shared" si="6"/>
        <v>0</v>
      </c>
      <c r="H70" s="185"/>
      <c r="I70" s="147"/>
      <c r="J70" s="147"/>
      <c r="K70" s="147"/>
      <c r="L70" s="147"/>
      <c r="M70" s="147"/>
      <c r="N70" s="186">
        <f t="shared" si="2"/>
        <v>0</v>
      </c>
      <c r="O70" s="185">
        <f>4000+500+500</f>
        <v>5000</v>
      </c>
      <c r="P70" s="147"/>
      <c r="Q70" s="147"/>
      <c r="R70" s="147"/>
      <c r="S70" s="147">
        <f t="shared" si="21"/>
        <v>5000</v>
      </c>
    </row>
    <row r="71" spans="1:19" x14ac:dyDescent="0.25">
      <c r="A71" s="183">
        <v>54314</v>
      </c>
      <c r="B71" s="146" t="s">
        <v>80</v>
      </c>
      <c r="C71" s="147"/>
      <c r="D71" s="147"/>
      <c r="E71" s="147"/>
      <c r="F71" s="147"/>
      <c r="G71" s="184">
        <f t="shared" si="6"/>
        <v>0</v>
      </c>
      <c r="H71" s="185"/>
      <c r="I71" s="147"/>
      <c r="J71" s="147"/>
      <c r="K71" s="147"/>
      <c r="L71" s="147"/>
      <c r="M71" s="147"/>
      <c r="N71" s="186">
        <f t="shared" si="2"/>
        <v>0</v>
      </c>
      <c r="O71" s="185">
        <v>24000</v>
      </c>
      <c r="P71" s="147"/>
      <c r="Q71" s="147"/>
      <c r="R71" s="147"/>
      <c r="S71" s="147">
        <f t="shared" si="21"/>
        <v>24000</v>
      </c>
    </row>
    <row r="72" spans="1:19" x14ac:dyDescent="0.25">
      <c r="A72" s="183">
        <v>54316</v>
      </c>
      <c r="B72" s="146" t="s">
        <v>135</v>
      </c>
      <c r="C72" s="147"/>
      <c r="D72" s="147"/>
      <c r="E72" s="147"/>
      <c r="F72" s="147"/>
      <c r="G72" s="184">
        <f t="shared" si="6"/>
        <v>0</v>
      </c>
      <c r="H72" s="185"/>
      <c r="I72" s="147"/>
      <c r="J72" s="147"/>
      <c r="K72" s="147"/>
      <c r="L72" s="147"/>
      <c r="M72" s="147"/>
      <c r="N72" s="186">
        <f t="shared" si="2"/>
        <v>0</v>
      </c>
      <c r="O72" s="185">
        <v>7600</v>
      </c>
      <c r="P72" s="147"/>
      <c r="Q72" s="147"/>
      <c r="R72" s="147"/>
      <c r="S72" s="147">
        <f t="shared" si="21"/>
        <v>7600</v>
      </c>
    </row>
    <row r="73" spans="1:19" x14ac:dyDescent="0.25">
      <c r="A73" s="183">
        <v>54317</v>
      </c>
      <c r="B73" s="146" t="s">
        <v>224</v>
      </c>
      <c r="C73" s="147"/>
      <c r="D73" s="147"/>
      <c r="E73" s="147"/>
      <c r="F73" s="147"/>
      <c r="G73" s="184"/>
      <c r="H73" s="185"/>
      <c r="I73" s="147"/>
      <c r="J73" s="147"/>
      <c r="K73" s="147"/>
      <c r="L73" s="147"/>
      <c r="M73" s="147"/>
      <c r="N73" s="186"/>
      <c r="O73" s="185">
        <v>2400</v>
      </c>
      <c r="P73" s="147"/>
      <c r="Q73" s="147"/>
      <c r="R73" s="147"/>
      <c r="S73" s="147">
        <f t="shared" si="21"/>
        <v>2400</v>
      </c>
    </row>
    <row r="74" spans="1:19" x14ac:dyDescent="0.25">
      <c r="A74" s="182">
        <v>544</v>
      </c>
      <c r="B74" s="144" t="s">
        <v>86</v>
      </c>
      <c r="C74" s="144"/>
      <c r="D74" s="150">
        <f t="shared" ref="D74:R74" si="22">SUM(D75:D77)</f>
        <v>0</v>
      </c>
      <c r="E74" s="150">
        <f t="shared" si="22"/>
        <v>0</v>
      </c>
      <c r="F74" s="150">
        <f t="shared" si="22"/>
        <v>0</v>
      </c>
      <c r="G74" s="190">
        <f>SUM(G75:G77)</f>
        <v>0</v>
      </c>
      <c r="H74" s="191">
        <f t="shared" si="22"/>
        <v>0</v>
      </c>
      <c r="I74" s="150">
        <f t="shared" si="22"/>
        <v>0</v>
      </c>
      <c r="J74" s="150">
        <f t="shared" si="22"/>
        <v>0</v>
      </c>
      <c r="K74" s="150">
        <f t="shared" si="22"/>
        <v>0</v>
      </c>
      <c r="L74" s="150">
        <f t="shared" si="22"/>
        <v>0</v>
      </c>
      <c r="M74" s="150">
        <f t="shared" si="22"/>
        <v>0</v>
      </c>
      <c r="N74" s="151">
        <f t="shared" si="22"/>
        <v>0</v>
      </c>
      <c r="O74" s="181">
        <f t="shared" si="22"/>
        <v>3000</v>
      </c>
      <c r="P74" s="150">
        <f t="shared" si="22"/>
        <v>0</v>
      </c>
      <c r="Q74" s="150">
        <f t="shared" si="22"/>
        <v>0</v>
      </c>
      <c r="R74" s="150">
        <f t="shared" si="22"/>
        <v>0</v>
      </c>
      <c r="S74" s="141">
        <f>SUM(S75:S77)</f>
        <v>3000</v>
      </c>
    </row>
    <row r="75" spans="1:19" x14ac:dyDescent="0.25">
      <c r="A75" s="183">
        <v>54401</v>
      </c>
      <c r="B75" s="146" t="s">
        <v>87</v>
      </c>
      <c r="C75" s="146"/>
      <c r="D75" s="152"/>
      <c r="E75" s="147"/>
      <c r="F75" s="147"/>
      <c r="G75" s="184">
        <f t="shared" si="6"/>
        <v>0</v>
      </c>
      <c r="H75" s="185"/>
      <c r="I75" s="147"/>
      <c r="J75" s="147"/>
      <c r="K75" s="147"/>
      <c r="L75" s="147"/>
      <c r="M75" s="147"/>
      <c r="N75" s="149"/>
      <c r="O75" s="185">
        <v>1000</v>
      </c>
      <c r="P75" s="147"/>
      <c r="Q75" s="147"/>
      <c r="R75" s="147"/>
      <c r="S75" s="147">
        <f t="shared" si="21"/>
        <v>1000</v>
      </c>
    </row>
    <row r="76" spans="1:19" x14ac:dyDescent="0.25">
      <c r="A76" s="183">
        <v>54402</v>
      </c>
      <c r="B76" s="146" t="s">
        <v>88</v>
      </c>
      <c r="C76" s="146"/>
      <c r="D76" s="152"/>
      <c r="E76" s="147"/>
      <c r="F76" s="147"/>
      <c r="G76" s="184">
        <f t="shared" si="6"/>
        <v>0</v>
      </c>
      <c r="H76" s="185"/>
      <c r="I76" s="147"/>
      <c r="J76" s="147"/>
      <c r="K76" s="147"/>
      <c r="L76" s="147"/>
      <c r="M76" s="147"/>
      <c r="N76" s="149"/>
      <c r="O76" s="185">
        <v>1000</v>
      </c>
      <c r="P76" s="147"/>
      <c r="Q76" s="147"/>
      <c r="R76" s="147"/>
      <c r="S76" s="147">
        <f t="shared" si="21"/>
        <v>1000</v>
      </c>
    </row>
    <row r="77" spans="1:19" x14ac:dyDescent="0.25">
      <c r="A77" s="183">
        <v>54403</v>
      </c>
      <c r="B77" s="146" t="s">
        <v>89</v>
      </c>
      <c r="C77" s="146"/>
      <c r="D77" s="152"/>
      <c r="E77" s="147"/>
      <c r="F77" s="147"/>
      <c r="G77" s="184">
        <f t="shared" si="6"/>
        <v>0</v>
      </c>
      <c r="H77" s="185"/>
      <c r="I77" s="147"/>
      <c r="J77" s="147"/>
      <c r="K77" s="147"/>
      <c r="L77" s="147"/>
      <c r="M77" s="147"/>
      <c r="N77" s="149"/>
      <c r="O77" s="185">
        <v>1000</v>
      </c>
      <c r="P77" s="147"/>
      <c r="Q77" s="147"/>
      <c r="R77" s="147"/>
      <c r="S77" s="147">
        <f t="shared" si="21"/>
        <v>1000</v>
      </c>
    </row>
    <row r="78" spans="1:19" x14ac:dyDescent="0.25">
      <c r="A78" s="182">
        <v>545</v>
      </c>
      <c r="B78" s="144" t="s">
        <v>90</v>
      </c>
      <c r="C78" s="144"/>
      <c r="D78" s="141">
        <f>SUM(D79:D83)</f>
        <v>0</v>
      </c>
      <c r="E78" s="141">
        <f>SUM(E79:E83)</f>
        <v>0</v>
      </c>
      <c r="F78" s="141">
        <f t="shared" ref="F78:R78" si="23">SUM(F79:F83)</f>
        <v>0</v>
      </c>
      <c r="G78" s="180">
        <f t="shared" si="23"/>
        <v>0</v>
      </c>
      <c r="H78" s="181">
        <f t="shared" si="23"/>
        <v>0</v>
      </c>
      <c r="I78" s="141">
        <f t="shared" si="23"/>
        <v>0</v>
      </c>
      <c r="J78" s="141">
        <f t="shared" si="23"/>
        <v>0</v>
      </c>
      <c r="K78" s="141">
        <f t="shared" si="23"/>
        <v>0</v>
      </c>
      <c r="L78" s="141">
        <f t="shared" si="23"/>
        <v>0</v>
      </c>
      <c r="M78" s="141">
        <f t="shared" si="23"/>
        <v>0</v>
      </c>
      <c r="N78" s="142">
        <f t="shared" si="23"/>
        <v>0</v>
      </c>
      <c r="O78" s="181">
        <f t="shared" si="23"/>
        <v>2900</v>
      </c>
      <c r="P78" s="141">
        <f t="shared" si="23"/>
        <v>0</v>
      </c>
      <c r="Q78" s="141">
        <f t="shared" si="23"/>
        <v>0</v>
      </c>
      <c r="R78" s="141">
        <f t="shared" si="23"/>
        <v>0</v>
      </c>
      <c r="S78" s="141">
        <f>SUM(S79:S83)</f>
        <v>2900</v>
      </c>
    </row>
    <row r="79" spans="1:19" hidden="1" x14ac:dyDescent="0.25">
      <c r="A79" s="183">
        <v>54502</v>
      </c>
      <c r="B79" s="146" t="s">
        <v>91</v>
      </c>
      <c r="C79" s="146"/>
      <c r="D79" s="152"/>
      <c r="E79" s="147"/>
      <c r="F79" s="147"/>
      <c r="G79" s="184">
        <f t="shared" si="6"/>
        <v>0</v>
      </c>
      <c r="H79" s="185"/>
      <c r="I79" s="147"/>
      <c r="J79" s="147"/>
      <c r="K79" s="147"/>
      <c r="L79" s="147"/>
      <c r="M79" s="147"/>
      <c r="N79" s="149"/>
      <c r="O79" s="185"/>
      <c r="P79" s="147"/>
      <c r="Q79" s="147"/>
      <c r="R79" s="147"/>
      <c r="S79" s="147">
        <f t="shared" si="21"/>
        <v>0</v>
      </c>
    </row>
    <row r="80" spans="1:19" x14ac:dyDescent="0.25">
      <c r="A80" s="183">
        <v>54503</v>
      </c>
      <c r="B80" s="146" t="s">
        <v>92</v>
      </c>
      <c r="C80" s="146"/>
      <c r="D80" s="152"/>
      <c r="E80" s="147"/>
      <c r="F80" s="147"/>
      <c r="G80" s="184">
        <f t="shared" si="6"/>
        <v>0</v>
      </c>
      <c r="H80" s="185"/>
      <c r="I80" s="147"/>
      <c r="J80" s="147"/>
      <c r="K80" s="147"/>
      <c r="L80" s="147"/>
      <c r="M80" s="147"/>
      <c r="N80" s="149"/>
      <c r="O80" s="185">
        <v>900</v>
      </c>
      <c r="P80" s="147"/>
      <c r="Q80" s="147"/>
      <c r="R80" s="147"/>
      <c r="S80" s="147">
        <f t="shared" si="21"/>
        <v>900</v>
      </c>
    </row>
    <row r="81" spans="1:19" x14ac:dyDescent="0.25">
      <c r="A81" s="183">
        <v>54504</v>
      </c>
      <c r="B81" s="146" t="s">
        <v>93</v>
      </c>
      <c r="C81" s="146"/>
      <c r="D81" s="152"/>
      <c r="E81" s="147"/>
      <c r="F81" s="147"/>
      <c r="G81" s="184">
        <f t="shared" si="6"/>
        <v>0</v>
      </c>
      <c r="H81" s="185"/>
      <c r="I81" s="147"/>
      <c r="J81" s="147"/>
      <c r="K81" s="147"/>
      <c r="L81" s="147"/>
      <c r="M81" s="147"/>
      <c r="N81" s="149"/>
      <c r="O81" s="185">
        <v>1000</v>
      </c>
      <c r="P81" s="147"/>
      <c r="Q81" s="147"/>
      <c r="R81" s="147"/>
      <c r="S81" s="147">
        <f t="shared" si="21"/>
        <v>1000</v>
      </c>
    </row>
    <row r="82" spans="1:19" x14ac:dyDescent="0.25">
      <c r="A82" s="183">
        <v>54505</v>
      </c>
      <c r="B82" s="146" t="s">
        <v>94</v>
      </c>
      <c r="C82" s="146"/>
      <c r="D82" s="152"/>
      <c r="E82" s="147"/>
      <c r="F82" s="147"/>
      <c r="G82" s="184">
        <f t="shared" si="6"/>
        <v>0</v>
      </c>
      <c r="H82" s="185"/>
      <c r="I82" s="147"/>
      <c r="J82" s="147"/>
      <c r="K82" s="147"/>
      <c r="L82" s="147"/>
      <c r="M82" s="147"/>
      <c r="N82" s="149"/>
      <c r="O82" s="185">
        <v>1000</v>
      </c>
      <c r="P82" s="147"/>
      <c r="Q82" s="147"/>
      <c r="R82" s="147"/>
      <c r="S82" s="147">
        <f t="shared" si="21"/>
        <v>1000</v>
      </c>
    </row>
    <row r="83" spans="1:19" hidden="1" x14ac:dyDescent="0.25">
      <c r="A83" s="183">
        <v>54599</v>
      </c>
      <c r="B83" s="146" t="s">
        <v>95</v>
      </c>
      <c r="C83" s="146"/>
      <c r="D83" s="152"/>
      <c r="E83" s="147"/>
      <c r="F83" s="147"/>
      <c r="G83" s="184">
        <f t="shared" si="6"/>
        <v>0</v>
      </c>
      <c r="H83" s="185"/>
      <c r="I83" s="147"/>
      <c r="J83" s="147"/>
      <c r="K83" s="147"/>
      <c r="L83" s="147"/>
      <c r="M83" s="147"/>
      <c r="N83" s="149"/>
      <c r="O83" s="185"/>
      <c r="P83" s="147"/>
      <c r="Q83" s="147"/>
      <c r="R83" s="147"/>
      <c r="S83" s="147">
        <f t="shared" si="21"/>
        <v>0</v>
      </c>
    </row>
    <row r="84" spans="1:19" hidden="1" x14ac:dyDescent="0.25">
      <c r="A84" s="182">
        <v>546</v>
      </c>
      <c r="B84" s="144" t="s">
        <v>96</v>
      </c>
      <c r="C84" s="144"/>
      <c r="D84" s="141">
        <f>D85</f>
        <v>0</v>
      </c>
      <c r="E84" s="141">
        <f>E85</f>
        <v>0</v>
      </c>
      <c r="F84" s="141">
        <f t="shared" ref="F84:R84" si="24">F85</f>
        <v>0</v>
      </c>
      <c r="G84" s="180">
        <f t="shared" si="24"/>
        <v>0</v>
      </c>
      <c r="H84" s="181">
        <f t="shared" si="24"/>
        <v>0</v>
      </c>
      <c r="I84" s="141">
        <f t="shared" si="24"/>
        <v>0</v>
      </c>
      <c r="J84" s="141">
        <f t="shared" si="24"/>
        <v>0</v>
      </c>
      <c r="K84" s="141">
        <f t="shared" si="24"/>
        <v>0</v>
      </c>
      <c r="L84" s="141">
        <f t="shared" si="24"/>
        <v>0</v>
      </c>
      <c r="M84" s="141">
        <f t="shared" si="24"/>
        <v>0</v>
      </c>
      <c r="N84" s="142">
        <f t="shared" si="24"/>
        <v>0</v>
      </c>
      <c r="O84" s="181">
        <f t="shared" si="24"/>
        <v>0</v>
      </c>
      <c r="P84" s="141">
        <f t="shared" si="24"/>
        <v>0</v>
      </c>
      <c r="Q84" s="141">
        <f t="shared" si="24"/>
        <v>0</v>
      </c>
      <c r="R84" s="141">
        <f t="shared" si="24"/>
        <v>0</v>
      </c>
      <c r="S84" s="141">
        <f>S85</f>
        <v>0</v>
      </c>
    </row>
    <row r="85" spans="1:19" hidden="1" x14ac:dyDescent="0.25">
      <c r="A85" s="183">
        <v>54602</v>
      </c>
      <c r="B85" s="146" t="s">
        <v>97</v>
      </c>
      <c r="C85" s="146"/>
      <c r="D85" s="147"/>
      <c r="E85" s="147"/>
      <c r="F85" s="147"/>
      <c r="G85" s="184">
        <f t="shared" si="6"/>
        <v>0</v>
      </c>
      <c r="H85" s="185"/>
      <c r="I85" s="147"/>
      <c r="J85" s="147"/>
      <c r="K85" s="147"/>
      <c r="L85" s="147"/>
      <c r="M85" s="147"/>
      <c r="N85" s="149"/>
      <c r="O85" s="185"/>
      <c r="P85" s="147"/>
      <c r="Q85" s="147"/>
      <c r="R85" s="147"/>
      <c r="S85" s="147">
        <f t="shared" si="21"/>
        <v>0</v>
      </c>
    </row>
    <row r="86" spans="1:19" x14ac:dyDescent="0.25">
      <c r="A86" s="182">
        <v>55</v>
      </c>
      <c r="B86" s="144" t="s">
        <v>98</v>
      </c>
      <c r="C86" s="144"/>
      <c r="D86" s="141">
        <f>D87+D90+D93</f>
        <v>0</v>
      </c>
      <c r="E86" s="141">
        <f>E87+E90+E93</f>
        <v>0</v>
      </c>
      <c r="F86" s="141">
        <f t="shared" ref="F86:R86" si="25">F87+F90+F93</f>
        <v>0</v>
      </c>
      <c r="G86" s="180">
        <f t="shared" si="25"/>
        <v>0</v>
      </c>
      <c r="H86" s="181">
        <f t="shared" si="25"/>
        <v>0</v>
      </c>
      <c r="I86" s="141">
        <f t="shared" si="25"/>
        <v>0</v>
      </c>
      <c r="J86" s="141">
        <f t="shared" si="25"/>
        <v>0</v>
      </c>
      <c r="K86" s="141">
        <f t="shared" si="25"/>
        <v>0</v>
      </c>
      <c r="L86" s="141">
        <f t="shared" si="25"/>
        <v>0</v>
      </c>
      <c r="M86" s="141">
        <f t="shared" si="25"/>
        <v>0</v>
      </c>
      <c r="N86" s="142">
        <f t="shared" si="25"/>
        <v>0</v>
      </c>
      <c r="O86" s="181">
        <f t="shared" si="25"/>
        <v>4800</v>
      </c>
      <c r="P86" s="141">
        <f t="shared" si="25"/>
        <v>0</v>
      </c>
      <c r="Q86" s="141">
        <f t="shared" si="25"/>
        <v>0</v>
      </c>
      <c r="R86" s="141">
        <f t="shared" si="25"/>
        <v>0</v>
      </c>
      <c r="S86" s="141">
        <f>S87+S90+S93</f>
        <v>4800</v>
      </c>
    </row>
    <row r="87" spans="1:19" x14ac:dyDescent="0.25">
      <c r="A87" s="182">
        <v>553</v>
      </c>
      <c r="B87" s="144" t="s">
        <v>99</v>
      </c>
      <c r="C87" s="144"/>
      <c r="D87" s="141">
        <f>SUM(D88:D89)</f>
        <v>0</v>
      </c>
      <c r="E87" s="141">
        <f>SUM(E88:E89)</f>
        <v>0</v>
      </c>
      <c r="F87" s="141">
        <f t="shared" ref="F87:S87" si="26">SUM(F88:F89)</f>
        <v>0</v>
      </c>
      <c r="G87" s="180">
        <f t="shared" si="26"/>
        <v>0</v>
      </c>
      <c r="H87" s="181">
        <f t="shared" si="26"/>
        <v>0</v>
      </c>
      <c r="I87" s="141">
        <f t="shared" si="26"/>
        <v>0</v>
      </c>
      <c r="J87" s="141">
        <f t="shared" si="26"/>
        <v>0</v>
      </c>
      <c r="K87" s="141">
        <f t="shared" si="26"/>
        <v>0</v>
      </c>
      <c r="L87" s="141">
        <f t="shared" si="26"/>
        <v>0</v>
      </c>
      <c r="M87" s="141">
        <f t="shared" si="26"/>
        <v>0</v>
      </c>
      <c r="N87" s="142">
        <f t="shared" si="26"/>
        <v>0</v>
      </c>
      <c r="O87" s="181">
        <f t="shared" si="26"/>
        <v>0</v>
      </c>
      <c r="P87" s="141">
        <f t="shared" si="26"/>
        <v>0</v>
      </c>
      <c r="Q87" s="141">
        <f t="shared" si="26"/>
        <v>0</v>
      </c>
      <c r="R87" s="141">
        <f t="shared" si="26"/>
        <v>0</v>
      </c>
      <c r="S87" s="141">
        <f t="shared" si="26"/>
        <v>0</v>
      </c>
    </row>
    <row r="88" spans="1:19" hidden="1" x14ac:dyDescent="0.25">
      <c r="A88" s="183">
        <v>55302</v>
      </c>
      <c r="B88" s="146" t="s">
        <v>100</v>
      </c>
      <c r="C88" s="146"/>
      <c r="D88" s="147"/>
      <c r="E88" s="147"/>
      <c r="F88" s="147"/>
      <c r="G88" s="184">
        <f t="shared" ref="G88:G89" si="27">C88+D88+E88+F88</f>
        <v>0</v>
      </c>
      <c r="H88" s="185"/>
      <c r="I88" s="147"/>
      <c r="J88" s="147"/>
      <c r="K88" s="147"/>
      <c r="L88" s="147"/>
      <c r="M88" s="147"/>
      <c r="N88" s="149"/>
      <c r="O88" s="185"/>
      <c r="P88" s="147"/>
      <c r="Q88" s="147"/>
      <c r="R88" s="147"/>
      <c r="S88" s="147">
        <f t="shared" ref="S88:S89" si="28">SUM(O88:R88)</f>
        <v>0</v>
      </c>
    </row>
    <row r="89" spans="1:19" hidden="1" x14ac:dyDescent="0.25">
      <c r="A89" s="183">
        <v>55304</v>
      </c>
      <c r="B89" s="146" t="s">
        <v>101</v>
      </c>
      <c r="C89" s="146"/>
      <c r="D89" s="147"/>
      <c r="E89" s="147"/>
      <c r="F89" s="147"/>
      <c r="G89" s="184">
        <f t="shared" si="27"/>
        <v>0</v>
      </c>
      <c r="H89" s="185"/>
      <c r="I89" s="147"/>
      <c r="J89" s="147"/>
      <c r="K89" s="147"/>
      <c r="L89" s="147"/>
      <c r="M89" s="147"/>
      <c r="N89" s="149"/>
      <c r="O89" s="185"/>
      <c r="P89" s="147"/>
      <c r="Q89" s="147"/>
      <c r="R89" s="147"/>
      <c r="S89" s="147">
        <f t="shared" si="28"/>
        <v>0</v>
      </c>
    </row>
    <row r="90" spans="1:19" x14ac:dyDescent="0.25">
      <c r="A90" s="182">
        <v>556</v>
      </c>
      <c r="B90" s="144" t="s">
        <v>102</v>
      </c>
      <c r="C90" s="144"/>
      <c r="D90" s="141">
        <f>SUM(D91:D92)</f>
        <v>0</v>
      </c>
      <c r="E90" s="141">
        <f>SUM(E91:E92)</f>
        <v>0</v>
      </c>
      <c r="F90" s="141">
        <f t="shared" ref="F90:S90" si="29">SUM(F91:F92)</f>
        <v>0</v>
      </c>
      <c r="G90" s="180">
        <f t="shared" si="29"/>
        <v>0</v>
      </c>
      <c r="H90" s="181">
        <f t="shared" si="29"/>
        <v>0</v>
      </c>
      <c r="I90" s="141">
        <f t="shared" si="29"/>
        <v>0</v>
      </c>
      <c r="J90" s="141">
        <f t="shared" si="29"/>
        <v>0</v>
      </c>
      <c r="K90" s="141">
        <f t="shared" si="29"/>
        <v>0</v>
      </c>
      <c r="L90" s="141">
        <f t="shared" si="29"/>
        <v>0</v>
      </c>
      <c r="M90" s="141">
        <f t="shared" si="29"/>
        <v>0</v>
      </c>
      <c r="N90" s="142">
        <f t="shared" si="29"/>
        <v>0</v>
      </c>
      <c r="O90" s="181">
        <f t="shared" si="29"/>
        <v>4800</v>
      </c>
      <c r="P90" s="141">
        <f t="shared" si="29"/>
        <v>0</v>
      </c>
      <c r="Q90" s="141">
        <f t="shared" si="29"/>
        <v>0</v>
      </c>
      <c r="R90" s="141">
        <f t="shared" si="29"/>
        <v>0</v>
      </c>
      <c r="S90" s="141">
        <f t="shared" si="29"/>
        <v>4800</v>
      </c>
    </row>
    <row r="91" spans="1:19" x14ac:dyDescent="0.25">
      <c r="A91" s="183">
        <v>55602</v>
      </c>
      <c r="B91" s="146" t="s">
        <v>103</v>
      </c>
      <c r="C91" s="146"/>
      <c r="D91" s="147"/>
      <c r="E91" s="147"/>
      <c r="F91" s="147"/>
      <c r="G91" s="184">
        <f t="shared" ref="G91:G92" si="30">C91+D91+E91+F91</f>
        <v>0</v>
      </c>
      <c r="H91" s="185"/>
      <c r="I91" s="147"/>
      <c r="J91" s="147"/>
      <c r="K91" s="147"/>
      <c r="L91" s="147"/>
      <c r="M91" s="147"/>
      <c r="N91" s="149"/>
      <c r="O91" s="185">
        <f>4500+300</f>
        <v>4800</v>
      </c>
      <c r="P91" s="147"/>
      <c r="Q91" s="147"/>
      <c r="R91" s="147"/>
      <c r="S91" s="147">
        <f t="shared" ref="S91:S92" si="31">SUM(O91:R91)</f>
        <v>4800</v>
      </c>
    </row>
    <row r="92" spans="1:19" hidden="1" x14ac:dyDescent="0.25">
      <c r="A92" s="183">
        <v>55603</v>
      </c>
      <c r="B92" s="146" t="s">
        <v>104</v>
      </c>
      <c r="C92" s="146"/>
      <c r="D92" s="147"/>
      <c r="E92" s="147"/>
      <c r="F92" s="147"/>
      <c r="G92" s="184">
        <f t="shared" si="30"/>
        <v>0</v>
      </c>
      <c r="H92" s="185"/>
      <c r="I92" s="147"/>
      <c r="J92" s="147"/>
      <c r="K92" s="147"/>
      <c r="L92" s="147"/>
      <c r="M92" s="147"/>
      <c r="N92" s="149"/>
      <c r="O92" s="185"/>
      <c r="P92" s="147"/>
      <c r="Q92" s="147"/>
      <c r="R92" s="147"/>
      <c r="S92" s="147">
        <f t="shared" si="31"/>
        <v>0</v>
      </c>
    </row>
    <row r="93" spans="1:19" x14ac:dyDescent="0.25">
      <c r="A93" s="182">
        <v>557</v>
      </c>
      <c r="B93" s="144" t="s">
        <v>105</v>
      </c>
      <c r="C93" s="144"/>
      <c r="D93" s="141">
        <f>SUM(D94:D95)</f>
        <v>0</v>
      </c>
      <c r="E93" s="141">
        <f>SUM(E94:E95)</f>
        <v>0</v>
      </c>
      <c r="F93" s="141">
        <f t="shared" ref="F93:S93" si="32">SUM(F94:F95)</f>
        <v>0</v>
      </c>
      <c r="G93" s="180">
        <f t="shared" si="32"/>
        <v>0</v>
      </c>
      <c r="H93" s="181">
        <f t="shared" si="32"/>
        <v>0</v>
      </c>
      <c r="I93" s="141">
        <f t="shared" si="32"/>
        <v>0</v>
      </c>
      <c r="J93" s="141">
        <f t="shared" si="32"/>
        <v>0</v>
      </c>
      <c r="K93" s="141">
        <f t="shared" si="32"/>
        <v>0</v>
      </c>
      <c r="L93" s="141">
        <f t="shared" si="32"/>
        <v>0</v>
      </c>
      <c r="M93" s="141">
        <f t="shared" si="32"/>
        <v>0</v>
      </c>
      <c r="N93" s="142">
        <f t="shared" si="32"/>
        <v>0</v>
      </c>
      <c r="O93" s="181">
        <f t="shared" si="32"/>
        <v>0</v>
      </c>
      <c r="P93" s="141">
        <f t="shared" si="32"/>
        <v>0</v>
      </c>
      <c r="Q93" s="141">
        <f t="shared" si="32"/>
        <v>0</v>
      </c>
      <c r="R93" s="141">
        <f t="shared" si="32"/>
        <v>0</v>
      </c>
      <c r="S93" s="141">
        <f t="shared" si="32"/>
        <v>0</v>
      </c>
    </row>
    <row r="94" spans="1:19" hidden="1" x14ac:dyDescent="0.25">
      <c r="A94" s="183">
        <v>55703</v>
      </c>
      <c r="B94" s="146" t="s">
        <v>106</v>
      </c>
      <c r="C94" s="146"/>
      <c r="D94" s="147"/>
      <c r="E94" s="147"/>
      <c r="F94" s="147"/>
      <c r="G94" s="184">
        <f t="shared" ref="G94:G95" si="33">C94+D94+E94+F94</f>
        <v>0</v>
      </c>
      <c r="H94" s="185"/>
      <c r="I94" s="147"/>
      <c r="J94" s="147"/>
      <c r="K94" s="147"/>
      <c r="L94" s="147"/>
      <c r="M94" s="147"/>
      <c r="N94" s="149"/>
      <c r="O94" s="185"/>
      <c r="P94" s="147"/>
      <c r="Q94" s="147"/>
      <c r="R94" s="147"/>
      <c r="S94" s="147">
        <f t="shared" ref="S94:S95" si="34">SUM(O94:R94)</f>
        <v>0</v>
      </c>
    </row>
    <row r="95" spans="1:19" hidden="1" x14ac:dyDescent="0.25">
      <c r="A95" s="183">
        <v>55799</v>
      </c>
      <c r="B95" s="146" t="s">
        <v>107</v>
      </c>
      <c r="C95" s="146"/>
      <c r="D95" s="147"/>
      <c r="E95" s="147"/>
      <c r="F95" s="147"/>
      <c r="G95" s="184">
        <f t="shared" si="33"/>
        <v>0</v>
      </c>
      <c r="H95" s="185"/>
      <c r="I95" s="147"/>
      <c r="J95" s="147"/>
      <c r="K95" s="147"/>
      <c r="L95" s="147"/>
      <c r="M95" s="147"/>
      <c r="N95" s="149"/>
      <c r="O95" s="185"/>
      <c r="P95" s="147"/>
      <c r="Q95" s="147"/>
      <c r="R95" s="147"/>
      <c r="S95" s="147">
        <f t="shared" si="34"/>
        <v>0</v>
      </c>
    </row>
    <row r="96" spans="1:19" x14ac:dyDescent="0.25">
      <c r="A96" s="182">
        <v>56</v>
      </c>
      <c r="B96" s="144" t="s">
        <v>108</v>
      </c>
      <c r="C96" s="144"/>
      <c r="D96" s="141">
        <f>D97</f>
        <v>6000</v>
      </c>
      <c r="E96" s="141">
        <f t="shared" ref="E96:R97" si="35">E97</f>
        <v>0</v>
      </c>
      <c r="F96" s="141">
        <f t="shared" si="35"/>
        <v>0</v>
      </c>
      <c r="G96" s="141">
        <f>SUM(D96:F96)</f>
        <v>6000</v>
      </c>
      <c r="H96" s="181"/>
      <c r="I96" s="141"/>
      <c r="J96" s="141"/>
      <c r="K96" s="141"/>
      <c r="L96" s="141"/>
      <c r="M96" s="141"/>
      <c r="N96" s="142"/>
      <c r="O96" s="181">
        <f>O97+O99</f>
        <v>12470.97</v>
      </c>
      <c r="P96" s="181">
        <f t="shared" ref="P96:R96" si="36">P97+P99</f>
        <v>112.25999999999999</v>
      </c>
      <c r="Q96" s="181">
        <f t="shared" si="36"/>
        <v>25.2</v>
      </c>
      <c r="R96" s="181">
        <f t="shared" si="36"/>
        <v>155.41</v>
      </c>
      <c r="S96" s="141">
        <f>S97+S99</f>
        <v>12763.84</v>
      </c>
    </row>
    <row r="97" spans="1:19" x14ac:dyDescent="0.25">
      <c r="A97" s="182">
        <v>562</v>
      </c>
      <c r="B97" s="144" t="s">
        <v>109</v>
      </c>
      <c r="C97" s="144"/>
      <c r="D97" s="141">
        <f>D98</f>
        <v>6000</v>
      </c>
      <c r="E97" s="141">
        <f>E98</f>
        <v>0</v>
      </c>
      <c r="F97" s="141">
        <f t="shared" si="35"/>
        <v>0</v>
      </c>
      <c r="G97" s="180">
        <f t="shared" si="35"/>
        <v>6000</v>
      </c>
      <c r="H97" s="181">
        <f t="shared" si="35"/>
        <v>0</v>
      </c>
      <c r="I97" s="141">
        <f t="shared" si="35"/>
        <v>0</v>
      </c>
      <c r="J97" s="141">
        <f t="shared" si="35"/>
        <v>0</v>
      </c>
      <c r="K97" s="141">
        <f t="shared" si="35"/>
        <v>0</v>
      </c>
      <c r="L97" s="141">
        <f t="shared" si="35"/>
        <v>0</v>
      </c>
      <c r="M97" s="141">
        <f t="shared" si="35"/>
        <v>0</v>
      </c>
      <c r="N97" s="142">
        <f t="shared" si="35"/>
        <v>0</v>
      </c>
      <c r="O97" s="181">
        <f t="shared" si="35"/>
        <v>2470.9699999999998</v>
      </c>
      <c r="P97" s="141">
        <f t="shared" si="35"/>
        <v>112.25999999999999</v>
      </c>
      <c r="Q97" s="141">
        <f t="shared" si="35"/>
        <v>25.2</v>
      </c>
      <c r="R97" s="141">
        <f t="shared" si="35"/>
        <v>155.41</v>
      </c>
      <c r="S97" s="141">
        <f>S98</f>
        <v>2763.8399999999992</v>
      </c>
    </row>
    <row r="98" spans="1:19" x14ac:dyDescent="0.25">
      <c r="A98" s="183">
        <v>56201</v>
      </c>
      <c r="B98" s="146" t="s">
        <v>110</v>
      </c>
      <c r="C98" s="146"/>
      <c r="D98" s="147">
        <f>500*12</f>
        <v>6000</v>
      </c>
      <c r="E98" s="147"/>
      <c r="F98" s="147"/>
      <c r="G98" s="184">
        <f t="shared" ref="G98" si="37">C98+D98+E98+F98</f>
        <v>6000</v>
      </c>
      <c r="H98" s="185"/>
      <c r="I98" s="147"/>
      <c r="J98" s="147"/>
      <c r="K98" s="147"/>
      <c r="L98" s="147"/>
      <c r="M98" s="147"/>
      <c r="N98" s="149"/>
      <c r="O98" s="185">
        <f>70.97+2400</f>
        <v>2470.9699999999998</v>
      </c>
      <c r="P98" s="147">
        <f>106.86+0.6+4.8</f>
        <v>112.25999999999999</v>
      </c>
      <c r="Q98" s="147">
        <v>25.2</v>
      </c>
      <c r="R98" s="147">
        <f>64.57+5.4+85.44</f>
        <v>155.41</v>
      </c>
      <c r="S98" s="147">
        <f>SUM(O98:R98)</f>
        <v>2763.8399999999992</v>
      </c>
    </row>
    <row r="99" spans="1:19" x14ac:dyDescent="0.25">
      <c r="A99" s="182">
        <v>563</v>
      </c>
      <c r="B99" s="144" t="s">
        <v>111</v>
      </c>
      <c r="C99" s="144"/>
      <c r="D99" s="141">
        <f>SUM(D100:D103)</f>
        <v>0</v>
      </c>
      <c r="E99" s="141">
        <f>SUM(E100:E103)</f>
        <v>0</v>
      </c>
      <c r="F99" s="141">
        <f t="shared" ref="F99:R99" si="38">SUM(F100:F103)</f>
        <v>0</v>
      </c>
      <c r="G99" s="180">
        <f t="shared" si="38"/>
        <v>0</v>
      </c>
      <c r="H99" s="181">
        <f t="shared" si="38"/>
        <v>0</v>
      </c>
      <c r="I99" s="141">
        <f t="shared" si="38"/>
        <v>0</v>
      </c>
      <c r="J99" s="141">
        <f t="shared" si="38"/>
        <v>0</v>
      </c>
      <c r="K99" s="141">
        <f t="shared" si="38"/>
        <v>0</v>
      </c>
      <c r="L99" s="141">
        <f t="shared" si="38"/>
        <v>0</v>
      </c>
      <c r="M99" s="141">
        <f t="shared" si="38"/>
        <v>0</v>
      </c>
      <c r="N99" s="142">
        <f t="shared" si="38"/>
        <v>0</v>
      </c>
      <c r="O99" s="181">
        <f t="shared" si="38"/>
        <v>10000</v>
      </c>
      <c r="P99" s="141">
        <f t="shared" si="38"/>
        <v>0</v>
      </c>
      <c r="Q99" s="141">
        <f t="shared" si="38"/>
        <v>0</v>
      </c>
      <c r="R99" s="141">
        <f t="shared" si="38"/>
        <v>0</v>
      </c>
      <c r="S99" s="141">
        <f>SUM(S100:S103)</f>
        <v>10000</v>
      </c>
    </row>
    <row r="100" spans="1:19" x14ac:dyDescent="0.25">
      <c r="A100" s="183">
        <v>56301</v>
      </c>
      <c r="B100" s="146" t="s">
        <v>112</v>
      </c>
      <c r="C100" s="146"/>
      <c r="D100" s="147"/>
      <c r="E100" s="147"/>
      <c r="F100" s="147"/>
      <c r="G100" s="184">
        <f t="shared" ref="G100:G103" si="39">C100+D100+E100+F100</f>
        <v>0</v>
      </c>
      <c r="H100" s="185"/>
      <c r="I100" s="147"/>
      <c r="J100" s="147"/>
      <c r="K100" s="147"/>
      <c r="L100" s="147"/>
      <c r="M100" s="147"/>
      <c r="N100" s="149"/>
      <c r="O100" s="185"/>
      <c r="P100" s="147"/>
      <c r="Q100" s="147"/>
      <c r="R100" s="147"/>
      <c r="S100" s="147">
        <f>SUM(O100:R100)</f>
        <v>0</v>
      </c>
    </row>
    <row r="101" spans="1:19" x14ac:dyDescent="0.25">
      <c r="A101" s="183">
        <v>56303</v>
      </c>
      <c r="B101" s="146" t="s">
        <v>113</v>
      </c>
      <c r="C101" s="146"/>
      <c r="D101" s="147"/>
      <c r="E101" s="147"/>
      <c r="F101" s="147"/>
      <c r="G101" s="184">
        <f t="shared" si="39"/>
        <v>0</v>
      </c>
      <c r="H101" s="185"/>
      <c r="I101" s="147"/>
      <c r="J101" s="147"/>
      <c r="K101" s="147"/>
      <c r="L101" s="147"/>
      <c r="M101" s="147"/>
      <c r="N101" s="149"/>
      <c r="O101" s="185">
        <v>0</v>
      </c>
      <c r="P101" s="147"/>
      <c r="Q101" s="147"/>
      <c r="R101" s="147"/>
      <c r="S101" s="147">
        <f t="shared" ref="S101:S103" si="40">SUM(O101:R101)</f>
        <v>0</v>
      </c>
    </row>
    <row r="102" spans="1:19" x14ac:dyDescent="0.25">
      <c r="A102" s="183">
        <v>56304</v>
      </c>
      <c r="B102" s="146" t="s">
        <v>225</v>
      </c>
      <c r="C102" s="146"/>
      <c r="D102" s="147"/>
      <c r="E102" s="147"/>
      <c r="F102" s="147"/>
      <c r="G102" s="184"/>
      <c r="H102" s="185"/>
      <c r="I102" s="147"/>
      <c r="J102" s="147"/>
      <c r="K102" s="147"/>
      <c r="L102" s="147"/>
      <c r="M102" s="147"/>
      <c r="N102" s="149"/>
      <c r="O102" s="185">
        <v>10000</v>
      </c>
      <c r="P102" s="147"/>
      <c r="Q102" s="147"/>
      <c r="R102" s="147"/>
      <c r="S102" s="147">
        <f t="shared" si="40"/>
        <v>10000</v>
      </c>
    </row>
    <row r="103" spans="1:19" x14ac:dyDescent="0.25">
      <c r="A103" s="183">
        <v>56305</v>
      </c>
      <c r="B103" s="146" t="s">
        <v>114</v>
      </c>
      <c r="C103" s="146"/>
      <c r="D103" s="147"/>
      <c r="E103" s="147"/>
      <c r="F103" s="147"/>
      <c r="G103" s="184">
        <f t="shared" si="39"/>
        <v>0</v>
      </c>
      <c r="H103" s="185"/>
      <c r="I103" s="147"/>
      <c r="J103" s="147"/>
      <c r="K103" s="147"/>
      <c r="L103" s="147"/>
      <c r="M103" s="147"/>
      <c r="N103" s="149"/>
      <c r="O103" s="185"/>
      <c r="P103" s="147"/>
      <c r="Q103" s="147"/>
      <c r="R103" s="147"/>
      <c r="S103" s="147">
        <f t="shared" si="40"/>
        <v>0</v>
      </c>
    </row>
    <row r="104" spans="1:19" x14ac:dyDescent="0.25">
      <c r="A104" s="182">
        <v>61</v>
      </c>
      <c r="B104" s="144" t="s">
        <v>115</v>
      </c>
      <c r="C104" s="144"/>
      <c r="D104" s="141">
        <f>D105+D109+D111+D113</f>
        <v>0</v>
      </c>
      <c r="E104" s="141">
        <f>E105+E109+E111+E113</f>
        <v>0</v>
      </c>
      <c r="F104" s="141">
        <f t="shared" ref="F104:R104" si="41">F105+F109+F111+F113</f>
        <v>0</v>
      </c>
      <c r="G104" s="180">
        <f t="shared" si="41"/>
        <v>0</v>
      </c>
      <c r="H104" s="181">
        <f t="shared" si="41"/>
        <v>32000</v>
      </c>
      <c r="I104" s="141">
        <f>I105+I109+I111+I113</f>
        <v>1043365.44</v>
      </c>
      <c r="J104" s="141">
        <f t="shared" si="41"/>
        <v>0</v>
      </c>
      <c r="K104" s="141">
        <f t="shared" si="41"/>
        <v>85000</v>
      </c>
      <c r="L104" s="141">
        <f t="shared" si="41"/>
        <v>0</v>
      </c>
      <c r="M104" s="141">
        <f t="shared" si="41"/>
        <v>0</v>
      </c>
      <c r="N104" s="142">
        <f>N105+N109+N111+N113</f>
        <v>1160365.44</v>
      </c>
      <c r="O104" s="181">
        <f t="shared" si="41"/>
        <v>2000</v>
      </c>
      <c r="P104" s="141">
        <f t="shared" si="41"/>
        <v>0</v>
      </c>
      <c r="Q104" s="141">
        <f t="shared" si="41"/>
        <v>0</v>
      </c>
      <c r="R104" s="141">
        <f t="shared" si="41"/>
        <v>0</v>
      </c>
      <c r="S104" s="141">
        <f>S105+S109+S111+S113</f>
        <v>2000</v>
      </c>
    </row>
    <row r="105" spans="1:19" x14ac:dyDescent="0.25">
      <c r="A105" s="182">
        <v>611</v>
      </c>
      <c r="B105" s="144" t="s">
        <v>116</v>
      </c>
      <c r="C105" s="144"/>
      <c r="D105" s="141">
        <f>SUM(D106:D108)</f>
        <v>0</v>
      </c>
      <c r="E105" s="141">
        <f>SUM(E106:E108)</f>
        <v>0</v>
      </c>
      <c r="F105" s="141">
        <f t="shared" ref="F105:R105" si="42">SUM(F106:F108)</f>
        <v>0</v>
      </c>
      <c r="G105" s="180">
        <f t="shared" si="42"/>
        <v>0</v>
      </c>
      <c r="H105" s="181">
        <f t="shared" si="42"/>
        <v>0</v>
      </c>
      <c r="I105" s="141">
        <f t="shared" si="42"/>
        <v>17000</v>
      </c>
      <c r="J105" s="141">
        <f t="shared" si="42"/>
        <v>0</v>
      </c>
      <c r="K105" s="141">
        <f t="shared" si="42"/>
        <v>0</v>
      </c>
      <c r="L105" s="141">
        <f t="shared" si="42"/>
        <v>0</v>
      </c>
      <c r="M105" s="141">
        <f t="shared" si="42"/>
        <v>0</v>
      </c>
      <c r="N105" s="142">
        <f>SUM(N106:N108)</f>
        <v>17000</v>
      </c>
      <c r="O105" s="181">
        <f t="shared" si="42"/>
        <v>2000</v>
      </c>
      <c r="P105" s="141">
        <f t="shared" si="42"/>
        <v>0</v>
      </c>
      <c r="Q105" s="141">
        <f t="shared" si="42"/>
        <v>0</v>
      </c>
      <c r="R105" s="141">
        <f t="shared" si="42"/>
        <v>0</v>
      </c>
      <c r="S105" s="141">
        <f>SUM(S106:S108)</f>
        <v>2000</v>
      </c>
    </row>
    <row r="106" spans="1:19" hidden="1" x14ac:dyDescent="0.25">
      <c r="A106" s="183">
        <v>61102</v>
      </c>
      <c r="B106" s="146" t="s">
        <v>117</v>
      </c>
      <c r="C106" s="146"/>
      <c r="D106" s="147"/>
      <c r="E106" s="147"/>
      <c r="F106" s="147"/>
      <c r="G106" s="184">
        <f t="shared" ref="G106:G108" si="43">C106+D106+E106+F106</f>
        <v>0</v>
      </c>
      <c r="H106" s="185"/>
      <c r="I106" s="147">
        <v>17000</v>
      </c>
      <c r="J106" s="147"/>
      <c r="K106" s="147"/>
      <c r="L106" s="147"/>
      <c r="M106" s="147"/>
      <c r="N106" s="149">
        <f>SUM(H106:M106)</f>
        <v>17000</v>
      </c>
      <c r="O106" s="185"/>
      <c r="P106" s="147"/>
      <c r="Q106" s="147"/>
      <c r="R106" s="147"/>
      <c r="S106" s="147">
        <f t="shared" ref="S106:S108" si="44">SUM(O106:R106)</f>
        <v>0</v>
      </c>
    </row>
    <row r="107" spans="1:19" x14ac:dyDescent="0.25">
      <c r="A107" s="183">
        <v>61104</v>
      </c>
      <c r="B107" s="146" t="s">
        <v>118</v>
      </c>
      <c r="C107" s="146"/>
      <c r="D107" s="147"/>
      <c r="E107" s="147"/>
      <c r="F107" s="147"/>
      <c r="G107" s="184">
        <f t="shared" si="43"/>
        <v>0</v>
      </c>
      <c r="H107" s="185"/>
      <c r="I107" s="147"/>
      <c r="J107" s="147"/>
      <c r="K107" s="147"/>
      <c r="L107" s="147"/>
      <c r="M107" s="147"/>
      <c r="N107" s="149">
        <f t="shared" ref="N107:N110" si="45">SUM(H107:M107)</f>
        <v>0</v>
      </c>
      <c r="O107" s="185">
        <v>2000</v>
      </c>
      <c r="P107" s="147"/>
      <c r="Q107" s="147"/>
      <c r="R107" s="147"/>
      <c r="S107" s="147">
        <f t="shared" si="44"/>
        <v>2000</v>
      </c>
    </row>
    <row r="108" spans="1:19" hidden="1" x14ac:dyDescent="0.25">
      <c r="A108" s="183">
        <v>61199</v>
      </c>
      <c r="B108" s="146" t="s">
        <v>119</v>
      </c>
      <c r="C108" s="146"/>
      <c r="D108" s="147"/>
      <c r="E108" s="147"/>
      <c r="F108" s="147"/>
      <c r="G108" s="184">
        <f t="shared" si="43"/>
        <v>0</v>
      </c>
      <c r="H108" s="185"/>
      <c r="I108" s="147"/>
      <c r="J108" s="147"/>
      <c r="K108" s="147"/>
      <c r="L108" s="147"/>
      <c r="M108" s="147"/>
      <c r="N108" s="149">
        <f t="shared" si="45"/>
        <v>0</v>
      </c>
      <c r="O108" s="185"/>
      <c r="P108" s="147"/>
      <c r="Q108" s="147"/>
      <c r="R108" s="147"/>
      <c r="S108" s="147">
        <f t="shared" si="44"/>
        <v>0</v>
      </c>
    </row>
    <row r="109" spans="1:19" hidden="1" x14ac:dyDescent="0.25">
      <c r="A109" s="182">
        <v>612</v>
      </c>
      <c r="B109" s="144" t="s">
        <v>120</v>
      </c>
      <c r="C109" s="144"/>
      <c r="D109" s="141">
        <f>D110</f>
        <v>0</v>
      </c>
      <c r="E109" s="141">
        <f>E110</f>
        <v>0</v>
      </c>
      <c r="F109" s="141">
        <f t="shared" ref="F109:R109" si="46">F110</f>
        <v>0</v>
      </c>
      <c r="G109" s="180">
        <f t="shared" si="46"/>
        <v>0</v>
      </c>
      <c r="H109" s="181">
        <f t="shared" si="46"/>
        <v>0</v>
      </c>
      <c r="I109" s="141">
        <f t="shared" si="46"/>
        <v>35000</v>
      </c>
      <c r="J109" s="141">
        <f t="shared" si="46"/>
        <v>0</v>
      </c>
      <c r="K109" s="141">
        <f t="shared" si="46"/>
        <v>0</v>
      </c>
      <c r="L109" s="141">
        <f t="shared" si="46"/>
        <v>0</v>
      </c>
      <c r="M109" s="141">
        <f t="shared" si="46"/>
        <v>0</v>
      </c>
      <c r="N109" s="142">
        <f t="shared" si="46"/>
        <v>35000</v>
      </c>
      <c r="O109" s="181">
        <f t="shared" si="46"/>
        <v>0</v>
      </c>
      <c r="P109" s="141">
        <f t="shared" si="46"/>
        <v>0</v>
      </c>
      <c r="Q109" s="141">
        <f t="shared" si="46"/>
        <v>0</v>
      </c>
      <c r="R109" s="141">
        <f t="shared" si="46"/>
        <v>0</v>
      </c>
      <c r="S109" s="141">
        <f>S110</f>
        <v>0</v>
      </c>
    </row>
    <row r="110" spans="1:19" hidden="1" x14ac:dyDescent="0.25">
      <c r="A110" s="183">
        <v>61201</v>
      </c>
      <c r="B110" s="146" t="s">
        <v>121</v>
      </c>
      <c r="C110" s="146"/>
      <c r="D110" s="147"/>
      <c r="E110" s="147"/>
      <c r="F110" s="147"/>
      <c r="G110" s="184">
        <f t="shared" ref="G110" si="47">C110+D110+E110+F110</f>
        <v>0</v>
      </c>
      <c r="H110" s="185"/>
      <c r="I110" s="147">
        <v>35000</v>
      </c>
      <c r="J110" s="147"/>
      <c r="K110" s="147"/>
      <c r="L110" s="147"/>
      <c r="M110" s="147"/>
      <c r="N110" s="149">
        <f t="shared" si="45"/>
        <v>35000</v>
      </c>
      <c r="O110" s="185"/>
      <c r="P110" s="147"/>
      <c r="Q110" s="147"/>
      <c r="R110" s="147"/>
      <c r="S110" s="147">
        <f t="shared" ref="S110" si="48">SUM(O110:R110)</f>
        <v>0</v>
      </c>
    </row>
    <row r="111" spans="1:19" hidden="1" x14ac:dyDescent="0.25">
      <c r="A111" s="183">
        <v>615</v>
      </c>
      <c r="B111" s="144" t="s">
        <v>122</v>
      </c>
      <c r="C111" s="144"/>
      <c r="D111" s="141">
        <f>D112</f>
        <v>0</v>
      </c>
      <c r="E111" s="141">
        <f>E112</f>
        <v>0</v>
      </c>
      <c r="F111" s="141">
        <f t="shared" ref="F111:R111" si="49">F112</f>
        <v>0</v>
      </c>
      <c r="G111" s="180">
        <f t="shared" si="49"/>
        <v>0</v>
      </c>
      <c r="H111" s="181">
        <f t="shared" si="49"/>
        <v>32000</v>
      </c>
      <c r="I111" s="141">
        <f t="shared" si="49"/>
        <v>0</v>
      </c>
      <c r="J111" s="141">
        <f t="shared" si="49"/>
        <v>0</v>
      </c>
      <c r="K111" s="141">
        <f t="shared" si="49"/>
        <v>0</v>
      </c>
      <c r="L111" s="141">
        <f t="shared" si="49"/>
        <v>0</v>
      </c>
      <c r="M111" s="141">
        <f t="shared" si="49"/>
        <v>0</v>
      </c>
      <c r="N111" s="142">
        <f>N112</f>
        <v>32000</v>
      </c>
      <c r="O111" s="181">
        <f t="shared" si="49"/>
        <v>0</v>
      </c>
      <c r="P111" s="141">
        <f t="shared" si="49"/>
        <v>0</v>
      </c>
      <c r="Q111" s="141">
        <f t="shared" si="49"/>
        <v>0</v>
      </c>
      <c r="R111" s="141">
        <f t="shared" si="49"/>
        <v>0</v>
      </c>
      <c r="S111" s="141">
        <f>S112</f>
        <v>0</v>
      </c>
    </row>
    <row r="112" spans="1:19" hidden="1" x14ac:dyDescent="0.25">
      <c r="A112" s="183">
        <v>61599</v>
      </c>
      <c r="B112" s="146" t="s">
        <v>123</v>
      </c>
      <c r="C112" s="146"/>
      <c r="D112" s="147"/>
      <c r="E112" s="147"/>
      <c r="F112" s="147"/>
      <c r="G112" s="184">
        <f t="shared" ref="G112" si="50">C112+D112+E112+F112</f>
        <v>0</v>
      </c>
      <c r="H112" s="185">
        <v>32000</v>
      </c>
      <c r="I112" s="147"/>
      <c r="J112" s="147"/>
      <c r="K112" s="147"/>
      <c r="L112" s="147"/>
      <c r="M112" s="147"/>
      <c r="N112" s="149">
        <f t="shared" ref="N112" si="51">SUM(H112:M112)</f>
        <v>32000</v>
      </c>
      <c r="O112" s="185"/>
      <c r="P112" s="147"/>
      <c r="Q112" s="147"/>
      <c r="R112" s="147"/>
      <c r="S112" s="147">
        <f t="shared" ref="S112" si="52">SUM(O112:R112)</f>
        <v>0</v>
      </c>
    </row>
    <row r="113" spans="1:27" s="163" customFormat="1" hidden="1" x14ac:dyDescent="0.25">
      <c r="A113" s="182">
        <v>616</v>
      </c>
      <c r="B113" s="144" t="s">
        <v>124</v>
      </c>
      <c r="C113" s="144"/>
      <c r="D113" s="141">
        <f>SUM(D114:D118)</f>
        <v>0</v>
      </c>
      <c r="E113" s="141">
        <f>SUM(E114:E118)</f>
        <v>0</v>
      </c>
      <c r="F113" s="141">
        <f t="shared" ref="F113:R113" si="53">SUM(F114:F118)</f>
        <v>0</v>
      </c>
      <c r="G113" s="180">
        <f t="shared" si="53"/>
        <v>0</v>
      </c>
      <c r="H113" s="181">
        <f t="shared" si="53"/>
        <v>0</v>
      </c>
      <c r="I113" s="141">
        <f>SUM(I114:I120)</f>
        <v>991365.44</v>
      </c>
      <c r="J113" s="141">
        <f t="shared" ref="J113:M113" si="54">SUM(J114:J120)</f>
        <v>0</v>
      </c>
      <c r="K113" s="141">
        <f t="shared" si="54"/>
        <v>85000</v>
      </c>
      <c r="L113" s="141">
        <f t="shared" si="54"/>
        <v>0</v>
      </c>
      <c r="M113" s="141">
        <f t="shared" si="54"/>
        <v>0</v>
      </c>
      <c r="N113" s="142">
        <f>SUM(N114:N120)</f>
        <v>1076365.44</v>
      </c>
      <c r="O113" s="181">
        <f t="shared" si="53"/>
        <v>0</v>
      </c>
      <c r="P113" s="141">
        <f t="shared" si="53"/>
        <v>0</v>
      </c>
      <c r="Q113" s="141">
        <f t="shared" si="53"/>
        <v>0</v>
      </c>
      <c r="R113" s="141">
        <f t="shared" si="53"/>
        <v>0</v>
      </c>
      <c r="S113" s="141">
        <f>SUM(S114:S118)</f>
        <v>0</v>
      </c>
      <c r="T113" s="129"/>
      <c r="U113" s="129"/>
      <c r="V113" s="129"/>
      <c r="W113" s="129"/>
      <c r="X113" s="129"/>
      <c r="Y113" s="129"/>
      <c r="Z113" s="129"/>
      <c r="AA113" s="129"/>
    </row>
    <row r="114" spans="1:27" s="163" customFormat="1" hidden="1" x14ac:dyDescent="0.25">
      <c r="A114" s="183">
        <v>61601</v>
      </c>
      <c r="B114" s="146" t="s">
        <v>125</v>
      </c>
      <c r="C114" s="146"/>
      <c r="D114" s="147"/>
      <c r="E114" s="147"/>
      <c r="F114" s="147"/>
      <c r="G114" s="184">
        <f t="shared" ref="G114:G120" si="55">C114+D114+E114+F114</f>
        <v>0</v>
      </c>
      <c r="H114" s="185"/>
      <c r="I114" s="147">
        <v>264891.59000000003</v>
      </c>
      <c r="J114" s="147"/>
      <c r="K114" s="147"/>
      <c r="L114" s="147"/>
      <c r="M114" s="147"/>
      <c r="N114" s="149">
        <f t="shared" ref="N114:N120" si="56">SUM(H114:M114)</f>
        <v>264891.59000000003</v>
      </c>
      <c r="O114" s="185"/>
      <c r="P114" s="147"/>
      <c r="Q114" s="147"/>
      <c r="R114" s="147"/>
      <c r="S114" s="147">
        <f t="shared" ref="S114:S120" si="57">SUM(O114:R114)</f>
        <v>0</v>
      </c>
      <c r="T114" s="129"/>
      <c r="U114" s="129"/>
      <c r="V114" s="129"/>
      <c r="W114" s="129"/>
      <c r="X114" s="129"/>
      <c r="Y114" s="129"/>
      <c r="Z114" s="129"/>
      <c r="AA114" s="129"/>
    </row>
    <row r="115" spans="1:27" s="163" customFormat="1" hidden="1" x14ac:dyDescent="0.25">
      <c r="A115" s="183">
        <v>61603</v>
      </c>
      <c r="B115" s="146" t="s">
        <v>126</v>
      </c>
      <c r="C115" s="146"/>
      <c r="D115" s="147"/>
      <c r="E115" s="147"/>
      <c r="F115" s="147"/>
      <c r="G115" s="184">
        <f t="shared" si="55"/>
        <v>0</v>
      </c>
      <c r="H115" s="185"/>
      <c r="I115" s="147">
        <v>363986.85</v>
      </c>
      <c r="J115" s="147"/>
      <c r="K115" s="147"/>
      <c r="L115" s="147"/>
      <c r="M115" s="147"/>
      <c r="N115" s="149">
        <f t="shared" si="56"/>
        <v>363986.85</v>
      </c>
      <c r="O115" s="185"/>
      <c r="P115" s="147"/>
      <c r="Q115" s="147"/>
      <c r="R115" s="147"/>
      <c r="S115" s="147">
        <f t="shared" si="57"/>
        <v>0</v>
      </c>
      <c r="T115" s="129"/>
      <c r="U115" s="129"/>
      <c r="V115" s="129"/>
      <c r="W115" s="129"/>
      <c r="X115" s="129"/>
      <c r="Y115" s="129"/>
      <c r="Z115" s="129"/>
      <c r="AA115" s="129"/>
    </row>
    <row r="116" spans="1:27" s="163" customFormat="1" hidden="1" x14ac:dyDescent="0.25">
      <c r="A116" s="183">
        <v>61606</v>
      </c>
      <c r="B116" s="146" t="s">
        <v>127</v>
      </c>
      <c r="C116" s="146"/>
      <c r="D116" s="147"/>
      <c r="E116" s="147"/>
      <c r="F116" s="147"/>
      <c r="G116" s="184">
        <f t="shared" si="55"/>
        <v>0</v>
      </c>
      <c r="H116" s="185"/>
      <c r="I116" s="147">
        <v>33000</v>
      </c>
      <c r="J116" s="147"/>
      <c r="K116" s="147"/>
      <c r="L116" s="147"/>
      <c r="M116" s="147"/>
      <c r="N116" s="149">
        <f t="shared" si="56"/>
        <v>33000</v>
      </c>
      <c r="O116" s="185"/>
      <c r="P116" s="147"/>
      <c r="Q116" s="147"/>
      <c r="R116" s="147"/>
      <c r="S116" s="147">
        <f t="shared" si="57"/>
        <v>0</v>
      </c>
      <c r="T116" s="129"/>
      <c r="U116" s="129"/>
      <c r="V116" s="129"/>
      <c r="W116" s="129"/>
      <c r="X116" s="129"/>
      <c r="Y116" s="129"/>
      <c r="Z116" s="129"/>
      <c r="AA116" s="129"/>
    </row>
    <row r="117" spans="1:27" s="163" customFormat="1" hidden="1" x14ac:dyDescent="0.25">
      <c r="A117" s="183">
        <v>61608</v>
      </c>
      <c r="B117" s="146" t="s">
        <v>128</v>
      </c>
      <c r="C117" s="146"/>
      <c r="D117" s="147"/>
      <c r="E117" s="147"/>
      <c r="F117" s="147"/>
      <c r="G117" s="184">
        <f t="shared" si="55"/>
        <v>0</v>
      </c>
      <c r="H117" s="185"/>
      <c r="I117" s="147"/>
      <c r="J117" s="147"/>
      <c r="K117" s="147"/>
      <c r="L117" s="147"/>
      <c r="M117" s="147"/>
      <c r="N117" s="149">
        <f t="shared" si="56"/>
        <v>0</v>
      </c>
      <c r="O117" s="185"/>
      <c r="P117" s="147"/>
      <c r="Q117" s="147"/>
      <c r="R117" s="147"/>
      <c r="S117" s="147">
        <f t="shared" si="57"/>
        <v>0</v>
      </c>
      <c r="T117" s="129"/>
      <c r="U117" s="129"/>
      <c r="V117" s="129"/>
      <c r="W117" s="129"/>
      <c r="X117" s="129"/>
      <c r="Y117" s="129"/>
      <c r="Z117" s="129"/>
      <c r="AA117" s="129"/>
    </row>
    <row r="118" spans="1:27" s="163" customFormat="1" hidden="1" x14ac:dyDescent="0.25">
      <c r="A118" s="183">
        <v>61609</v>
      </c>
      <c r="B118" s="146" t="s">
        <v>129</v>
      </c>
      <c r="C118" s="146"/>
      <c r="D118" s="147"/>
      <c r="E118" s="147"/>
      <c r="F118" s="147"/>
      <c r="G118" s="184">
        <f t="shared" si="55"/>
        <v>0</v>
      </c>
      <c r="H118" s="185"/>
      <c r="I118" s="147">
        <v>33000</v>
      </c>
      <c r="J118" s="147"/>
      <c r="K118" s="147">
        <v>85000</v>
      </c>
      <c r="L118" s="147"/>
      <c r="M118" s="147"/>
      <c r="N118" s="149">
        <f>SUM(H118:M118)</f>
        <v>118000</v>
      </c>
      <c r="O118" s="185"/>
      <c r="P118" s="147"/>
      <c r="Q118" s="147"/>
      <c r="R118" s="147"/>
      <c r="S118" s="147">
        <f t="shared" si="57"/>
        <v>0</v>
      </c>
      <c r="T118" s="129"/>
      <c r="U118" s="129"/>
      <c r="V118" s="129"/>
      <c r="W118" s="129"/>
      <c r="X118" s="129"/>
      <c r="Y118" s="129"/>
      <c r="Z118" s="129"/>
      <c r="AA118" s="129"/>
    </row>
    <row r="119" spans="1:27" s="163" customFormat="1" hidden="1" x14ac:dyDescent="0.25">
      <c r="A119" s="183">
        <v>61610</v>
      </c>
      <c r="B119" s="146" t="s">
        <v>136</v>
      </c>
      <c r="C119" s="146"/>
      <c r="D119" s="147"/>
      <c r="E119" s="147"/>
      <c r="F119" s="147"/>
      <c r="G119" s="184">
        <f t="shared" si="55"/>
        <v>0</v>
      </c>
      <c r="H119" s="185"/>
      <c r="I119" s="147">
        <v>286487</v>
      </c>
      <c r="J119" s="147"/>
      <c r="K119" s="147"/>
      <c r="L119" s="147"/>
      <c r="M119" s="147"/>
      <c r="N119" s="149">
        <f t="shared" si="56"/>
        <v>286487</v>
      </c>
      <c r="O119" s="185"/>
      <c r="P119" s="147"/>
      <c r="Q119" s="147"/>
      <c r="R119" s="147"/>
      <c r="S119" s="147">
        <f t="shared" si="57"/>
        <v>0</v>
      </c>
      <c r="T119" s="129"/>
      <c r="U119" s="129"/>
      <c r="V119" s="129"/>
      <c r="W119" s="129"/>
      <c r="X119" s="129"/>
      <c r="Y119" s="129"/>
      <c r="Z119" s="129"/>
      <c r="AA119" s="129"/>
    </row>
    <row r="120" spans="1:27" s="163" customFormat="1" hidden="1" x14ac:dyDescent="0.25">
      <c r="A120" s="183">
        <v>61611</v>
      </c>
      <c r="B120" s="146" t="s">
        <v>137</v>
      </c>
      <c r="C120" s="146"/>
      <c r="D120" s="147"/>
      <c r="E120" s="147"/>
      <c r="F120" s="147"/>
      <c r="G120" s="184">
        <f t="shared" si="55"/>
        <v>0</v>
      </c>
      <c r="H120" s="185"/>
      <c r="I120" s="147">
        <v>10000</v>
      </c>
      <c r="J120" s="147"/>
      <c r="K120" s="147"/>
      <c r="L120" s="147"/>
      <c r="M120" s="147"/>
      <c r="N120" s="149">
        <f t="shared" si="56"/>
        <v>10000</v>
      </c>
      <c r="O120" s="185"/>
      <c r="P120" s="147"/>
      <c r="Q120" s="147"/>
      <c r="R120" s="147"/>
      <c r="S120" s="147">
        <f t="shared" si="57"/>
        <v>0</v>
      </c>
      <c r="T120" s="129"/>
      <c r="U120" s="129"/>
      <c r="V120" s="129"/>
      <c r="W120" s="129"/>
      <c r="X120" s="129"/>
      <c r="Y120" s="129"/>
      <c r="Z120" s="129"/>
      <c r="AA120" s="129"/>
    </row>
    <row r="121" spans="1:27" s="163" customFormat="1" hidden="1" x14ac:dyDescent="0.25">
      <c r="A121" s="182">
        <v>71</v>
      </c>
      <c r="B121" s="144" t="s">
        <v>130</v>
      </c>
      <c r="C121" s="144"/>
      <c r="D121" s="141">
        <f>D122</f>
        <v>0</v>
      </c>
      <c r="E121" s="141">
        <f>E122</f>
        <v>0</v>
      </c>
      <c r="F121" s="141">
        <f t="shared" ref="F121:S122" si="58">F122</f>
        <v>0</v>
      </c>
      <c r="G121" s="180">
        <f t="shared" si="58"/>
        <v>0</v>
      </c>
      <c r="H121" s="181">
        <f t="shared" si="58"/>
        <v>0</v>
      </c>
      <c r="I121" s="141">
        <f t="shared" si="58"/>
        <v>0</v>
      </c>
      <c r="J121" s="141">
        <f t="shared" si="58"/>
        <v>0</v>
      </c>
      <c r="K121" s="141">
        <f t="shared" si="58"/>
        <v>0</v>
      </c>
      <c r="L121" s="141">
        <f t="shared" si="58"/>
        <v>0</v>
      </c>
      <c r="M121" s="141">
        <f t="shared" si="58"/>
        <v>365780.4</v>
      </c>
      <c r="N121" s="142">
        <f t="shared" si="58"/>
        <v>365780.4</v>
      </c>
      <c r="O121" s="181">
        <f t="shared" si="58"/>
        <v>0</v>
      </c>
      <c r="P121" s="141">
        <f t="shared" si="58"/>
        <v>0</v>
      </c>
      <c r="Q121" s="141">
        <f t="shared" si="58"/>
        <v>0</v>
      </c>
      <c r="R121" s="141">
        <f t="shared" si="58"/>
        <v>0</v>
      </c>
      <c r="S121" s="141">
        <f>S122</f>
        <v>0</v>
      </c>
      <c r="T121" s="129"/>
      <c r="U121" s="129"/>
      <c r="V121" s="129"/>
      <c r="W121" s="129"/>
      <c r="X121" s="129"/>
      <c r="Y121" s="129"/>
      <c r="Z121" s="129"/>
      <c r="AA121" s="129"/>
    </row>
    <row r="122" spans="1:27" s="163" customFormat="1" hidden="1" x14ac:dyDescent="0.25">
      <c r="A122" s="182">
        <v>713</v>
      </c>
      <c r="B122" s="144" t="s">
        <v>131</v>
      </c>
      <c r="C122" s="144"/>
      <c r="D122" s="141">
        <f>D123</f>
        <v>0</v>
      </c>
      <c r="E122" s="141">
        <f>E123</f>
        <v>0</v>
      </c>
      <c r="F122" s="141">
        <f t="shared" si="58"/>
        <v>0</v>
      </c>
      <c r="G122" s="180">
        <f t="shared" si="58"/>
        <v>0</v>
      </c>
      <c r="H122" s="181">
        <f t="shared" si="58"/>
        <v>0</v>
      </c>
      <c r="I122" s="141">
        <f t="shared" si="58"/>
        <v>0</v>
      </c>
      <c r="J122" s="141">
        <f t="shared" si="58"/>
        <v>0</v>
      </c>
      <c r="K122" s="141">
        <f t="shared" si="58"/>
        <v>0</v>
      </c>
      <c r="L122" s="141">
        <f t="shared" si="58"/>
        <v>0</v>
      </c>
      <c r="M122" s="141">
        <f t="shared" si="58"/>
        <v>365780.4</v>
      </c>
      <c r="N122" s="142">
        <f t="shared" si="58"/>
        <v>365780.4</v>
      </c>
      <c r="O122" s="181">
        <f t="shared" si="58"/>
        <v>0</v>
      </c>
      <c r="P122" s="141">
        <f t="shared" si="58"/>
        <v>0</v>
      </c>
      <c r="Q122" s="141">
        <f t="shared" si="58"/>
        <v>0</v>
      </c>
      <c r="R122" s="141">
        <f t="shared" si="58"/>
        <v>0</v>
      </c>
      <c r="S122" s="141">
        <f t="shared" si="58"/>
        <v>0</v>
      </c>
      <c r="T122" s="129"/>
      <c r="U122" s="129"/>
      <c r="V122" s="129"/>
      <c r="W122" s="129"/>
      <c r="X122" s="129"/>
      <c r="Y122" s="129"/>
      <c r="Z122" s="129"/>
      <c r="AA122" s="129"/>
    </row>
    <row r="123" spans="1:27" s="163" customFormat="1" hidden="1" x14ac:dyDescent="0.25">
      <c r="A123" s="183">
        <v>71304</v>
      </c>
      <c r="B123" s="146" t="s">
        <v>101</v>
      </c>
      <c r="C123" s="146"/>
      <c r="D123" s="147"/>
      <c r="E123" s="147"/>
      <c r="F123" s="147"/>
      <c r="G123" s="184">
        <f t="shared" ref="G123" si="59">C123+D123+E123+F123</f>
        <v>0</v>
      </c>
      <c r="H123" s="185"/>
      <c r="I123" s="147"/>
      <c r="J123" s="147"/>
      <c r="K123" s="147"/>
      <c r="L123" s="147"/>
      <c r="M123" s="192">
        <v>365780.4</v>
      </c>
      <c r="N123" s="149">
        <f t="shared" ref="N123" si="60">SUM(H123:M123)</f>
        <v>365780.4</v>
      </c>
      <c r="O123" s="185"/>
      <c r="P123" s="147"/>
      <c r="Q123" s="147"/>
      <c r="R123" s="147"/>
      <c r="S123" s="147">
        <f t="shared" ref="S123" si="61">SUM(O123:R123)</f>
        <v>0</v>
      </c>
      <c r="T123" s="129"/>
      <c r="U123" s="129"/>
      <c r="V123" s="129"/>
      <c r="W123" s="129"/>
      <c r="X123" s="129"/>
      <c r="Y123" s="129"/>
      <c r="Z123" s="129"/>
      <c r="AA123" s="129"/>
    </row>
    <row r="124" spans="1:27" s="163" customFormat="1" x14ac:dyDescent="0.25">
      <c r="A124" s="182">
        <v>72</v>
      </c>
      <c r="B124" s="144" t="s">
        <v>132</v>
      </c>
      <c r="C124" s="144"/>
      <c r="D124" s="141">
        <f>D125</f>
        <v>0</v>
      </c>
      <c r="E124" s="141">
        <f>E125</f>
        <v>0</v>
      </c>
      <c r="F124" s="141">
        <f t="shared" ref="F124:S125" si="62">F125</f>
        <v>0</v>
      </c>
      <c r="G124" s="180">
        <f t="shared" si="62"/>
        <v>0</v>
      </c>
      <c r="H124" s="181">
        <f t="shared" si="62"/>
        <v>0</v>
      </c>
      <c r="I124" s="141">
        <f t="shared" si="62"/>
        <v>0</v>
      </c>
      <c r="J124" s="141">
        <f t="shared" si="62"/>
        <v>0</v>
      </c>
      <c r="K124" s="141">
        <f t="shared" si="62"/>
        <v>0</v>
      </c>
      <c r="L124" s="141">
        <f t="shared" si="62"/>
        <v>0</v>
      </c>
      <c r="M124" s="141">
        <f t="shared" si="62"/>
        <v>0</v>
      </c>
      <c r="N124" s="142">
        <f t="shared" si="62"/>
        <v>0</v>
      </c>
      <c r="O124" s="181">
        <f t="shared" si="62"/>
        <v>0</v>
      </c>
      <c r="P124" s="141">
        <f t="shared" si="62"/>
        <v>0</v>
      </c>
      <c r="Q124" s="141">
        <f t="shared" si="62"/>
        <v>0</v>
      </c>
      <c r="R124" s="141">
        <f t="shared" si="62"/>
        <v>0</v>
      </c>
      <c r="S124" s="141">
        <f>S125</f>
        <v>0</v>
      </c>
      <c r="T124" s="129"/>
      <c r="U124" s="129"/>
      <c r="V124" s="129"/>
      <c r="W124" s="129"/>
      <c r="X124" s="129"/>
      <c r="Y124" s="129"/>
      <c r="Z124" s="129"/>
      <c r="AA124" s="129"/>
    </row>
    <row r="125" spans="1:27" s="163" customFormat="1" x14ac:dyDescent="0.25">
      <c r="A125" s="182">
        <v>721</v>
      </c>
      <c r="B125" s="144" t="s">
        <v>133</v>
      </c>
      <c r="C125" s="144"/>
      <c r="D125" s="141">
        <f>D126</f>
        <v>0</v>
      </c>
      <c r="E125" s="141">
        <f>E126</f>
        <v>0</v>
      </c>
      <c r="F125" s="141">
        <f t="shared" si="62"/>
        <v>0</v>
      </c>
      <c r="G125" s="180">
        <f t="shared" si="62"/>
        <v>0</v>
      </c>
      <c r="H125" s="181">
        <f t="shared" si="62"/>
        <v>0</v>
      </c>
      <c r="I125" s="141">
        <f t="shared" si="62"/>
        <v>0</v>
      </c>
      <c r="J125" s="141">
        <f t="shared" si="62"/>
        <v>0</v>
      </c>
      <c r="K125" s="141">
        <f t="shared" si="62"/>
        <v>0</v>
      </c>
      <c r="L125" s="141">
        <f t="shared" si="62"/>
        <v>0</v>
      </c>
      <c r="M125" s="141">
        <f t="shared" si="62"/>
        <v>0</v>
      </c>
      <c r="N125" s="142">
        <f t="shared" si="62"/>
        <v>0</v>
      </c>
      <c r="O125" s="181">
        <f t="shared" si="62"/>
        <v>0</v>
      </c>
      <c r="P125" s="141">
        <f t="shared" si="62"/>
        <v>0</v>
      </c>
      <c r="Q125" s="141">
        <f t="shared" si="62"/>
        <v>0</v>
      </c>
      <c r="R125" s="141">
        <f t="shared" si="62"/>
        <v>0</v>
      </c>
      <c r="S125" s="141">
        <f t="shared" si="62"/>
        <v>0</v>
      </c>
      <c r="T125" s="129"/>
      <c r="U125" s="129"/>
      <c r="V125" s="129"/>
      <c r="W125" s="129"/>
      <c r="X125" s="129"/>
      <c r="Y125" s="129"/>
      <c r="Z125" s="129"/>
      <c r="AA125" s="129"/>
    </row>
    <row r="126" spans="1:27" s="163" customFormat="1" x14ac:dyDescent="0.25">
      <c r="A126" s="183">
        <v>72101</v>
      </c>
      <c r="B126" s="146" t="s">
        <v>133</v>
      </c>
      <c r="C126" s="146"/>
      <c r="D126" s="147"/>
      <c r="E126" s="147"/>
      <c r="F126" s="147"/>
      <c r="G126" s="184">
        <f t="shared" ref="G126" si="63">C126+D126+E126+F126</f>
        <v>0</v>
      </c>
      <c r="H126" s="185"/>
      <c r="I126" s="147"/>
      <c r="J126" s="147"/>
      <c r="K126" s="147"/>
      <c r="L126" s="147"/>
      <c r="M126" s="147"/>
      <c r="N126" s="149">
        <f t="shared" ref="N126" si="64">SUM(H126:M126)</f>
        <v>0</v>
      </c>
      <c r="O126" s="185"/>
      <c r="P126" s="147"/>
      <c r="Q126" s="147"/>
      <c r="R126" s="147"/>
      <c r="S126" s="147">
        <f t="shared" ref="S126" si="65">SUM(O126:R126)</f>
        <v>0</v>
      </c>
      <c r="T126" s="129"/>
      <c r="U126" s="129"/>
      <c r="V126" s="129"/>
      <c r="W126" s="129"/>
      <c r="X126" s="129"/>
      <c r="Y126" s="129"/>
      <c r="Z126" s="129"/>
      <c r="AA126" s="129"/>
    </row>
    <row r="127" spans="1:27" s="163" customFormat="1" x14ac:dyDescent="0.25">
      <c r="A127" s="182" t="s">
        <v>29</v>
      </c>
      <c r="B127" s="144" t="s">
        <v>81</v>
      </c>
      <c r="C127" s="141">
        <f>C10+C36+C86+C96+C104+C121+C124</f>
        <v>244505.59</v>
      </c>
      <c r="D127" s="141">
        <f t="shared" ref="D127:M127" si="66">D10+D36+D86+D96+D104+D121+D124</f>
        <v>110071</v>
      </c>
      <c r="E127" s="141">
        <f t="shared" si="66"/>
        <v>39543</v>
      </c>
      <c r="F127" s="141">
        <f t="shared" si="66"/>
        <v>114595.69</v>
      </c>
      <c r="G127" s="141">
        <f>G10+G36+G86+G96+G104+G121+G124</f>
        <v>508715.27999999997</v>
      </c>
      <c r="H127" s="141">
        <f t="shared" si="66"/>
        <v>32000</v>
      </c>
      <c r="I127" s="141">
        <f t="shared" si="66"/>
        <v>1043365.44</v>
      </c>
      <c r="J127" s="141">
        <f t="shared" si="66"/>
        <v>0</v>
      </c>
      <c r="K127" s="141">
        <f t="shared" si="66"/>
        <v>85000</v>
      </c>
      <c r="L127" s="141">
        <f t="shared" si="66"/>
        <v>0</v>
      </c>
      <c r="M127" s="141">
        <f t="shared" si="66"/>
        <v>365780.4</v>
      </c>
      <c r="N127" s="141">
        <f>N10+N36+N86+N96+N104+N121+N124</f>
        <v>1526145.8399999999</v>
      </c>
      <c r="O127" s="141">
        <f>O10+O36+O86+O96+O104+O121+O124</f>
        <v>330078.23</v>
      </c>
      <c r="P127" s="141">
        <f t="shared" ref="P127" si="67">P10+P36+P86+P96+P104+P121+P124</f>
        <v>40137.4</v>
      </c>
      <c r="Q127" s="141">
        <f>Q10+Q36+Q86+Q96+Q104+Q121+Q124</f>
        <v>12616.2</v>
      </c>
      <c r="R127" s="141">
        <f>R10+R36+R86+R96+R104+R121+R124</f>
        <v>40174.29</v>
      </c>
      <c r="S127" s="141">
        <f>S10+S36+S86+S96+S104+S121+S124</f>
        <v>425406.12000000005</v>
      </c>
      <c r="T127" s="129"/>
      <c r="U127" s="129"/>
      <c r="V127" s="129"/>
      <c r="W127" s="129"/>
      <c r="X127" s="129"/>
      <c r="Y127" s="129"/>
      <c r="Z127" s="129"/>
      <c r="AA127" s="129"/>
    </row>
    <row r="128" spans="1:27" s="163" customFormat="1" x14ac:dyDescent="0.25">
      <c r="A128" s="182" t="s">
        <v>29</v>
      </c>
      <c r="B128" s="144" t="s">
        <v>82</v>
      </c>
      <c r="C128" s="141">
        <f>C127</f>
        <v>244505.59</v>
      </c>
      <c r="D128" s="141">
        <f t="shared" ref="D128:S129" si="68">D127</f>
        <v>110071</v>
      </c>
      <c r="E128" s="141">
        <f t="shared" si="68"/>
        <v>39543</v>
      </c>
      <c r="F128" s="141">
        <f t="shared" si="68"/>
        <v>114595.69</v>
      </c>
      <c r="G128" s="180">
        <f t="shared" si="68"/>
        <v>508715.27999999997</v>
      </c>
      <c r="H128" s="181">
        <f t="shared" si="68"/>
        <v>32000</v>
      </c>
      <c r="I128" s="141">
        <f t="shared" si="68"/>
        <v>1043365.44</v>
      </c>
      <c r="J128" s="141">
        <f t="shared" si="68"/>
        <v>0</v>
      </c>
      <c r="K128" s="141">
        <f t="shared" si="68"/>
        <v>85000</v>
      </c>
      <c r="L128" s="141">
        <f t="shared" si="68"/>
        <v>0</v>
      </c>
      <c r="M128" s="141">
        <f t="shared" si="68"/>
        <v>365780.4</v>
      </c>
      <c r="N128" s="142">
        <f t="shared" si="68"/>
        <v>1526145.8399999999</v>
      </c>
      <c r="O128" s="181">
        <f>O127</f>
        <v>330078.23</v>
      </c>
      <c r="P128" s="141">
        <f t="shared" si="68"/>
        <v>40137.4</v>
      </c>
      <c r="Q128" s="141">
        <f t="shared" si="68"/>
        <v>12616.2</v>
      </c>
      <c r="R128" s="141">
        <f t="shared" si="68"/>
        <v>40174.29</v>
      </c>
      <c r="S128" s="141">
        <f t="shared" si="68"/>
        <v>425406.12000000005</v>
      </c>
      <c r="T128" s="129"/>
      <c r="U128" s="129"/>
      <c r="V128" s="129"/>
      <c r="W128" s="129"/>
      <c r="X128" s="129"/>
      <c r="Y128" s="129"/>
      <c r="Z128" s="129"/>
      <c r="AA128" s="129"/>
    </row>
    <row r="129" spans="1:19" ht="15.75" thickBot="1" x14ac:dyDescent="0.3">
      <c r="A129" s="193" t="s">
        <v>83</v>
      </c>
      <c r="B129" s="194"/>
      <c r="C129" s="141">
        <f>C128</f>
        <v>244505.59</v>
      </c>
      <c r="D129" s="141">
        <f t="shared" si="68"/>
        <v>110071</v>
      </c>
      <c r="E129" s="141">
        <f t="shared" si="68"/>
        <v>39543</v>
      </c>
      <c r="F129" s="141">
        <f t="shared" si="68"/>
        <v>114595.69</v>
      </c>
      <c r="G129" s="180">
        <f>G128</f>
        <v>508715.27999999997</v>
      </c>
      <c r="H129" s="195">
        <f t="shared" si="68"/>
        <v>32000</v>
      </c>
      <c r="I129" s="157">
        <f t="shared" si="68"/>
        <v>1043365.44</v>
      </c>
      <c r="J129" s="157">
        <f t="shared" si="68"/>
        <v>0</v>
      </c>
      <c r="K129" s="157">
        <f t="shared" si="68"/>
        <v>85000</v>
      </c>
      <c r="L129" s="157">
        <f t="shared" si="68"/>
        <v>0</v>
      </c>
      <c r="M129" s="157">
        <f t="shared" si="68"/>
        <v>365780.4</v>
      </c>
      <c r="N129" s="158">
        <f t="shared" si="68"/>
        <v>1526145.8399999999</v>
      </c>
      <c r="O129" s="195">
        <f t="shared" si="68"/>
        <v>330078.23</v>
      </c>
      <c r="P129" s="157">
        <f t="shared" si="68"/>
        <v>40137.4</v>
      </c>
      <c r="Q129" s="157">
        <f t="shared" si="68"/>
        <v>12616.2</v>
      </c>
      <c r="R129" s="157">
        <f t="shared" si="68"/>
        <v>40174.29</v>
      </c>
      <c r="S129" s="157">
        <f t="shared" si="68"/>
        <v>425406.12000000005</v>
      </c>
    </row>
  </sheetData>
  <mergeCells count="11">
    <mergeCell ref="C7:G7"/>
    <mergeCell ref="O7:S7"/>
    <mergeCell ref="C8:G8"/>
    <mergeCell ref="O8:S8"/>
    <mergeCell ref="A1:S1"/>
    <mergeCell ref="A2:S2"/>
    <mergeCell ref="A3:S3"/>
    <mergeCell ref="O5:S5"/>
    <mergeCell ref="C6:G6"/>
    <mergeCell ref="H6:N6"/>
    <mergeCell ref="O6:S6"/>
  </mergeCells>
  <pageMargins left="0.51181102362204722" right="0.51181102362204722" top="0.55118110236220474" bottom="0.55118110236220474" header="0.31496062992125984" footer="0.31496062992125984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</vt:lpstr>
      <vt:lpstr>FODES25%</vt:lpstr>
      <vt:lpstr>FODES 75% (2)</vt:lpstr>
      <vt:lpstr>Fondos Propios (2)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Usuario</cp:lastModifiedBy>
  <cp:lastPrinted>2015-12-22T05:41:14Z</cp:lastPrinted>
  <dcterms:created xsi:type="dcterms:W3CDTF">2015-12-20T00:33:18Z</dcterms:created>
  <dcterms:modified xsi:type="dcterms:W3CDTF">2019-02-26T16:54:22Z</dcterms:modified>
</cp:coreProperties>
</file>