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Informacion Oficiosa\4. Presupuesto\2018\"/>
    </mc:Choice>
  </mc:AlternateContent>
  <bookViews>
    <workbookView xWindow="0" yWindow="0" windowWidth="25125" windowHeight="12135" tabRatio="953" firstSheet="1" activeTab="4"/>
  </bookViews>
  <sheets>
    <sheet name="Proyecc. Ingresos" sheetId="7" state="hidden" r:id="rId1"/>
    <sheet name="Ingresos" sheetId="8" r:id="rId2"/>
    <sheet name="FODES25%" sheetId="3" r:id="rId3"/>
    <sheet name="FODES 75%" sheetId="5" r:id="rId4"/>
    <sheet name="Fondos Propios" sheetId="9" r:id="rId5"/>
    <sheet name="Sueldo Jornal (2)" sheetId="19" state="hidden" r:id="rId6"/>
    <sheet name="consolidado" sheetId="1" state="hidden" r:id="rId7"/>
    <sheet name="Inversion" sheetId="4" state="hidden" r:id="rId8"/>
    <sheet name="proy fijos" sheetId="13" state="hidden" r:id="rId9"/>
    <sheet name="Inversion (2)" sheetId="15" state="hidden" r:id="rId10"/>
    <sheet name="Hoja2" sheetId="14" state="hidden" r:id="rId11"/>
  </sheets>
  <externalReferences>
    <externalReference r:id="rId12"/>
  </externalReferences>
  <definedNames>
    <definedName name="_xlnm._FilterDatabase" localSheetId="7" hidden="1">Inversion!$A$1:$F$44</definedName>
    <definedName name="_xlnm.Print_Titles" localSheetId="1">Ingresos!$1:$8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9" l="1"/>
  <c r="S15" i="9"/>
  <c r="S16" i="9"/>
  <c r="C59" i="3"/>
  <c r="C14" i="3"/>
  <c r="C94" i="3"/>
  <c r="C93" i="3" s="1"/>
  <c r="AJ96" i="3" l="1"/>
  <c r="O97" i="9" l="1"/>
  <c r="O96" i="9" s="1"/>
  <c r="O33" i="9"/>
  <c r="O30" i="9"/>
  <c r="O27" i="9"/>
  <c r="AJ97" i="3"/>
  <c r="AJ98" i="3" s="1"/>
  <c r="G37" i="3"/>
  <c r="G38" i="3"/>
  <c r="G42" i="3"/>
  <c r="G43" i="3"/>
  <c r="G95" i="3"/>
  <c r="C60" i="3"/>
  <c r="C34" i="3"/>
  <c r="C11" i="3"/>
  <c r="D54" i="8" l="1"/>
  <c r="D53" i="8" s="1"/>
  <c r="D61" i="8" s="1"/>
  <c r="F35" i="8"/>
  <c r="F34" i="8" s="1"/>
  <c r="F13" i="3" l="1"/>
  <c r="G13" i="3" s="1"/>
  <c r="F12" i="3"/>
  <c r="G32" i="3"/>
  <c r="G31" i="3" s="1"/>
  <c r="G16" i="3"/>
  <c r="G14" i="3"/>
  <c r="D12" i="3"/>
  <c r="G12" i="3" s="1"/>
  <c r="O80" i="9"/>
  <c r="R11" i="9"/>
  <c r="Q11" i="9"/>
  <c r="P11" i="9"/>
  <c r="O11" i="9"/>
  <c r="O10" i="9" s="1"/>
  <c r="C55" i="3"/>
  <c r="C54" i="3" s="1"/>
  <c r="C33" i="3" s="1"/>
  <c r="O18" i="9" l="1"/>
  <c r="O17" i="9" s="1"/>
  <c r="C139" i="19"/>
  <c r="H139" i="19"/>
  <c r="H138" i="19"/>
  <c r="H137" i="19"/>
  <c r="C137" i="19"/>
  <c r="H136" i="19"/>
  <c r="C136" i="19"/>
  <c r="G138" i="19"/>
  <c r="G137" i="19"/>
  <c r="C138" i="19"/>
  <c r="G136" i="19"/>
  <c r="G140" i="19" s="1"/>
  <c r="G11" i="3"/>
  <c r="S13" i="9" l="1"/>
  <c r="S12" i="9"/>
  <c r="S11" i="9"/>
  <c r="R97" i="9"/>
  <c r="Q97" i="9"/>
  <c r="P97" i="9"/>
  <c r="R25" i="9"/>
  <c r="Q25" i="9"/>
  <c r="P25" i="9"/>
  <c r="O25" i="9"/>
  <c r="R22" i="9"/>
  <c r="T120" i="19"/>
  <c r="Q22" i="9"/>
  <c r="P22" i="9"/>
  <c r="O22" i="9"/>
  <c r="S22" i="9" l="1"/>
  <c r="O21" i="9"/>
  <c r="S25" i="9"/>
  <c r="O24" i="9"/>
  <c r="S97" i="9"/>
  <c r="S96" i="9" s="1"/>
  <c r="F3" i="19"/>
  <c r="I3" i="19" s="1"/>
  <c r="H3" i="19"/>
  <c r="J3" i="19"/>
  <c r="F4" i="19"/>
  <c r="I4" i="19" s="1"/>
  <c r="G4" i="19"/>
  <c r="H4" i="19"/>
  <c r="J4" i="19"/>
  <c r="M4" i="19" s="1"/>
  <c r="N4" i="19" s="1"/>
  <c r="L4" i="19"/>
  <c r="F5" i="19"/>
  <c r="H5" i="19"/>
  <c r="D6" i="19"/>
  <c r="E6" i="19"/>
  <c r="K6" i="19"/>
  <c r="F7" i="19"/>
  <c r="J7" i="19" s="1"/>
  <c r="H7" i="19"/>
  <c r="F8" i="19"/>
  <c r="G8" i="19" s="1"/>
  <c r="H8" i="19"/>
  <c r="I8" i="19"/>
  <c r="J8" i="19"/>
  <c r="F9" i="19"/>
  <c r="I9" i="19" s="1"/>
  <c r="F10" i="19"/>
  <c r="I10" i="19" s="1"/>
  <c r="H10" i="19"/>
  <c r="L10" i="19"/>
  <c r="F11" i="19"/>
  <c r="I11" i="19" s="1"/>
  <c r="H11" i="19"/>
  <c r="F12" i="19"/>
  <c r="J12" i="19" s="1"/>
  <c r="H12" i="19"/>
  <c r="F13" i="19"/>
  <c r="G13" i="19" s="1"/>
  <c r="H13" i="19"/>
  <c r="I13" i="19"/>
  <c r="J13" i="19"/>
  <c r="L13" i="19"/>
  <c r="F14" i="19"/>
  <c r="I14" i="19" s="1"/>
  <c r="F15" i="19"/>
  <c r="L15" i="19" s="1"/>
  <c r="F16" i="19"/>
  <c r="I16" i="19" s="1"/>
  <c r="F17" i="19"/>
  <c r="G17" i="19" s="1"/>
  <c r="F18" i="19"/>
  <c r="I18" i="19" s="1"/>
  <c r="F19" i="19"/>
  <c r="L19" i="19" s="1"/>
  <c r="F20" i="19"/>
  <c r="I20" i="19" s="1"/>
  <c r="F21" i="19"/>
  <c r="I21" i="19" s="1"/>
  <c r="H21" i="19"/>
  <c r="L21" i="19"/>
  <c r="F22" i="19"/>
  <c r="I22" i="19" s="1"/>
  <c r="H22" i="19"/>
  <c r="D23" i="19"/>
  <c r="E23" i="19"/>
  <c r="F24" i="19"/>
  <c r="G24" i="19" s="1"/>
  <c r="F25" i="19"/>
  <c r="F26" i="19"/>
  <c r="H26" i="19" s="1"/>
  <c r="I26" i="19"/>
  <c r="L26" i="19"/>
  <c r="F27" i="19"/>
  <c r="I27" i="19" s="1"/>
  <c r="G27" i="19"/>
  <c r="J27" i="19"/>
  <c r="L27" i="19"/>
  <c r="F28" i="19"/>
  <c r="G28" i="19" s="1"/>
  <c r="D29" i="19"/>
  <c r="E29" i="19"/>
  <c r="K29" i="19"/>
  <c r="F30" i="19"/>
  <c r="I30" i="19" s="1"/>
  <c r="F31" i="19"/>
  <c r="G31" i="19" s="1"/>
  <c r="F32" i="19"/>
  <c r="I32" i="19" s="1"/>
  <c r="L32" i="19"/>
  <c r="F33" i="19"/>
  <c r="G33" i="19" s="1"/>
  <c r="F34" i="19"/>
  <c r="F35" i="19"/>
  <c r="G35" i="19" s="1"/>
  <c r="F36" i="19"/>
  <c r="I36" i="19" s="1"/>
  <c r="F37" i="19"/>
  <c r="G37" i="19" s="1"/>
  <c r="F38" i="19"/>
  <c r="I38" i="19" s="1"/>
  <c r="F39" i="19"/>
  <c r="G39" i="19" s="1"/>
  <c r="F40" i="19"/>
  <c r="I40" i="19" s="1"/>
  <c r="F41" i="19"/>
  <c r="G41" i="19" s="1"/>
  <c r="F42" i="19"/>
  <c r="F43" i="19"/>
  <c r="G43" i="19" s="1"/>
  <c r="J43" i="19"/>
  <c r="F44" i="19"/>
  <c r="I44" i="19" s="1"/>
  <c r="F45" i="19"/>
  <c r="G45" i="19" s="1"/>
  <c r="F46" i="19"/>
  <c r="I46" i="19" s="1"/>
  <c r="F47" i="19"/>
  <c r="G47" i="19" s="1"/>
  <c r="F48" i="19"/>
  <c r="I48" i="19" s="1"/>
  <c r="L48" i="19"/>
  <c r="F49" i="19"/>
  <c r="L49" i="19" s="1"/>
  <c r="F50" i="19"/>
  <c r="H50" i="19" s="1"/>
  <c r="F51" i="19"/>
  <c r="G51" i="19" s="1"/>
  <c r="F52" i="19"/>
  <c r="G52" i="19" s="1"/>
  <c r="D53" i="19"/>
  <c r="E53" i="19"/>
  <c r="E54" i="19" s="1"/>
  <c r="F61" i="19"/>
  <c r="G61" i="19" s="1"/>
  <c r="F62" i="19"/>
  <c r="G62" i="19" s="1"/>
  <c r="H62" i="19"/>
  <c r="F63" i="19"/>
  <c r="G63" i="19" s="1"/>
  <c r="F64" i="19"/>
  <c r="J64" i="19" s="1"/>
  <c r="F65" i="19"/>
  <c r="J65" i="19" s="1"/>
  <c r="F66" i="19"/>
  <c r="H66" i="19" s="1"/>
  <c r="F67" i="19"/>
  <c r="I67" i="19" s="1"/>
  <c r="F68" i="19"/>
  <c r="G68" i="19" s="1"/>
  <c r="L68" i="19"/>
  <c r="F69" i="19"/>
  <c r="G69" i="19" s="1"/>
  <c r="F70" i="19"/>
  <c r="L70" i="19" s="1"/>
  <c r="F71" i="19"/>
  <c r="G71" i="19" s="1"/>
  <c r="F72" i="19"/>
  <c r="G72" i="19" s="1"/>
  <c r="F73" i="19"/>
  <c r="H73" i="19" s="1"/>
  <c r="F74" i="19"/>
  <c r="H74" i="19" s="1"/>
  <c r="D75" i="19"/>
  <c r="K75" i="19"/>
  <c r="M75" i="19"/>
  <c r="N75" i="19"/>
  <c r="O75" i="19"/>
  <c r="F78" i="19"/>
  <c r="F79" i="19"/>
  <c r="J79" i="19" s="1"/>
  <c r="L79" i="19"/>
  <c r="F80" i="19"/>
  <c r="G80" i="19" s="1"/>
  <c r="F81" i="19"/>
  <c r="F82" i="19"/>
  <c r="J82" i="19" s="1"/>
  <c r="L82" i="19"/>
  <c r="F83" i="19"/>
  <c r="I83" i="19" s="1"/>
  <c r="J83" i="19"/>
  <c r="F84" i="19"/>
  <c r="I84" i="19" s="1"/>
  <c r="L84" i="19"/>
  <c r="F85" i="19"/>
  <c r="H85" i="19" s="1"/>
  <c r="F86" i="19"/>
  <c r="I86" i="19" s="1"/>
  <c r="F87" i="19"/>
  <c r="H87" i="19" s="1"/>
  <c r="F88" i="19"/>
  <c r="G88" i="19" s="1"/>
  <c r="F89" i="19"/>
  <c r="J89" i="19" s="1"/>
  <c r="F90" i="19"/>
  <c r="F91" i="19"/>
  <c r="G91" i="19" s="1"/>
  <c r="H91" i="19"/>
  <c r="F92" i="19"/>
  <c r="G92" i="19" s="1"/>
  <c r="F93" i="19"/>
  <c r="D94" i="19"/>
  <c r="D120" i="19" s="1"/>
  <c r="K94" i="19"/>
  <c r="M94" i="19"/>
  <c r="N94" i="19"/>
  <c r="F99" i="19"/>
  <c r="H99" i="19" s="1"/>
  <c r="H100" i="19" s="1"/>
  <c r="D100" i="19"/>
  <c r="E100" i="19"/>
  <c r="E120" i="19" s="1"/>
  <c r="K100" i="19"/>
  <c r="M100" i="19"/>
  <c r="N100" i="19"/>
  <c r="F104" i="19"/>
  <c r="I104" i="19" s="1"/>
  <c r="J104" i="19"/>
  <c r="F105" i="19"/>
  <c r="G105" i="19" s="1"/>
  <c r="K106" i="19"/>
  <c r="M106" i="19"/>
  <c r="N106" i="19"/>
  <c r="O106" i="19"/>
  <c r="P106" i="19"/>
  <c r="F108" i="19"/>
  <c r="I108" i="19" s="1"/>
  <c r="F109" i="19"/>
  <c r="H109" i="19" s="1"/>
  <c r="L109" i="19"/>
  <c r="D110" i="19"/>
  <c r="K110" i="19"/>
  <c r="P110" i="19"/>
  <c r="Q110" i="19"/>
  <c r="R110" i="19"/>
  <c r="S110" i="19"/>
  <c r="F115" i="19"/>
  <c r="H115" i="19" s="1"/>
  <c r="H118" i="19" s="1"/>
  <c r="G115" i="19"/>
  <c r="F116" i="19"/>
  <c r="G116" i="19" s="1"/>
  <c r="F117" i="19"/>
  <c r="J117" i="19" s="1"/>
  <c r="G117" i="19"/>
  <c r="D118" i="19"/>
  <c r="E118" i="19"/>
  <c r="K118" i="19"/>
  <c r="M118" i="19"/>
  <c r="N118" i="19"/>
  <c r="O118" i="19"/>
  <c r="P118" i="19"/>
  <c r="P120" i="19" s="1"/>
  <c r="Q118" i="19"/>
  <c r="R118" i="19"/>
  <c r="R120" i="19" s="1"/>
  <c r="S118" i="19"/>
  <c r="G161" i="19"/>
  <c r="C161" i="19" s="1"/>
  <c r="G162" i="19"/>
  <c r="C162" i="19" s="1"/>
  <c r="G163" i="19"/>
  <c r="C163" i="19" s="1"/>
  <c r="G164" i="19"/>
  <c r="C164" i="19" s="1"/>
  <c r="G165" i="19"/>
  <c r="G166" i="19"/>
  <c r="C166" i="19" s="1"/>
  <c r="C167" i="19"/>
  <c r="C168" i="19"/>
  <c r="C169" i="19"/>
  <c r="K184" i="19"/>
  <c r="J185" i="19"/>
  <c r="K185" i="19" s="1"/>
  <c r="K186" i="19"/>
  <c r="K187" i="19"/>
  <c r="N187" i="19"/>
  <c r="O187" i="19" s="1"/>
  <c r="K188" i="19"/>
  <c r="O188" i="19"/>
  <c r="K189" i="19"/>
  <c r="O189" i="19"/>
  <c r="K190" i="19"/>
  <c r="O190" i="19"/>
  <c r="E191" i="19"/>
  <c r="G191" i="19" s="1"/>
  <c r="O191" i="19"/>
  <c r="N192" i="19"/>
  <c r="O192" i="19" s="1"/>
  <c r="O193" i="19"/>
  <c r="O194" i="19"/>
  <c r="J196" i="19"/>
  <c r="D207" i="19"/>
  <c r="D208" i="19"/>
  <c r="D209" i="19"/>
  <c r="D210" i="19"/>
  <c r="D212" i="19"/>
  <c r="D213" i="19"/>
  <c r="C214" i="19"/>
  <c r="D214" i="19" l="1"/>
  <c r="L117" i="19"/>
  <c r="G109" i="19"/>
  <c r="G84" i="19"/>
  <c r="H83" i="19"/>
  <c r="H69" i="19"/>
  <c r="J51" i="19"/>
  <c r="J41" i="19"/>
  <c r="J36" i="19"/>
  <c r="J31" i="19"/>
  <c r="G26" i="19"/>
  <c r="G73" i="19"/>
  <c r="H71" i="19"/>
  <c r="H51" i="19"/>
  <c r="M27" i="19"/>
  <c r="N27" i="19" s="1"/>
  <c r="H6" i="19"/>
  <c r="J109" i="19"/>
  <c r="H104" i="19"/>
  <c r="J84" i="19"/>
  <c r="J40" i="19"/>
  <c r="J37" i="19"/>
  <c r="H32" i="19"/>
  <c r="H27" i="19"/>
  <c r="J26" i="19"/>
  <c r="J17" i="19"/>
  <c r="L14" i="19"/>
  <c r="J9" i="19"/>
  <c r="O9" i="9"/>
  <c r="C170" i="19"/>
  <c r="I109" i="19"/>
  <c r="I110" i="19" s="1"/>
  <c r="H92" i="19"/>
  <c r="H84" i="19"/>
  <c r="G74" i="19"/>
  <c r="H72" i="19"/>
  <c r="J61" i="19"/>
  <c r="J47" i="19"/>
  <c r="H44" i="19"/>
  <c r="H14" i="19"/>
  <c r="L116" i="19"/>
  <c r="L118" i="19" s="1"/>
  <c r="L67" i="19"/>
  <c r="Q120" i="19"/>
  <c r="I117" i="19"/>
  <c r="J116" i="19"/>
  <c r="J118" i="19" s="1"/>
  <c r="L104" i="19"/>
  <c r="G104" i="19"/>
  <c r="G106" i="19" s="1"/>
  <c r="L86" i="19"/>
  <c r="I85" i="19"/>
  <c r="J67" i="19"/>
  <c r="J66" i="19"/>
  <c r="L63" i="19"/>
  <c r="H48" i="19"/>
  <c r="I47" i="19"/>
  <c r="L44" i="19"/>
  <c r="H43" i="19"/>
  <c r="I31" i="19"/>
  <c r="G21" i="19"/>
  <c r="L3" i="19"/>
  <c r="M3" i="19" s="1"/>
  <c r="N3" i="19" s="1"/>
  <c r="O3" i="19" s="1"/>
  <c r="G3" i="19"/>
  <c r="I116" i="19"/>
  <c r="I118" i="19" s="1"/>
  <c r="F110" i="19"/>
  <c r="J108" i="19"/>
  <c r="J110" i="19" s="1"/>
  <c r="J105" i="19"/>
  <c r="J106" i="19"/>
  <c r="I99" i="19"/>
  <c r="I100" i="19" s="1"/>
  <c r="H86" i="19"/>
  <c r="H67" i="19"/>
  <c r="I66" i="19"/>
  <c r="H47" i="19"/>
  <c r="M26" i="19"/>
  <c r="N26" i="19" s="1"/>
  <c r="D54" i="19"/>
  <c r="M13" i="19"/>
  <c r="N13" i="19" s="1"/>
  <c r="F94" i="19"/>
  <c r="S120" i="19"/>
  <c r="K120" i="19"/>
  <c r="F118" i="19"/>
  <c r="F100" i="19"/>
  <c r="G86" i="19"/>
  <c r="I80" i="19"/>
  <c r="L69" i="19"/>
  <c r="G67" i="19"/>
  <c r="J62" i="19"/>
  <c r="L47" i="19"/>
  <c r="J45" i="19"/>
  <c r="J22" i="19"/>
  <c r="J21" i="19"/>
  <c r="M21" i="19" s="1"/>
  <c r="N21" i="19" s="1"/>
  <c r="O21" i="19" s="1"/>
  <c r="J14" i="19"/>
  <c r="L9" i="19"/>
  <c r="M9" i="19" s="1"/>
  <c r="N9" i="19" s="1"/>
  <c r="H80" i="19"/>
  <c r="H68" i="19"/>
  <c r="L62" i="19"/>
  <c r="I62" i="19"/>
  <c r="L61" i="19"/>
  <c r="J52" i="19"/>
  <c r="L51" i="19"/>
  <c r="I51" i="19"/>
  <c r="M51" i="19" s="1"/>
  <c r="N51" i="19" s="1"/>
  <c r="O51" i="19" s="1"/>
  <c r="I50" i="19"/>
  <c r="G49" i="19"/>
  <c r="J44" i="19"/>
  <c r="G44" i="19"/>
  <c r="L43" i="19"/>
  <c r="I43" i="19"/>
  <c r="M43" i="19" s="1"/>
  <c r="N43" i="19" s="1"/>
  <c r="O43" i="19" s="1"/>
  <c r="L40" i="19"/>
  <c r="H40" i="19"/>
  <c r="J39" i="19"/>
  <c r="L36" i="19"/>
  <c r="M36" i="19" s="1"/>
  <c r="N36" i="19" s="1"/>
  <c r="O36" i="19" s="1"/>
  <c r="H36" i="19"/>
  <c r="J32" i="19"/>
  <c r="G32" i="19"/>
  <c r="L22" i="19"/>
  <c r="M22" i="19" s="1"/>
  <c r="N22" i="19" s="1"/>
  <c r="I17" i="19"/>
  <c r="J16" i="19"/>
  <c r="M14" i="19"/>
  <c r="N14" i="19" s="1"/>
  <c r="K10" i="19"/>
  <c r="K23" i="19" s="1"/>
  <c r="G10" i="19"/>
  <c r="I52" i="19"/>
  <c r="G48" i="19"/>
  <c r="G40" i="19"/>
  <c r="I39" i="19"/>
  <c r="G36" i="19"/>
  <c r="I35" i="19"/>
  <c r="H31" i="19"/>
  <c r="G22" i="19"/>
  <c r="J18" i="19"/>
  <c r="H17" i="19"/>
  <c r="G14" i="19"/>
  <c r="L11" i="19"/>
  <c r="H9" i="19"/>
  <c r="L8" i="19"/>
  <c r="M8" i="19" s="1"/>
  <c r="N8" i="19" s="1"/>
  <c r="O8" i="19" s="1"/>
  <c r="H52" i="19"/>
  <c r="M47" i="19"/>
  <c r="N47" i="19" s="1"/>
  <c r="O47" i="19" s="1"/>
  <c r="H39" i="19"/>
  <c r="H35" i="19"/>
  <c r="K33" i="19"/>
  <c r="K53" i="19" s="1"/>
  <c r="L31" i="19"/>
  <c r="J20" i="19"/>
  <c r="H18" i="19"/>
  <c r="L17" i="19"/>
  <c r="G9" i="19"/>
  <c r="J35" i="19"/>
  <c r="L18" i="19"/>
  <c r="L52" i="19"/>
  <c r="J48" i="19"/>
  <c r="L39" i="19"/>
  <c r="L35" i="19"/>
  <c r="G18" i="19"/>
  <c r="G11" i="19"/>
  <c r="O198" i="19"/>
  <c r="N203" i="19" s="1"/>
  <c r="K193" i="19"/>
  <c r="L193" i="19" s="1"/>
  <c r="H90" i="19"/>
  <c r="G90" i="19"/>
  <c r="G81" i="19"/>
  <c r="L81" i="19"/>
  <c r="H81" i="19"/>
  <c r="I81" i="19"/>
  <c r="G78" i="19"/>
  <c r="L78" i="19"/>
  <c r="I78" i="19"/>
  <c r="H78" i="19"/>
  <c r="I88" i="19"/>
  <c r="J88" i="19"/>
  <c r="H88" i="19"/>
  <c r="I65" i="19"/>
  <c r="H65" i="19"/>
  <c r="G65" i="19"/>
  <c r="G42" i="19"/>
  <c r="L42" i="19"/>
  <c r="H42" i="19"/>
  <c r="J42" i="19"/>
  <c r="I42" i="19"/>
  <c r="M40" i="19"/>
  <c r="N40" i="19" s="1"/>
  <c r="G108" i="19"/>
  <c r="L108" i="19"/>
  <c r="L110" i="19" s="1"/>
  <c r="H108" i="19"/>
  <c r="H110" i="19" s="1"/>
  <c r="H105" i="19"/>
  <c r="H106" i="19" s="1"/>
  <c r="F106" i="19"/>
  <c r="I105" i="19"/>
  <c r="I106" i="19" s="1"/>
  <c r="H93" i="19"/>
  <c r="G93" i="19"/>
  <c r="G89" i="19"/>
  <c r="L89" i="19"/>
  <c r="H89" i="19"/>
  <c r="I89" i="19"/>
  <c r="I82" i="19"/>
  <c r="G82" i="19"/>
  <c r="H82" i="19"/>
  <c r="I79" i="19"/>
  <c r="G79" i="19"/>
  <c r="H79" i="19"/>
  <c r="I63" i="19"/>
  <c r="J63" i="19"/>
  <c r="H63" i="19"/>
  <c r="G34" i="19"/>
  <c r="L34" i="19"/>
  <c r="H34" i="19"/>
  <c r="J34" i="19"/>
  <c r="I34" i="19"/>
  <c r="M32" i="19"/>
  <c r="N32" i="19" s="1"/>
  <c r="O32" i="19" s="1"/>
  <c r="H28" i="19"/>
  <c r="I28" i="19"/>
  <c r="J28" i="19"/>
  <c r="L28" i="19"/>
  <c r="G118" i="19"/>
  <c r="L105" i="19"/>
  <c r="L106" i="19" s="1"/>
  <c r="L88" i="19"/>
  <c r="G87" i="19"/>
  <c r="L87" i="19"/>
  <c r="I87" i="19"/>
  <c r="J87" i="19"/>
  <c r="J81" i="19"/>
  <c r="J78" i="19"/>
  <c r="F75" i="19"/>
  <c r="G70" i="19"/>
  <c r="I70" i="19"/>
  <c r="H70" i="19"/>
  <c r="L65" i="19"/>
  <c r="G64" i="19"/>
  <c r="L64" i="19"/>
  <c r="H64" i="19"/>
  <c r="I64" i="19"/>
  <c r="F53" i="19"/>
  <c r="I5" i="19"/>
  <c r="F6" i="19"/>
  <c r="J5" i="19"/>
  <c r="J6" i="19" s="1"/>
  <c r="L5" i="19"/>
  <c r="L6" i="19" s="1"/>
  <c r="G5" i="19"/>
  <c r="M48" i="19"/>
  <c r="N48" i="19" s="1"/>
  <c r="O48" i="19" s="1"/>
  <c r="G29" i="19"/>
  <c r="H24" i="19"/>
  <c r="I24" i="19"/>
  <c r="F29" i="19"/>
  <c r="J24" i="19"/>
  <c r="J29" i="19" s="1"/>
  <c r="L24" i="19"/>
  <c r="H15" i="19"/>
  <c r="I15" i="19"/>
  <c r="G15" i="19"/>
  <c r="J15" i="19"/>
  <c r="G99" i="19"/>
  <c r="G100" i="19" s="1"/>
  <c r="L99" i="19"/>
  <c r="L100" i="19" s="1"/>
  <c r="G85" i="19"/>
  <c r="L85" i="19"/>
  <c r="J99" i="19"/>
  <c r="J100" i="19" s="1"/>
  <c r="J86" i="19"/>
  <c r="J85" i="19"/>
  <c r="G83" i="19"/>
  <c r="L83" i="19"/>
  <c r="G66" i="19"/>
  <c r="L66" i="19"/>
  <c r="H61" i="19"/>
  <c r="I61" i="19"/>
  <c r="H49" i="19"/>
  <c r="I49" i="19"/>
  <c r="J49" i="19"/>
  <c r="I6" i="19"/>
  <c r="H19" i="19"/>
  <c r="I19" i="19"/>
  <c r="G19" i="19"/>
  <c r="J19" i="19"/>
  <c r="O13" i="19"/>
  <c r="G7" i="19"/>
  <c r="L7" i="19"/>
  <c r="F23" i="19"/>
  <c r="I7" i="19"/>
  <c r="G46" i="19"/>
  <c r="L46" i="19"/>
  <c r="H46" i="19"/>
  <c r="J46" i="19"/>
  <c r="M44" i="19"/>
  <c r="N44" i="19" s="1"/>
  <c r="G38" i="19"/>
  <c r="L38" i="19"/>
  <c r="H38" i="19"/>
  <c r="J38" i="19"/>
  <c r="G30" i="19"/>
  <c r="L30" i="19"/>
  <c r="H30" i="19"/>
  <c r="J30" i="19"/>
  <c r="G25" i="19"/>
  <c r="L25" i="19"/>
  <c r="H25" i="19"/>
  <c r="I25" i="19"/>
  <c r="J25" i="19"/>
  <c r="G12" i="19"/>
  <c r="L12" i="19"/>
  <c r="I12" i="19"/>
  <c r="G50" i="19"/>
  <c r="L50" i="19"/>
  <c r="H45" i="19"/>
  <c r="I45" i="19"/>
  <c r="H41" i="19"/>
  <c r="I41" i="19"/>
  <c r="H37" i="19"/>
  <c r="I37" i="19"/>
  <c r="H33" i="19"/>
  <c r="I33" i="19"/>
  <c r="O27" i="19"/>
  <c r="O26" i="19"/>
  <c r="O4" i="19"/>
  <c r="J50" i="19"/>
  <c r="M50" i="19" s="1"/>
  <c r="N50" i="19" s="1"/>
  <c r="L45" i="19"/>
  <c r="O44" i="19"/>
  <c r="L41" i="19"/>
  <c r="L37" i="19"/>
  <c r="L33" i="19"/>
  <c r="G20" i="19"/>
  <c r="L20" i="19"/>
  <c r="M20" i="19" s="1"/>
  <c r="N20" i="19" s="1"/>
  <c r="H20" i="19"/>
  <c r="G16" i="19"/>
  <c r="L16" i="19"/>
  <c r="M16" i="19" s="1"/>
  <c r="N16" i="19" s="1"/>
  <c r="H16" i="19"/>
  <c r="J11" i="19"/>
  <c r="J23" i="19" s="1"/>
  <c r="K54" i="19" l="1"/>
  <c r="M10" i="19"/>
  <c r="N10" i="19" s="1"/>
  <c r="O14" i="19"/>
  <c r="M5" i="19"/>
  <c r="N5" i="19" s="1"/>
  <c r="J75" i="19"/>
  <c r="O10" i="19"/>
  <c r="M12" i="19"/>
  <c r="N12" i="19" s="1"/>
  <c r="M25" i="19"/>
  <c r="N25" i="19" s="1"/>
  <c r="M31" i="19"/>
  <c r="N31" i="19" s="1"/>
  <c r="O31" i="19" s="1"/>
  <c r="H23" i="19"/>
  <c r="M15" i="19"/>
  <c r="N15" i="19" s="1"/>
  <c r="O15" i="19" s="1"/>
  <c r="G75" i="19"/>
  <c r="J94" i="19"/>
  <c r="M18" i="19"/>
  <c r="N18" i="19" s="1"/>
  <c r="O40" i="19"/>
  <c r="M19" i="19"/>
  <c r="N19" i="19" s="1"/>
  <c r="M49" i="19"/>
  <c r="N49" i="19" s="1"/>
  <c r="O49" i="19" s="1"/>
  <c r="I94" i="19"/>
  <c r="M17" i="19"/>
  <c r="N17" i="19" s="1"/>
  <c r="O17" i="19" s="1"/>
  <c r="O22" i="19"/>
  <c r="M39" i="19"/>
  <c r="N39" i="19" s="1"/>
  <c r="O39" i="19" s="1"/>
  <c r="O18" i="19"/>
  <c r="J53" i="19"/>
  <c r="J54" i="19" s="1"/>
  <c r="M33" i="19"/>
  <c r="N33" i="19" s="1"/>
  <c r="O33" i="19" s="1"/>
  <c r="M38" i="19"/>
  <c r="N38" i="19" s="1"/>
  <c r="M35" i="19"/>
  <c r="N35" i="19" s="1"/>
  <c r="O35" i="19" s="1"/>
  <c r="M37" i="19"/>
  <c r="N37" i="19" s="1"/>
  <c r="O37" i="19" s="1"/>
  <c r="F54" i="19"/>
  <c r="F55" i="19" s="1"/>
  <c r="M11" i="19"/>
  <c r="N11" i="19" s="1"/>
  <c r="O11" i="19" s="1"/>
  <c r="M46" i="19"/>
  <c r="N46" i="19" s="1"/>
  <c r="O46" i="19" s="1"/>
  <c r="O19" i="19"/>
  <c r="M52" i="19"/>
  <c r="N52" i="19" s="1"/>
  <c r="O52" i="19" s="1"/>
  <c r="O20" i="19"/>
  <c r="M45" i="19"/>
  <c r="N45" i="19" s="1"/>
  <c r="O45" i="19" s="1"/>
  <c r="G23" i="19"/>
  <c r="M30" i="19"/>
  <c r="M108" i="19"/>
  <c r="O16" i="19"/>
  <c r="H53" i="19"/>
  <c r="O38" i="19"/>
  <c r="M7" i="19"/>
  <c r="I23" i="19"/>
  <c r="G6" i="19"/>
  <c r="O5" i="19"/>
  <c r="O6" i="19" s="1"/>
  <c r="L75" i="19"/>
  <c r="G110" i="19"/>
  <c r="L94" i="19"/>
  <c r="L53" i="19"/>
  <c r="I75" i="19"/>
  <c r="M24" i="19"/>
  <c r="I29" i="19"/>
  <c r="N6" i="19"/>
  <c r="M34" i="19"/>
  <c r="N34" i="19" s="1"/>
  <c r="O34" i="19" s="1"/>
  <c r="G94" i="19"/>
  <c r="M41" i="19"/>
  <c r="N41" i="19" s="1"/>
  <c r="O41" i="19" s="1"/>
  <c r="K55" i="19"/>
  <c r="K174" i="19"/>
  <c r="K175" i="19" s="1"/>
  <c r="G126" i="19"/>
  <c r="O50" i="19"/>
  <c r="O12" i="19"/>
  <c r="O25" i="19"/>
  <c r="G53" i="19"/>
  <c r="L23" i="19"/>
  <c r="H75" i="19"/>
  <c r="L29" i="19"/>
  <c r="H29" i="19"/>
  <c r="I53" i="19"/>
  <c r="M6" i="19"/>
  <c r="M28" i="19"/>
  <c r="N28" i="19" s="1"/>
  <c r="O28" i="19" s="1"/>
  <c r="M42" i="19"/>
  <c r="N42" i="19" s="1"/>
  <c r="O42" i="19" s="1"/>
  <c r="H94" i="19"/>
  <c r="H54" i="19" l="1"/>
  <c r="H120" i="19" s="1"/>
  <c r="G130" i="19"/>
  <c r="J120" i="19"/>
  <c r="J174" i="19" s="1"/>
  <c r="J175" i="19" s="1"/>
  <c r="L120" i="19"/>
  <c r="G129" i="19"/>
  <c r="I120" i="19"/>
  <c r="I121" i="19" s="1"/>
  <c r="I54" i="19"/>
  <c r="G124" i="19" s="1"/>
  <c r="L54" i="19"/>
  <c r="L55" i="19" s="1"/>
  <c r="J55" i="19"/>
  <c r="N30" i="19"/>
  <c r="M53" i="19"/>
  <c r="G125" i="19"/>
  <c r="M23" i="19"/>
  <c r="N7" i="19"/>
  <c r="N108" i="19"/>
  <c r="M110" i="19"/>
  <c r="M120" i="19" s="1"/>
  <c r="M29" i="19"/>
  <c r="N24" i="19"/>
  <c r="G54" i="19"/>
  <c r="G123" i="19" s="1"/>
  <c r="L174" i="19" l="1"/>
  <c r="L175" i="19" s="1"/>
  <c r="I55" i="19"/>
  <c r="G127" i="19"/>
  <c r="I174" i="19"/>
  <c r="I175" i="19" s="1"/>
  <c r="M54" i="19"/>
  <c r="M174" i="19" s="1"/>
  <c r="M175" i="19" s="1"/>
  <c r="M178" i="19" s="1"/>
  <c r="E185" i="19"/>
  <c r="E186" i="19" s="1"/>
  <c r="E190" i="19" s="1"/>
  <c r="E192" i="19" s="1"/>
  <c r="F192" i="19" s="1"/>
  <c r="N29" i="19"/>
  <c r="O24" i="19"/>
  <c r="O29" i="19" s="1"/>
  <c r="N110" i="19"/>
  <c r="N120" i="19" s="1"/>
  <c r="O108" i="19"/>
  <c r="O110" i="19" s="1"/>
  <c r="O120" i="19" s="1"/>
  <c r="N23" i="19"/>
  <c r="O7" i="19"/>
  <c r="O23" i="19" s="1"/>
  <c r="N53" i="19"/>
  <c r="O30" i="19"/>
  <c r="O53" i="19" s="1"/>
  <c r="N54" i="19" l="1"/>
  <c r="N174" i="19" s="1"/>
  <c r="O54" i="19"/>
  <c r="O174" i="19" s="1"/>
  <c r="O65" i="9" l="1"/>
  <c r="O61" i="9" s="1"/>
  <c r="O90" i="9" l="1"/>
  <c r="L43" i="3"/>
  <c r="K43" i="3"/>
  <c r="S45" i="9"/>
  <c r="C13" i="13" l="1"/>
  <c r="C15" i="13" s="1"/>
  <c r="F12" i="7" l="1"/>
  <c r="E5" i="7"/>
  <c r="F5" i="7" s="1"/>
  <c r="E6" i="7"/>
  <c r="F6" i="7" s="1"/>
  <c r="E7" i="7"/>
  <c r="F7" i="7" s="1"/>
  <c r="E8" i="7"/>
  <c r="F8" i="7" s="1"/>
  <c r="E9" i="7"/>
  <c r="F9" i="7" s="1"/>
  <c r="E12" i="7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E22" i="7"/>
  <c r="F22" i="7" s="1"/>
  <c r="E23" i="7"/>
  <c r="F23" i="7" s="1"/>
  <c r="E24" i="7"/>
  <c r="F24" i="7" s="1"/>
  <c r="E26" i="7"/>
  <c r="F26" i="7" s="1"/>
  <c r="E27" i="7"/>
  <c r="F27" i="7" s="1"/>
  <c r="E30" i="7"/>
  <c r="F30" i="7" s="1"/>
  <c r="E31" i="7"/>
  <c r="F31" i="7" s="1"/>
  <c r="E32" i="7"/>
  <c r="F32" i="7" s="1"/>
  <c r="E35" i="7"/>
  <c r="F35" i="7" s="1"/>
  <c r="E36" i="7"/>
  <c r="F36" i="7" s="1"/>
  <c r="E37" i="7"/>
  <c r="F37" i="7" s="1"/>
  <c r="E38" i="7"/>
  <c r="F38" i="7" s="1"/>
  <c r="E40" i="7"/>
  <c r="F40" i="7" s="1"/>
  <c r="E41" i="7"/>
  <c r="F41" i="7" s="1"/>
  <c r="F39" i="7" s="1"/>
  <c r="E42" i="7"/>
  <c r="E43" i="7"/>
  <c r="E45" i="7"/>
  <c r="E46" i="7"/>
  <c r="K29" i="7"/>
  <c r="K4" i="7"/>
  <c r="K39" i="7"/>
  <c r="K11" i="7"/>
  <c r="K34" i="7"/>
  <c r="K42" i="7"/>
  <c r="F25" i="7" l="1"/>
  <c r="F34" i="7"/>
  <c r="F11" i="7"/>
  <c r="F10" i="7" s="1"/>
  <c r="D39" i="7"/>
  <c r="E39" i="7" s="1"/>
  <c r="F45" i="7"/>
  <c r="C11" i="7"/>
  <c r="G30" i="7"/>
  <c r="N30" i="7" l="1"/>
  <c r="G41" i="7"/>
  <c r="N41" i="7" s="1"/>
  <c r="G21" i="7"/>
  <c r="N21" i="7" s="1"/>
  <c r="F4" i="7"/>
  <c r="F3" i="7" s="1"/>
  <c r="G38" i="7"/>
  <c r="N38" i="7" s="1"/>
  <c r="D4" i="7"/>
  <c r="E4" i="7" s="1"/>
  <c r="G31" i="7"/>
  <c r="N31" i="7" s="1"/>
  <c r="D34" i="7"/>
  <c r="E34" i="7" s="1"/>
  <c r="D29" i="7"/>
  <c r="E29" i="7" s="1"/>
  <c r="F29" i="7" s="1"/>
  <c r="F28" i="7" s="1"/>
  <c r="G40" i="7"/>
  <c r="N40" i="7" s="1"/>
  <c r="F46" i="7"/>
  <c r="G46" i="7" s="1"/>
  <c r="N46" i="7" s="1"/>
  <c r="D11" i="7"/>
  <c r="E11" i="7" s="1"/>
  <c r="H106" i="5"/>
  <c r="C58" i="14"/>
  <c r="D63" i="14"/>
  <c r="M117" i="5"/>
  <c r="M116" i="5" s="1"/>
  <c r="G39" i="7" l="1"/>
  <c r="N39" i="7" s="1"/>
  <c r="D28" i="7"/>
  <c r="E28" i="7" s="1"/>
  <c r="D3" i="7"/>
  <c r="E3" i="7" s="1"/>
  <c r="D51" i="14" l="1"/>
  <c r="C13" i="14"/>
  <c r="C41" i="14"/>
  <c r="C30" i="14"/>
  <c r="C18" i="14"/>
  <c r="C62" i="14" l="1"/>
  <c r="C64" i="14" s="1"/>
  <c r="O48" i="9" l="1"/>
  <c r="S100" i="9"/>
  <c r="S101" i="9"/>
  <c r="S102" i="9"/>
  <c r="S99" i="9"/>
  <c r="S98" i="9" l="1"/>
  <c r="S95" i="9" s="1"/>
  <c r="S72" i="9"/>
  <c r="V70" i="9"/>
  <c r="W70" i="9" s="1"/>
  <c r="V42" i="9"/>
  <c r="W42" i="9" s="1"/>
  <c r="S34" i="9" l="1"/>
  <c r="S33" i="9" s="1"/>
  <c r="S32" i="9"/>
  <c r="S31" i="9"/>
  <c r="S29" i="9"/>
  <c r="S28" i="9"/>
  <c r="S19" i="9"/>
  <c r="S18" i="9"/>
  <c r="S10" i="9" l="1"/>
  <c r="T11" i="9"/>
  <c r="S30" i="9"/>
  <c r="S27" i="9"/>
  <c r="C31" i="3" l="1"/>
  <c r="G52" i="3"/>
  <c r="G47" i="3"/>
  <c r="G46" i="3"/>
  <c r="AA60" i="9"/>
  <c r="AA59" i="9"/>
  <c r="AA58" i="9"/>
  <c r="AA57" i="9"/>
  <c r="S56" i="9"/>
  <c r="V56" i="9" s="1"/>
  <c r="S60" i="9"/>
  <c r="V60" i="9" s="1"/>
  <c r="G55" i="3"/>
  <c r="G59" i="3"/>
  <c r="S49" i="9"/>
  <c r="K59" i="3" l="1"/>
  <c r="AA61" i="9"/>
  <c r="T13" i="9" l="1"/>
  <c r="K14" i="3" l="1"/>
  <c r="K12" i="3"/>
  <c r="K46" i="3" l="1"/>
  <c r="K47" i="3"/>
  <c r="K51" i="3"/>
  <c r="K55" i="3"/>
  <c r="J125" i="3"/>
  <c r="F40" i="8"/>
  <c r="F47" i="8"/>
  <c r="F45" i="8"/>
  <c r="F17" i="8"/>
  <c r="F16" i="8" s="1"/>
  <c r="F10" i="8"/>
  <c r="F9" i="8" s="1"/>
  <c r="K16" i="3"/>
  <c r="F39" i="8" l="1"/>
  <c r="F61" i="8" s="1"/>
  <c r="C25" i="7"/>
  <c r="G7" i="7"/>
  <c r="N7" i="7" s="1"/>
  <c r="D44" i="7"/>
  <c r="E44" i="7" s="1"/>
  <c r="D33" i="7" l="1"/>
  <c r="E33" i="7" s="1"/>
  <c r="G5" i="7"/>
  <c r="F44" i="7"/>
  <c r="F33" i="7" s="1"/>
  <c r="F2" i="7" s="1"/>
  <c r="C48" i="7"/>
  <c r="N5" i="7" l="1"/>
  <c r="O5" i="7"/>
  <c r="L12" i="7"/>
  <c r="G12" i="7"/>
  <c r="O12" i="7" s="1"/>
  <c r="C29" i="7"/>
  <c r="C28" i="7" s="1"/>
  <c r="C4" i="7"/>
  <c r="C3" i="7" s="1"/>
  <c r="C34" i="7"/>
  <c r="C44" i="7"/>
  <c r="C39" i="7"/>
  <c r="L5" i="7"/>
  <c r="M5" i="7" s="1"/>
  <c r="L6" i="7"/>
  <c r="M6" i="7" s="1"/>
  <c r="L7" i="7"/>
  <c r="M7" i="7" s="1"/>
  <c r="L8" i="7"/>
  <c r="M8" i="7" s="1"/>
  <c r="L9" i="7"/>
  <c r="M9" i="7" s="1"/>
  <c r="L13" i="7"/>
  <c r="M13" i="7" s="1"/>
  <c r="L14" i="7"/>
  <c r="M14" i="7" s="1"/>
  <c r="L15" i="7"/>
  <c r="M15" i="7" s="1"/>
  <c r="L16" i="7"/>
  <c r="M16" i="7" s="1"/>
  <c r="L17" i="7"/>
  <c r="M17" i="7" s="1"/>
  <c r="L18" i="7"/>
  <c r="M18" i="7" s="1"/>
  <c r="L19" i="7"/>
  <c r="M19" i="7" s="1"/>
  <c r="L20" i="7"/>
  <c r="M20" i="7" s="1"/>
  <c r="L21" i="7"/>
  <c r="M21" i="7" s="1"/>
  <c r="L22" i="7"/>
  <c r="M22" i="7" s="1"/>
  <c r="L23" i="7"/>
  <c r="M23" i="7" s="1"/>
  <c r="L24" i="7"/>
  <c r="M24" i="7" s="1"/>
  <c r="L26" i="7"/>
  <c r="M26" i="7" s="1"/>
  <c r="L31" i="7"/>
  <c r="M31" i="7" s="1"/>
  <c r="L32" i="7"/>
  <c r="M32" i="7" s="1"/>
  <c r="L35" i="7"/>
  <c r="M35" i="7" s="1"/>
  <c r="L36" i="7"/>
  <c r="M36" i="7" s="1"/>
  <c r="L37" i="7"/>
  <c r="M37" i="7" s="1"/>
  <c r="L38" i="7"/>
  <c r="M38" i="7" s="1"/>
  <c r="L41" i="7"/>
  <c r="M41" i="7" s="1"/>
  <c r="L45" i="7"/>
  <c r="M45" i="7" s="1"/>
  <c r="L46" i="7"/>
  <c r="M46" i="7" s="1"/>
  <c r="J44" i="7"/>
  <c r="K44" i="7"/>
  <c r="K33" i="7" s="1"/>
  <c r="I44" i="7"/>
  <c r="J39" i="7"/>
  <c r="I39" i="7"/>
  <c r="I34" i="7"/>
  <c r="J34" i="7"/>
  <c r="J29" i="7"/>
  <c r="J28" i="7" s="1"/>
  <c r="K28" i="7"/>
  <c r="I29" i="7"/>
  <c r="I28" i="7" s="1"/>
  <c r="I25" i="7"/>
  <c r="K25" i="7"/>
  <c r="J11" i="7"/>
  <c r="I11" i="7"/>
  <c r="J4" i="7"/>
  <c r="J3" i="7" s="1"/>
  <c r="K3" i="7"/>
  <c r="I4" i="7"/>
  <c r="I3" i="7" s="1"/>
  <c r="G26" i="7"/>
  <c r="N26" i="7" s="1"/>
  <c r="G45" i="7"/>
  <c r="P38" i="7"/>
  <c r="G37" i="7"/>
  <c r="G36" i="7"/>
  <c r="N36" i="7" s="1"/>
  <c r="G35" i="7"/>
  <c r="G32" i="7"/>
  <c r="G29" i="7" s="1"/>
  <c r="N29" i="7" s="1"/>
  <c r="H31" i="7"/>
  <c r="G27" i="7"/>
  <c r="N27" i="7" s="1"/>
  <c r="G24" i="7"/>
  <c r="G14" i="7"/>
  <c r="N14" i="7" s="1"/>
  <c r="G15" i="7"/>
  <c r="N15" i="7" s="1"/>
  <c r="G16" i="7"/>
  <c r="G17" i="7"/>
  <c r="G18" i="7"/>
  <c r="N18" i="7" s="1"/>
  <c r="G19" i="7"/>
  <c r="N19" i="7" s="1"/>
  <c r="G20" i="7"/>
  <c r="P21" i="7"/>
  <c r="G22" i="7"/>
  <c r="N22" i="7" s="1"/>
  <c r="G23" i="7"/>
  <c r="N23" i="7" s="1"/>
  <c r="G13" i="7"/>
  <c r="G6" i="7"/>
  <c r="O7" i="7"/>
  <c r="G8" i="7"/>
  <c r="G9" i="7"/>
  <c r="P5" i="7"/>
  <c r="D25" i="7"/>
  <c r="E25" i="7" s="1"/>
  <c r="I53" i="7"/>
  <c r="I54" i="7"/>
  <c r="I55" i="7"/>
  <c r="N6" i="7" l="1"/>
  <c r="O6" i="7"/>
  <c r="I33" i="7"/>
  <c r="O32" i="7"/>
  <c r="N32" i="7"/>
  <c r="H12" i="7"/>
  <c r="N12" i="7"/>
  <c r="P17" i="7"/>
  <c r="N17" i="7"/>
  <c r="P24" i="7"/>
  <c r="N24" i="7"/>
  <c r="H35" i="7"/>
  <c r="G34" i="7"/>
  <c r="N35" i="7"/>
  <c r="O45" i="7"/>
  <c r="N45" i="7"/>
  <c r="H9" i="7"/>
  <c r="N9" i="7"/>
  <c r="O13" i="7"/>
  <c r="N13" i="7"/>
  <c r="P20" i="7"/>
  <c r="N20" i="7"/>
  <c r="P16" i="7"/>
  <c r="N16" i="7"/>
  <c r="P8" i="7"/>
  <c r="N8" i="7"/>
  <c r="O37" i="7"/>
  <c r="N37" i="7"/>
  <c r="C33" i="7"/>
  <c r="I10" i="7"/>
  <c r="D10" i="7"/>
  <c r="E10" i="7" s="1"/>
  <c r="G44" i="7"/>
  <c r="O44" i="7" s="1"/>
  <c r="L28" i="7"/>
  <c r="M28" i="7" s="1"/>
  <c r="L44" i="7"/>
  <c r="M44" i="7" s="1"/>
  <c r="L3" i="7"/>
  <c r="M3" i="7" s="1"/>
  <c r="J33" i="7"/>
  <c r="L39" i="7"/>
  <c r="M39" i="7" s="1"/>
  <c r="P12" i="7"/>
  <c r="G25" i="7"/>
  <c r="L29" i="7"/>
  <c r="M29" i="7" s="1"/>
  <c r="L4" i="7"/>
  <c r="M4" i="7" s="1"/>
  <c r="P45" i="7"/>
  <c r="L34" i="7"/>
  <c r="O38" i="7"/>
  <c r="P26" i="7"/>
  <c r="O26" i="7"/>
  <c r="H26" i="7"/>
  <c r="P36" i="7"/>
  <c r="J27" i="7"/>
  <c r="J25" i="7" s="1"/>
  <c r="L25" i="7" s="1"/>
  <c r="M25" i="7" s="1"/>
  <c r="O14" i="7"/>
  <c r="P46" i="7"/>
  <c r="O46" i="7"/>
  <c r="H46" i="7"/>
  <c r="H39" i="7"/>
  <c r="O39" i="7"/>
  <c r="O41" i="7"/>
  <c r="P41" i="7"/>
  <c r="H41" i="7"/>
  <c r="P23" i="7"/>
  <c r="H15" i="7"/>
  <c r="P32" i="7"/>
  <c r="H38" i="7"/>
  <c r="P6" i="7"/>
  <c r="P31" i="7"/>
  <c r="O15" i="7"/>
  <c r="H21" i="7"/>
  <c r="P37" i="7"/>
  <c r="H37" i="7"/>
  <c r="H36" i="7"/>
  <c r="O36" i="7"/>
  <c r="O35" i="7"/>
  <c r="P35" i="7"/>
  <c r="O31" i="7"/>
  <c r="P27" i="7"/>
  <c r="H27" i="7"/>
  <c r="O27" i="7"/>
  <c r="O24" i="7"/>
  <c r="H24" i="7"/>
  <c r="O23" i="7"/>
  <c r="H23" i="7"/>
  <c r="O22" i="7"/>
  <c r="H22" i="7"/>
  <c r="O20" i="7"/>
  <c r="H20" i="7"/>
  <c r="P19" i="7"/>
  <c r="O19" i="7"/>
  <c r="H19" i="7"/>
  <c r="O18" i="7"/>
  <c r="H18" i="7"/>
  <c r="O17" i="7"/>
  <c r="H17" i="7"/>
  <c r="O16" i="7"/>
  <c r="H16" i="7"/>
  <c r="P15" i="7"/>
  <c r="H14" i="7"/>
  <c r="P13" i="7"/>
  <c r="H13" i="7"/>
  <c r="P9" i="7"/>
  <c r="O9" i="7"/>
  <c r="O8" i="7"/>
  <c r="H8" i="7"/>
  <c r="H7" i="7"/>
  <c r="P7" i="7"/>
  <c r="H5" i="7"/>
  <c r="G4" i="7"/>
  <c r="O21" i="7"/>
  <c r="C10" i="7"/>
  <c r="C2" i="7" s="1"/>
  <c r="C49" i="7" s="1"/>
  <c r="G11" i="7"/>
  <c r="P18" i="7"/>
  <c r="P39" i="7"/>
  <c r="P22" i="7"/>
  <c r="P14" i="7"/>
  <c r="I2" i="7"/>
  <c r="N4" i="7" l="1"/>
  <c r="O4" i="7"/>
  <c r="O29" i="7"/>
  <c r="N34" i="7"/>
  <c r="G33" i="7"/>
  <c r="N33" i="7" s="1"/>
  <c r="H11" i="7"/>
  <c r="N11" i="7"/>
  <c r="H44" i="7"/>
  <c r="N44" i="7"/>
  <c r="L33" i="7"/>
  <c r="M33" i="7" s="1"/>
  <c r="P25" i="7"/>
  <c r="N25" i="7"/>
  <c r="D2" i="7"/>
  <c r="E2" i="7" s="1"/>
  <c r="P44" i="7"/>
  <c r="L27" i="7"/>
  <c r="M27" i="7" s="1"/>
  <c r="J10" i="7"/>
  <c r="J2" i="7" s="1"/>
  <c r="O34" i="7"/>
  <c r="M34" i="7"/>
  <c r="G3" i="7"/>
  <c r="O25" i="7"/>
  <c r="H25" i="7"/>
  <c r="P34" i="7"/>
  <c r="H34" i="7"/>
  <c r="P29" i="7"/>
  <c r="G28" i="7"/>
  <c r="N28" i="7" s="1"/>
  <c r="H29" i="7"/>
  <c r="P4" i="7"/>
  <c r="H4" i="7"/>
  <c r="G10" i="7"/>
  <c r="O11" i="7"/>
  <c r="K10" i="7"/>
  <c r="M12" i="7"/>
  <c r="P11" i="7"/>
  <c r="I52" i="7"/>
  <c r="I49" i="7"/>
  <c r="I48" i="7"/>
  <c r="I50" i="7"/>
  <c r="I47" i="7"/>
  <c r="I51" i="7"/>
  <c r="N3" i="7" l="1"/>
  <c r="O3" i="7"/>
  <c r="H10" i="7"/>
  <c r="N10" i="7"/>
  <c r="O33" i="7"/>
  <c r="P33" i="7"/>
  <c r="H33" i="7"/>
  <c r="G2" i="7"/>
  <c r="O2" i="7" s="1"/>
  <c r="P28" i="7"/>
  <c r="H28" i="7"/>
  <c r="O28" i="7"/>
  <c r="H3" i="7"/>
  <c r="P3" i="7"/>
  <c r="O10" i="7"/>
  <c r="P10" i="7"/>
  <c r="L11" i="7"/>
  <c r="M11" i="7" s="1"/>
  <c r="H2" i="7" l="1"/>
  <c r="N2" i="7"/>
  <c r="Q3" i="7"/>
  <c r="L10" i="7"/>
  <c r="M10" i="7" s="1"/>
  <c r="K2" i="7"/>
  <c r="L2" i="7" s="1"/>
  <c r="M2" i="7" s="1"/>
  <c r="P2" i="7"/>
  <c r="J60" i="8" l="1"/>
  <c r="J59" i="8"/>
  <c r="J58" i="8"/>
  <c r="J49" i="8"/>
  <c r="J48" i="8"/>
  <c r="J47" i="8"/>
  <c r="J46" i="8"/>
  <c r="J45" i="8"/>
  <c r="J44" i="8"/>
  <c r="J43" i="8"/>
  <c r="J42" i="8"/>
  <c r="J41" i="8"/>
  <c r="J40" i="8"/>
  <c r="J37" i="8"/>
  <c r="J35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1" i="8"/>
  <c r="J12" i="8"/>
  <c r="J13" i="8"/>
  <c r="J14" i="8"/>
  <c r="J15" i="8"/>
  <c r="J10" i="8"/>
  <c r="J9" i="8"/>
  <c r="J38" i="8"/>
  <c r="E61" i="8"/>
  <c r="G61" i="8"/>
  <c r="H61" i="8"/>
  <c r="I61" i="8"/>
  <c r="C61" i="8"/>
  <c r="D50" i="8"/>
  <c r="E51" i="8"/>
  <c r="E50" i="8" s="1"/>
  <c r="F51" i="8"/>
  <c r="F50" i="8" s="1"/>
  <c r="G51" i="8"/>
  <c r="G50" i="8" s="1"/>
  <c r="H51" i="8"/>
  <c r="H50" i="8" s="1"/>
  <c r="I51" i="8"/>
  <c r="I50" i="8" s="1"/>
  <c r="C51" i="8"/>
  <c r="C50" i="8" s="1"/>
  <c r="S39" i="9"/>
  <c r="V39" i="9" s="1"/>
  <c r="S38" i="9"/>
  <c r="S37" i="9"/>
  <c r="Q21" i="9"/>
  <c r="U19" i="9"/>
  <c r="P36" i="9"/>
  <c r="S125" i="9"/>
  <c r="S124" i="9" s="1"/>
  <c r="S123" i="9" s="1"/>
  <c r="N125" i="9"/>
  <c r="N124" i="9" s="1"/>
  <c r="N123" i="9" s="1"/>
  <c r="G125" i="9"/>
  <c r="G124" i="9" s="1"/>
  <c r="G123" i="9" s="1"/>
  <c r="R124" i="9"/>
  <c r="R123" i="9" s="1"/>
  <c r="Q124" i="9"/>
  <c r="Q123" i="9" s="1"/>
  <c r="P124" i="9"/>
  <c r="P123" i="9" s="1"/>
  <c r="O124" i="9"/>
  <c r="O123" i="9" s="1"/>
  <c r="M124" i="9"/>
  <c r="M123" i="9" s="1"/>
  <c r="L124" i="9"/>
  <c r="L123" i="9" s="1"/>
  <c r="K124" i="9"/>
  <c r="K123" i="9" s="1"/>
  <c r="J124" i="9"/>
  <c r="J123" i="9" s="1"/>
  <c r="I124" i="9"/>
  <c r="I123" i="9" s="1"/>
  <c r="H124" i="9"/>
  <c r="H123" i="9" s="1"/>
  <c r="F124" i="9"/>
  <c r="F123" i="9" s="1"/>
  <c r="E124" i="9"/>
  <c r="E123" i="9" s="1"/>
  <c r="D124" i="9"/>
  <c r="D123" i="9" s="1"/>
  <c r="S122" i="9"/>
  <c r="S121" i="9" s="1"/>
  <c r="S120" i="9" s="1"/>
  <c r="N122" i="9"/>
  <c r="N121" i="9" s="1"/>
  <c r="N120" i="9" s="1"/>
  <c r="G122" i="9"/>
  <c r="R121" i="9"/>
  <c r="R120" i="9" s="1"/>
  <c r="Q121" i="9"/>
  <c r="Q120" i="9" s="1"/>
  <c r="P121" i="9"/>
  <c r="P120" i="9" s="1"/>
  <c r="O121" i="9"/>
  <c r="O120" i="9" s="1"/>
  <c r="M121" i="9"/>
  <c r="M120" i="9" s="1"/>
  <c r="L121" i="9"/>
  <c r="L120" i="9" s="1"/>
  <c r="K121" i="9"/>
  <c r="K120" i="9" s="1"/>
  <c r="J121" i="9"/>
  <c r="J120" i="9" s="1"/>
  <c r="I121" i="9"/>
  <c r="I120" i="9" s="1"/>
  <c r="H121" i="9"/>
  <c r="H120" i="9" s="1"/>
  <c r="F121" i="9"/>
  <c r="F120" i="9" s="1"/>
  <c r="E121" i="9"/>
  <c r="E120" i="9" s="1"/>
  <c r="D121" i="9"/>
  <c r="D120" i="9" s="1"/>
  <c r="S119" i="9"/>
  <c r="N119" i="9"/>
  <c r="G119" i="9"/>
  <c r="S118" i="9"/>
  <c r="N118" i="9"/>
  <c r="G118" i="9"/>
  <c r="S117" i="9"/>
  <c r="N117" i="9"/>
  <c r="G117" i="9"/>
  <c r="S116" i="9"/>
  <c r="N116" i="9"/>
  <c r="G116" i="9"/>
  <c r="S115" i="9"/>
  <c r="N115" i="9"/>
  <c r="G115" i="9"/>
  <c r="S114" i="9"/>
  <c r="N114" i="9"/>
  <c r="G114" i="9"/>
  <c r="S113" i="9"/>
  <c r="N113" i="9"/>
  <c r="G113" i="9"/>
  <c r="R112" i="9"/>
  <c r="Q112" i="9"/>
  <c r="P112" i="9"/>
  <c r="O112" i="9"/>
  <c r="M112" i="9"/>
  <c r="L112" i="9"/>
  <c r="K112" i="9"/>
  <c r="J112" i="9"/>
  <c r="I112" i="9"/>
  <c r="H112" i="9"/>
  <c r="F112" i="9"/>
  <c r="E112" i="9"/>
  <c r="D112" i="9"/>
  <c r="S111" i="9"/>
  <c r="S110" i="9" s="1"/>
  <c r="N111" i="9"/>
  <c r="N110" i="9" s="1"/>
  <c r="G111" i="9"/>
  <c r="G110" i="9" s="1"/>
  <c r="R110" i="9"/>
  <c r="Q110" i="9"/>
  <c r="P110" i="9"/>
  <c r="O110" i="9"/>
  <c r="M110" i="9"/>
  <c r="L110" i="9"/>
  <c r="K110" i="9"/>
  <c r="J110" i="9"/>
  <c r="I110" i="9"/>
  <c r="H110" i="9"/>
  <c r="F110" i="9"/>
  <c r="E110" i="9"/>
  <c r="D110" i="9"/>
  <c r="S109" i="9"/>
  <c r="S108" i="9" s="1"/>
  <c r="N109" i="9"/>
  <c r="N108" i="9" s="1"/>
  <c r="G109" i="9"/>
  <c r="G108" i="9" s="1"/>
  <c r="R108" i="9"/>
  <c r="Q108" i="9"/>
  <c r="P108" i="9"/>
  <c r="O108" i="9"/>
  <c r="M108" i="9"/>
  <c r="L108" i="9"/>
  <c r="K108" i="9"/>
  <c r="J108" i="9"/>
  <c r="I108" i="9"/>
  <c r="H108" i="9"/>
  <c r="F108" i="9"/>
  <c r="E108" i="9"/>
  <c r="D108" i="9"/>
  <c r="S107" i="9"/>
  <c r="N107" i="9"/>
  <c r="G107" i="9"/>
  <c r="S106" i="9"/>
  <c r="N106" i="9"/>
  <c r="G106" i="9"/>
  <c r="S105" i="9"/>
  <c r="N105" i="9"/>
  <c r="G105" i="9"/>
  <c r="R104" i="9"/>
  <c r="Q104" i="9"/>
  <c r="P104" i="9"/>
  <c r="O104" i="9"/>
  <c r="M104" i="9"/>
  <c r="L104" i="9"/>
  <c r="K104" i="9"/>
  <c r="J104" i="9"/>
  <c r="I104" i="9"/>
  <c r="H104" i="9"/>
  <c r="F104" i="9"/>
  <c r="E104" i="9"/>
  <c r="D104" i="9"/>
  <c r="G102" i="9"/>
  <c r="G100" i="9"/>
  <c r="G99" i="9"/>
  <c r="R98" i="9"/>
  <c r="Q98" i="9"/>
  <c r="P98" i="9"/>
  <c r="O98" i="9"/>
  <c r="O95" i="9" s="1"/>
  <c r="N98" i="9"/>
  <c r="M98" i="9"/>
  <c r="L98" i="9"/>
  <c r="K98" i="9"/>
  <c r="J98" i="9"/>
  <c r="I98" i="9"/>
  <c r="H98" i="9"/>
  <c r="F98" i="9"/>
  <c r="E98" i="9"/>
  <c r="D98" i="9"/>
  <c r="R96" i="9"/>
  <c r="D97" i="9"/>
  <c r="D96" i="9" s="1"/>
  <c r="D95" i="9" s="1"/>
  <c r="Q96" i="9"/>
  <c r="P96" i="9"/>
  <c r="N96" i="9"/>
  <c r="M96" i="9"/>
  <c r="L96" i="9"/>
  <c r="K96" i="9"/>
  <c r="J96" i="9"/>
  <c r="I96" i="9"/>
  <c r="H96" i="9"/>
  <c r="F96" i="9"/>
  <c r="F95" i="9" s="1"/>
  <c r="E96" i="9"/>
  <c r="E95" i="9" s="1"/>
  <c r="S94" i="9"/>
  <c r="G94" i="9"/>
  <c r="S93" i="9"/>
  <c r="G93" i="9"/>
  <c r="R92" i="9"/>
  <c r="Q92" i="9"/>
  <c r="P92" i="9"/>
  <c r="O92" i="9"/>
  <c r="N92" i="9"/>
  <c r="M92" i="9"/>
  <c r="L92" i="9"/>
  <c r="K92" i="9"/>
  <c r="J92" i="9"/>
  <c r="I92" i="9"/>
  <c r="H92" i="9"/>
  <c r="F92" i="9"/>
  <c r="E92" i="9"/>
  <c r="D92" i="9"/>
  <c r="S91" i="9"/>
  <c r="G91" i="9"/>
  <c r="S90" i="9"/>
  <c r="G90" i="9"/>
  <c r="R89" i="9"/>
  <c r="Q89" i="9"/>
  <c r="P89" i="9"/>
  <c r="O89" i="9"/>
  <c r="N89" i="9"/>
  <c r="M89" i="9"/>
  <c r="L89" i="9"/>
  <c r="K89" i="9"/>
  <c r="J89" i="9"/>
  <c r="I89" i="9"/>
  <c r="H89" i="9"/>
  <c r="F89" i="9"/>
  <c r="E89" i="9"/>
  <c r="D89" i="9"/>
  <c r="S88" i="9"/>
  <c r="G88" i="9"/>
  <c r="S87" i="9"/>
  <c r="G87" i="9"/>
  <c r="R86" i="9"/>
  <c r="Q86" i="9"/>
  <c r="P86" i="9"/>
  <c r="O86" i="9"/>
  <c r="N86" i="9"/>
  <c r="M86" i="9"/>
  <c r="L86" i="9"/>
  <c r="K86" i="9"/>
  <c r="J86" i="9"/>
  <c r="I86" i="9"/>
  <c r="H86" i="9"/>
  <c r="F86" i="9"/>
  <c r="E86" i="9"/>
  <c r="D86" i="9"/>
  <c r="S84" i="9"/>
  <c r="G84" i="9"/>
  <c r="G83" i="9" s="1"/>
  <c r="R83" i="9"/>
  <c r="Q83" i="9"/>
  <c r="P83" i="9"/>
  <c r="O83" i="9"/>
  <c r="N83" i="9"/>
  <c r="M83" i="9"/>
  <c r="L83" i="9"/>
  <c r="K83" i="9"/>
  <c r="J83" i="9"/>
  <c r="I83" i="9"/>
  <c r="H83" i="9"/>
  <c r="F83" i="9"/>
  <c r="E83" i="9"/>
  <c r="D83" i="9"/>
  <c r="S82" i="9"/>
  <c r="G82" i="9"/>
  <c r="S81" i="9"/>
  <c r="G81" i="9"/>
  <c r="S80" i="9"/>
  <c r="G80" i="9"/>
  <c r="S79" i="9"/>
  <c r="G79" i="9"/>
  <c r="S78" i="9"/>
  <c r="G78" i="9"/>
  <c r="R77" i="9"/>
  <c r="Q77" i="9"/>
  <c r="P77" i="9"/>
  <c r="O77" i="9"/>
  <c r="N77" i="9"/>
  <c r="M77" i="9"/>
  <c r="L77" i="9"/>
  <c r="K77" i="9"/>
  <c r="J77" i="9"/>
  <c r="I77" i="9"/>
  <c r="H77" i="9"/>
  <c r="F77" i="9"/>
  <c r="E77" i="9"/>
  <c r="D77" i="9"/>
  <c r="S76" i="9"/>
  <c r="G76" i="9"/>
  <c r="S75" i="9"/>
  <c r="G75" i="9"/>
  <c r="S74" i="9"/>
  <c r="G74" i="9"/>
  <c r="R73" i="9"/>
  <c r="Q73" i="9"/>
  <c r="P73" i="9"/>
  <c r="O73" i="9"/>
  <c r="N73" i="9"/>
  <c r="M73" i="9"/>
  <c r="L73" i="9"/>
  <c r="K73" i="9"/>
  <c r="J73" i="9"/>
  <c r="I73" i="9"/>
  <c r="H73" i="9"/>
  <c r="F73" i="9"/>
  <c r="E73" i="9"/>
  <c r="D73" i="9"/>
  <c r="S71" i="9"/>
  <c r="N71" i="9"/>
  <c r="G71" i="9"/>
  <c r="S70" i="9"/>
  <c r="N70" i="9"/>
  <c r="G70" i="9"/>
  <c r="S69" i="9"/>
  <c r="N69" i="9"/>
  <c r="G69" i="9"/>
  <c r="S68" i="9"/>
  <c r="N68" i="9"/>
  <c r="G68" i="9"/>
  <c r="S67" i="9"/>
  <c r="N67" i="9"/>
  <c r="G67" i="9"/>
  <c r="S66" i="9"/>
  <c r="N66" i="9"/>
  <c r="G66" i="9"/>
  <c r="S65" i="9"/>
  <c r="N65" i="9"/>
  <c r="G65" i="9"/>
  <c r="S64" i="9"/>
  <c r="N64" i="9"/>
  <c r="G64" i="9"/>
  <c r="S63" i="9"/>
  <c r="N63" i="9"/>
  <c r="G63" i="9"/>
  <c r="S62" i="9"/>
  <c r="N62" i="9"/>
  <c r="G62" i="9"/>
  <c r="R61" i="9"/>
  <c r="Q61" i="9"/>
  <c r="P61" i="9"/>
  <c r="M61" i="9"/>
  <c r="L61" i="9"/>
  <c r="K61" i="9"/>
  <c r="J61" i="9"/>
  <c r="I61" i="9"/>
  <c r="H61" i="9"/>
  <c r="F61" i="9"/>
  <c r="E61" i="9"/>
  <c r="D61" i="9"/>
  <c r="C61" i="9"/>
  <c r="N60" i="9"/>
  <c r="G60" i="9"/>
  <c r="S59" i="9"/>
  <c r="V59" i="9" s="1"/>
  <c r="N59" i="9"/>
  <c r="G59" i="9"/>
  <c r="S58" i="9"/>
  <c r="N58" i="9"/>
  <c r="C58" i="9"/>
  <c r="G58" i="9" s="1"/>
  <c r="S57" i="9"/>
  <c r="V57" i="9" s="1"/>
  <c r="N57" i="9"/>
  <c r="C57" i="9"/>
  <c r="N56" i="9"/>
  <c r="G56" i="9"/>
  <c r="R55" i="9"/>
  <c r="Q55" i="9"/>
  <c r="P55" i="9"/>
  <c r="O55" i="9"/>
  <c r="M55" i="9"/>
  <c r="L55" i="9"/>
  <c r="K55" i="9"/>
  <c r="J55" i="9"/>
  <c r="I55" i="9"/>
  <c r="H55" i="9"/>
  <c r="F55" i="9"/>
  <c r="E55" i="9"/>
  <c r="D55" i="9"/>
  <c r="S54" i="9"/>
  <c r="N54" i="9"/>
  <c r="G54" i="9"/>
  <c r="S53" i="9"/>
  <c r="N53" i="9"/>
  <c r="G53" i="9"/>
  <c r="S52" i="9"/>
  <c r="N52" i="9"/>
  <c r="G52" i="9"/>
  <c r="S51" i="9"/>
  <c r="N51" i="9"/>
  <c r="G51" i="9"/>
  <c r="S50" i="9"/>
  <c r="N50" i="9"/>
  <c r="G50" i="9"/>
  <c r="N49" i="9"/>
  <c r="G49" i="9"/>
  <c r="S48" i="9"/>
  <c r="N48" i="9"/>
  <c r="G48" i="9"/>
  <c r="S47" i="9"/>
  <c r="N47" i="9"/>
  <c r="G47" i="9"/>
  <c r="S46" i="9"/>
  <c r="N46" i="9"/>
  <c r="G46" i="9"/>
  <c r="N45" i="9"/>
  <c r="G45" i="9"/>
  <c r="S44" i="9"/>
  <c r="N44" i="9"/>
  <c r="G44" i="9"/>
  <c r="S43" i="9"/>
  <c r="N43" i="9"/>
  <c r="G43" i="9"/>
  <c r="S42" i="9"/>
  <c r="N42" i="9"/>
  <c r="G42" i="9"/>
  <c r="S41" i="9"/>
  <c r="N41" i="9"/>
  <c r="G41" i="9"/>
  <c r="S40" i="9"/>
  <c r="N40" i="9"/>
  <c r="G40" i="9"/>
  <c r="N39" i="9"/>
  <c r="C39" i="9"/>
  <c r="C36" i="9" s="1"/>
  <c r="N38" i="9"/>
  <c r="G38" i="9"/>
  <c r="N37" i="9"/>
  <c r="G37" i="9"/>
  <c r="R36" i="9"/>
  <c r="Q36" i="9"/>
  <c r="O36" i="9"/>
  <c r="M36" i="9"/>
  <c r="L36" i="9"/>
  <c r="K36" i="9"/>
  <c r="J36" i="9"/>
  <c r="I36" i="9"/>
  <c r="H36" i="9"/>
  <c r="F36" i="9"/>
  <c r="E36" i="9"/>
  <c r="D36" i="9"/>
  <c r="N34" i="9"/>
  <c r="N33" i="9" s="1"/>
  <c r="G34" i="9"/>
  <c r="G33" i="9" s="1"/>
  <c r="R33" i="9"/>
  <c r="Q33" i="9"/>
  <c r="P33" i="9"/>
  <c r="M33" i="9"/>
  <c r="L33" i="9"/>
  <c r="K33" i="9"/>
  <c r="J33" i="9"/>
  <c r="I33" i="9"/>
  <c r="H33" i="9"/>
  <c r="F33" i="9"/>
  <c r="E33" i="9"/>
  <c r="D33" i="9"/>
  <c r="C33" i="9"/>
  <c r="N32" i="9"/>
  <c r="G32" i="9"/>
  <c r="N31" i="9"/>
  <c r="G31" i="9"/>
  <c r="R30" i="9"/>
  <c r="Q30" i="9"/>
  <c r="P30" i="9"/>
  <c r="M30" i="9"/>
  <c r="L30" i="9"/>
  <c r="K30" i="9"/>
  <c r="J30" i="9"/>
  <c r="I30" i="9"/>
  <c r="H30" i="9"/>
  <c r="F30" i="9"/>
  <c r="E30" i="9"/>
  <c r="D30" i="9"/>
  <c r="C30" i="9"/>
  <c r="T29" i="9"/>
  <c r="R27" i="9"/>
  <c r="Q27" i="9"/>
  <c r="P27" i="9"/>
  <c r="N27" i="9"/>
  <c r="M27" i="9"/>
  <c r="L27" i="9"/>
  <c r="K27" i="9"/>
  <c r="J27" i="9"/>
  <c r="I27" i="9"/>
  <c r="H27" i="9"/>
  <c r="G27" i="9"/>
  <c r="F27" i="9"/>
  <c r="E27" i="9"/>
  <c r="D27" i="9"/>
  <c r="C27" i="9"/>
  <c r="S26" i="9"/>
  <c r="S24" i="9" s="1"/>
  <c r="N26" i="9"/>
  <c r="G26" i="9"/>
  <c r="R24" i="9"/>
  <c r="P24" i="9"/>
  <c r="N25" i="9"/>
  <c r="G25" i="9"/>
  <c r="Q24" i="9"/>
  <c r="M24" i="9"/>
  <c r="L24" i="9"/>
  <c r="K24" i="9"/>
  <c r="J24" i="9"/>
  <c r="I24" i="9"/>
  <c r="H24" i="9"/>
  <c r="F24" i="9"/>
  <c r="E24" i="9"/>
  <c r="D24" i="9"/>
  <c r="C24" i="9"/>
  <c r="N23" i="9"/>
  <c r="G23" i="9"/>
  <c r="R21" i="9"/>
  <c r="P21" i="9"/>
  <c r="N22" i="9"/>
  <c r="G22" i="9"/>
  <c r="M21" i="9"/>
  <c r="L21" i="9"/>
  <c r="K21" i="9"/>
  <c r="J21" i="9"/>
  <c r="I21" i="9"/>
  <c r="H21" i="9"/>
  <c r="F21" i="9"/>
  <c r="E21" i="9"/>
  <c r="D21" i="9"/>
  <c r="C21" i="9"/>
  <c r="S20" i="9"/>
  <c r="S17" i="9" s="1"/>
  <c r="N20" i="9"/>
  <c r="G20" i="9"/>
  <c r="N19" i="9"/>
  <c r="G19" i="9"/>
  <c r="N18" i="9"/>
  <c r="G18" i="9"/>
  <c r="Q17" i="9"/>
  <c r="M17" i="9"/>
  <c r="L17" i="9"/>
  <c r="K17" i="9"/>
  <c r="J17" i="9"/>
  <c r="I17" i="9"/>
  <c r="H17" i="9"/>
  <c r="F17" i="9"/>
  <c r="E17" i="9"/>
  <c r="D17" i="9"/>
  <c r="C17" i="9"/>
  <c r="N13" i="9"/>
  <c r="G13" i="9"/>
  <c r="N12" i="9"/>
  <c r="F12" i="9"/>
  <c r="G12" i="9" s="1"/>
  <c r="N11" i="9"/>
  <c r="F11" i="9"/>
  <c r="G11" i="9" s="1"/>
  <c r="R10" i="9"/>
  <c r="Q10" i="9"/>
  <c r="P10" i="9"/>
  <c r="M10" i="9"/>
  <c r="L10" i="9"/>
  <c r="K10" i="9"/>
  <c r="J10" i="9"/>
  <c r="I10" i="9"/>
  <c r="H10" i="9"/>
  <c r="E10" i="9"/>
  <c r="D10" i="9"/>
  <c r="C10" i="9"/>
  <c r="O85" i="9" l="1"/>
  <c r="Q35" i="9"/>
  <c r="G92" i="9"/>
  <c r="O103" i="9"/>
  <c r="P95" i="9"/>
  <c r="H85" i="9"/>
  <c r="L85" i="9"/>
  <c r="P85" i="9"/>
  <c r="O35" i="9"/>
  <c r="S61" i="9"/>
  <c r="R35" i="9"/>
  <c r="P35" i="9"/>
  <c r="V37" i="9"/>
  <c r="S36" i="9"/>
  <c r="J61" i="8"/>
  <c r="T12" i="9"/>
  <c r="T10" i="9" s="1"/>
  <c r="Q95" i="9"/>
  <c r="Q85" i="9"/>
  <c r="T94" i="9"/>
  <c r="S77" i="9"/>
  <c r="V58" i="9"/>
  <c r="S55" i="9"/>
  <c r="S73" i="9"/>
  <c r="S23" i="9"/>
  <c r="S21" i="9" s="1"/>
  <c r="S9" i="9" s="1"/>
  <c r="F10" i="9"/>
  <c r="F9" i="9" s="1"/>
  <c r="T45" i="9"/>
  <c r="J35" i="9"/>
  <c r="D9" i="9"/>
  <c r="F35" i="9"/>
  <c r="K35" i="9"/>
  <c r="J9" i="9"/>
  <c r="T54" i="9"/>
  <c r="T80" i="9"/>
  <c r="G17" i="9"/>
  <c r="N21" i="9"/>
  <c r="T64" i="9"/>
  <c r="T50" i="9"/>
  <c r="T56" i="9"/>
  <c r="R95" i="9"/>
  <c r="G21" i="9"/>
  <c r="T68" i="9"/>
  <c r="T37" i="9"/>
  <c r="J34" i="8"/>
  <c r="K9" i="9"/>
  <c r="T20" i="9"/>
  <c r="T25" i="9"/>
  <c r="T34" i="9"/>
  <c r="T33" i="9" s="1"/>
  <c r="T79" i="9"/>
  <c r="T87" i="9"/>
  <c r="E85" i="9"/>
  <c r="J85" i="9"/>
  <c r="N85" i="9"/>
  <c r="R85" i="9"/>
  <c r="T91" i="9"/>
  <c r="K85" i="9"/>
  <c r="G95" i="9"/>
  <c r="T99" i="9"/>
  <c r="T102" i="9"/>
  <c r="Q103" i="9"/>
  <c r="S104" i="9"/>
  <c r="J103" i="9"/>
  <c r="J57" i="8"/>
  <c r="J56" i="8" s="1"/>
  <c r="T31" i="9"/>
  <c r="D85" i="9"/>
  <c r="I85" i="9"/>
  <c r="M85" i="9"/>
  <c r="I103" i="9"/>
  <c r="M103" i="9"/>
  <c r="J39" i="8"/>
  <c r="N10" i="9"/>
  <c r="H9" i="9"/>
  <c r="T42" i="9"/>
  <c r="T46" i="9"/>
  <c r="N61" i="9"/>
  <c r="T65" i="9"/>
  <c r="T69" i="9"/>
  <c r="G112" i="9"/>
  <c r="J51" i="8"/>
  <c r="J50" i="8" s="1"/>
  <c r="R103" i="9"/>
  <c r="T111" i="9"/>
  <c r="T110" i="9" s="1"/>
  <c r="K103" i="9"/>
  <c r="T93" i="9"/>
  <c r="T92" i="9" s="1"/>
  <c r="G89" i="9"/>
  <c r="C9" i="9"/>
  <c r="L9" i="9"/>
  <c r="T58" i="9"/>
  <c r="I35" i="9"/>
  <c r="T26" i="9"/>
  <c r="G39" i="9"/>
  <c r="T39" i="9" s="1"/>
  <c r="E103" i="9"/>
  <c r="T114" i="9"/>
  <c r="T118" i="9"/>
  <c r="E9" i="9"/>
  <c r="G24" i="9"/>
  <c r="N36" i="9"/>
  <c r="T40" i="9"/>
  <c r="T44" i="9"/>
  <c r="T48" i="9"/>
  <c r="T52" i="9"/>
  <c r="E35" i="9"/>
  <c r="T60" i="9"/>
  <c r="T63" i="9"/>
  <c r="T67" i="9"/>
  <c r="T71" i="9"/>
  <c r="T74" i="9"/>
  <c r="F103" i="9"/>
  <c r="T125" i="9"/>
  <c r="T124" i="9" s="1"/>
  <c r="T123" i="9" s="1"/>
  <c r="Q9" i="9"/>
  <c r="M35" i="9"/>
  <c r="T19" i="9"/>
  <c r="I9" i="9"/>
  <c r="M9" i="9"/>
  <c r="T28" i="9"/>
  <c r="T27" i="9" s="1"/>
  <c r="S92" i="9"/>
  <c r="N112" i="9"/>
  <c r="N17" i="9"/>
  <c r="H35" i="9"/>
  <c r="L35" i="9"/>
  <c r="T38" i="9"/>
  <c r="G61" i="9"/>
  <c r="T66" i="9"/>
  <c r="T70" i="9"/>
  <c r="G73" i="9"/>
  <c r="G86" i="9"/>
  <c r="F85" i="9"/>
  <c r="N104" i="9"/>
  <c r="D103" i="9"/>
  <c r="T116" i="9"/>
  <c r="G10" i="9"/>
  <c r="T90" i="9"/>
  <c r="T89" i="9" s="1"/>
  <c r="S89" i="9"/>
  <c r="N24" i="9"/>
  <c r="G30" i="9"/>
  <c r="T32" i="9"/>
  <c r="T43" i="9"/>
  <c r="T47" i="9"/>
  <c r="T51" i="9"/>
  <c r="C55" i="9"/>
  <c r="C35" i="9" s="1"/>
  <c r="G57" i="9"/>
  <c r="T57" i="9" s="1"/>
  <c r="T75" i="9"/>
  <c r="T82" i="9"/>
  <c r="T84" i="9"/>
  <c r="T83" i="9" s="1"/>
  <c r="S83" i="9"/>
  <c r="G104" i="9"/>
  <c r="T107" i="9"/>
  <c r="H103" i="9"/>
  <c r="L103" i="9"/>
  <c r="P103" i="9"/>
  <c r="T109" i="9"/>
  <c r="T108" i="9" s="1"/>
  <c r="T113" i="9"/>
  <c r="T117" i="9"/>
  <c r="D35" i="9"/>
  <c r="G77" i="9"/>
  <c r="T100" i="9"/>
  <c r="T106" i="9"/>
  <c r="S112" i="9"/>
  <c r="T122" i="9"/>
  <c r="T121" i="9" s="1"/>
  <c r="T120" i="9" s="1"/>
  <c r="G121" i="9"/>
  <c r="G120" i="9" s="1"/>
  <c r="S86" i="9"/>
  <c r="T88" i="9"/>
  <c r="N30" i="9"/>
  <c r="T41" i="9"/>
  <c r="T49" i="9"/>
  <c r="T53" i="9"/>
  <c r="N55" i="9"/>
  <c r="T59" i="9"/>
  <c r="T62" i="9"/>
  <c r="T76" i="9"/>
  <c r="T78" i="9"/>
  <c r="T81" i="9"/>
  <c r="G97" i="9"/>
  <c r="G98" i="9"/>
  <c r="T105" i="9"/>
  <c r="T115" i="9"/>
  <c r="T119" i="9"/>
  <c r="O126" i="9" l="1"/>
  <c r="G103" i="9"/>
  <c r="N103" i="9"/>
  <c r="S103" i="9"/>
  <c r="S85" i="9"/>
  <c r="S35" i="9"/>
  <c r="C126" i="9"/>
  <c r="C127" i="9" s="1"/>
  <c r="C128" i="9" s="1"/>
  <c r="O127" i="9"/>
  <c r="O128" i="9" s="1"/>
  <c r="K126" i="9"/>
  <c r="K127" i="9" s="1"/>
  <c r="K128" i="9" s="1"/>
  <c r="G96" i="9"/>
  <c r="T97" i="9"/>
  <c r="T96" i="9" s="1"/>
  <c r="J126" i="9"/>
  <c r="J127" i="9" s="1"/>
  <c r="J128" i="9" s="1"/>
  <c r="G85" i="9"/>
  <c r="D126" i="9"/>
  <c r="D127" i="9" s="1"/>
  <c r="D128" i="9" s="1"/>
  <c r="M126" i="9"/>
  <c r="M127" i="9" s="1"/>
  <c r="M128" i="9" s="1"/>
  <c r="T23" i="9"/>
  <c r="T86" i="9"/>
  <c r="T85" i="9" s="1"/>
  <c r="T24" i="9"/>
  <c r="H126" i="9"/>
  <c r="H127" i="9" s="1"/>
  <c r="H128" i="9" s="1"/>
  <c r="T22" i="9"/>
  <c r="T30" i="9"/>
  <c r="T98" i="9"/>
  <c r="G36" i="9"/>
  <c r="T55" i="9"/>
  <c r="I126" i="9"/>
  <c r="I127" i="9" s="1"/>
  <c r="I128" i="9" s="1"/>
  <c r="G9" i="9"/>
  <c r="Q126" i="9"/>
  <c r="Q127" i="9" s="1"/>
  <c r="Q128" i="9" s="1"/>
  <c r="N9" i="9"/>
  <c r="E126" i="9"/>
  <c r="E127" i="9" s="1"/>
  <c r="E128" i="9" s="1"/>
  <c r="L126" i="9"/>
  <c r="L127" i="9" s="1"/>
  <c r="L128" i="9" s="1"/>
  <c r="T61" i="9"/>
  <c r="N35" i="9"/>
  <c r="T73" i="9"/>
  <c r="F126" i="9"/>
  <c r="F127" i="9" s="1"/>
  <c r="F128" i="9" s="1"/>
  <c r="T104" i="9"/>
  <c r="T36" i="9"/>
  <c r="T77" i="9"/>
  <c r="T112" i="9"/>
  <c r="G55" i="9"/>
  <c r="T35" i="9" l="1"/>
  <c r="S126" i="9"/>
  <c r="S132" i="9" s="1"/>
  <c r="G35" i="9"/>
  <c r="G126" i="9" s="1"/>
  <c r="G127" i="9" s="1"/>
  <c r="G128" i="9" s="1"/>
  <c r="T21" i="9"/>
  <c r="T95" i="9"/>
  <c r="N126" i="9"/>
  <c r="N127" i="9" s="1"/>
  <c r="N128" i="9" s="1"/>
  <c r="T103" i="9"/>
  <c r="S127" i="9" l="1"/>
  <c r="S128" i="9" s="1"/>
  <c r="J55" i="8"/>
  <c r="J54" i="8" s="1"/>
  <c r="J53" i="8" s="1"/>
  <c r="J52" i="8" s="1"/>
  <c r="J16" i="8" l="1"/>
  <c r="K58" i="8"/>
  <c r="L50" i="7" l="1"/>
  <c r="M50" i="7" s="1"/>
  <c r="L52" i="7"/>
  <c r="M52" i="7" s="1"/>
  <c r="N52" i="7"/>
  <c r="N50" i="7" l="1"/>
  <c r="N47" i="7"/>
  <c r="L47" i="7"/>
  <c r="M47" i="7" s="1"/>
  <c r="N49" i="7"/>
  <c r="L49" i="7"/>
  <c r="M49" i="7" s="1"/>
  <c r="L48" i="7"/>
  <c r="M48" i="7" s="1"/>
  <c r="N48" i="7"/>
  <c r="N51" i="7"/>
  <c r="L51" i="7"/>
  <c r="M51" i="7" s="1"/>
  <c r="S1" i="7" l="1"/>
  <c r="S3" i="7" s="1"/>
  <c r="S4" i="7" s="1"/>
  <c r="S121" i="5"/>
  <c r="S120" i="5" s="1"/>
  <c r="S119" i="5" s="1"/>
  <c r="N121" i="5"/>
  <c r="N120" i="5" s="1"/>
  <c r="N119" i="5" s="1"/>
  <c r="G121" i="5"/>
  <c r="G120" i="5" s="1"/>
  <c r="G119" i="5" s="1"/>
  <c r="R120" i="5"/>
  <c r="R119" i="5" s="1"/>
  <c r="Q120" i="5"/>
  <c r="Q119" i="5" s="1"/>
  <c r="P120" i="5"/>
  <c r="P119" i="5" s="1"/>
  <c r="O120" i="5"/>
  <c r="O119" i="5" s="1"/>
  <c r="M120" i="5"/>
  <c r="M119" i="5" s="1"/>
  <c r="L120" i="5"/>
  <c r="L119" i="5" s="1"/>
  <c r="K120" i="5"/>
  <c r="K119" i="5" s="1"/>
  <c r="J120" i="5"/>
  <c r="J119" i="5" s="1"/>
  <c r="I120" i="5"/>
  <c r="I119" i="5" s="1"/>
  <c r="H120" i="5"/>
  <c r="H119" i="5" s="1"/>
  <c r="F120" i="5"/>
  <c r="F119" i="5" s="1"/>
  <c r="E120" i="5"/>
  <c r="E119" i="5" s="1"/>
  <c r="D120" i="5"/>
  <c r="D119" i="5" s="1"/>
  <c r="S118" i="5"/>
  <c r="N118" i="5"/>
  <c r="N117" i="5" s="1"/>
  <c r="N116" i="5" s="1"/>
  <c r="G118" i="5"/>
  <c r="G117" i="5" s="1"/>
  <c r="G116" i="5" s="1"/>
  <c r="R117" i="5"/>
  <c r="R116" i="5" s="1"/>
  <c r="Q117" i="5"/>
  <c r="Q116" i="5" s="1"/>
  <c r="P117" i="5"/>
  <c r="P116" i="5" s="1"/>
  <c r="O117" i="5"/>
  <c r="O116" i="5" s="1"/>
  <c r="L117" i="5"/>
  <c r="L116" i="5" s="1"/>
  <c r="K117" i="5"/>
  <c r="K116" i="5" s="1"/>
  <c r="J117" i="5"/>
  <c r="J116" i="5" s="1"/>
  <c r="I117" i="5"/>
  <c r="I116" i="5" s="1"/>
  <c r="H117" i="5"/>
  <c r="H116" i="5" s="1"/>
  <c r="F117" i="5"/>
  <c r="F116" i="5" s="1"/>
  <c r="E117" i="5"/>
  <c r="E116" i="5" s="1"/>
  <c r="D117" i="5"/>
  <c r="D116" i="5" s="1"/>
  <c r="S115" i="5"/>
  <c r="N115" i="5"/>
  <c r="G115" i="5"/>
  <c r="S114" i="5"/>
  <c r="N114" i="5"/>
  <c r="G114" i="5"/>
  <c r="S113" i="5"/>
  <c r="N113" i="5"/>
  <c r="G113" i="5"/>
  <c r="S112" i="5"/>
  <c r="N112" i="5"/>
  <c r="G112" i="5"/>
  <c r="S111" i="5"/>
  <c r="N111" i="5"/>
  <c r="G111" i="5"/>
  <c r="S110" i="5"/>
  <c r="N110" i="5"/>
  <c r="G110" i="5"/>
  <c r="S109" i="5"/>
  <c r="N109" i="5"/>
  <c r="G109" i="5"/>
  <c r="R108" i="5"/>
  <c r="Q108" i="5"/>
  <c r="P108" i="5"/>
  <c r="O108" i="5"/>
  <c r="M108" i="5"/>
  <c r="L108" i="5"/>
  <c r="K108" i="5"/>
  <c r="J108" i="5"/>
  <c r="I108" i="5"/>
  <c r="H108" i="5"/>
  <c r="F108" i="5"/>
  <c r="E108" i="5"/>
  <c r="D108" i="5"/>
  <c r="S107" i="5"/>
  <c r="S106" i="5" s="1"/>
  <c r="N107" i="5"/>
  <c r="N106" i="5" s="1"/>
  <c r="G107" i="5"/>
  <c r="G106" i="5" s="1"/>
  <c r="R106" i="5"/>
  <c r="Q106" i="5"/>
  <c r="P106" i="5"/>
  <c r="O106" i="5"/>
  <c r="M106" i="5"/>
  <c r="L106" i="5"/>
  <c r="K106" i="5"/>
  <c r="J106" i="5"/>
  <c r="I106" i="5"/>
  <c r="F106" i="5"/>
  <c r="E106" i="5"/>
  <c r="D106" i="5"/>
  <c r="S105" i="5"/>
  <c r="N105" i="5"/>
  <c r="N104" i="5" s="1"/>
  <c r="G105" i="5"/>
  <c r="R104" i="5"/>
  <c r="Q104" i="5"/>
  <c r="P104" i="5"/>
  <c r="O104" i="5"/>
  <c r="M104" i="5"/>
  <c r="L104" i="5"/>
  <c r="K104" i="5"/>
  <c r="J104" i="5"/>
  <c r="I104" i="5"/>
  <c r="H104" i="5"/>
  <c r="G104" i="5"/>
  <c r="F104" i="5"/>
  <c r="E104" i="5"/>
  <c r="D104" i="5"/>
  <c r="S103" i="5"/>
  <c r="N103" i="5"/>
  <c r="G103" i="5"/>
  <c r="S102" i="5"/>
  <c r="N102" i="5"/>
  <c r="G102" i="5"/>
  <c r="S101" i="5"/>
  <c r="N101" i="5"/>
  <c r="G101" i="5"/>
  <c r="R100" i="5"/>
  <c r="Q100" i="5"/>
  <c r="P100" i="5"/>
  <c r="O100" i="5"/>
  <c r="M100" i="5"/>
  <c r="L100" i="5"/>
  <c r="K100" i="5"/>
  <c r="J100" i="5"/>
  <c r="I100" i="5"/>
  <c r="H100" i="5"/>
  <c r="F100" i="5"/>
  <c r="E100" i="5"/>
  <c r="D100" i="5"/>
  <c r="S98" i="5"/>
  <c r="G98" i="5"/>
  <c r="S97" i="5"/>
  <c r="G97" i="5"/>
  <c r="S96" i="5"/>
  <c r="G96" i="5"/>
  <c r="R95" i="5"/>
  <c r="Q95" i="5"/>
  <c r="P95" i="5"/>
  <c r="O95" i="5"/>
  <c r="N95" i="5"/>
  <c r="M95" i="5"/>
  <c r="L95" i="5"/>
  <c r="K95" i="5"/>
  <c r="J95" i="5"/>
  <c r="I95" i="5"/>
  <c r="H95" i="5"/>
  <c r="F95" i="5"/>
  <c r="E95" i="5"/>
  <c r="D95" i="5"/>
  <c r="R94" i="5"/>
  <c r="R93" i="5" s="1"/>
  <c r="Q94" i="5"/>
  <c r="Q93" i="5" s="1"/>
  <c r="P94" i="5"/>
  <c r="O94" i="5"/>
  <c r="O93" i="5" s="1"/>
  <c r="D94" i="5"/>
  <c r="G94" i="5" s="1"/>
  <c r="G93" i="5" s="1"/>
  <c r="P93" i="5"/>
  <c r="N93" i="5"/>
  <c r="M93" i="5"/>
  <c r="L93" i="5"/>
  <c r="K93" i="5"/>
  <c r="J93" i="5"/>
  <c r="I93" i="5"/>
  <c r="H93" i="5"/>
  <c r="F93" i="5"/>
  <c r="F92" i="5" s="1"/>
  <c r="E93" i="5"/>
  <c r="E92" i="5" s="1"/>
  <c r="S91" i="5"/>
  <c r="G91" i="5"/>
  <c r="S90" i="5"/>
  <c r="G90" i="5"/>
  <c r="R89" i="5"/>
  <c r="Q89" i="5"/>
  <c r="P89" i="5"/>
  <c r="O89" i="5"/>
  <c r="N89" i="5"/>
  <c r="M89" i="5"/>
  <c r="L89" i="5"/>
  <c r="K89" i="5"/>
  <c r="J89" i="5"/>
  <c r="I89" i="5"/>
  <c r="H89" i="5"/>
  <c r="F89" i="5"/>
  <c r="E89" i="5"/>
  <c r="D89" i="5"/>
  <c r="S88" i="5"/>
  <c r="G88" i="5"/>
  <c r="S87" i="5"/>
  <c r="G87" i="5"/>
  <c r="R86" i="5"/>
  <c r="Q86" i="5"/>
  <c r="P86" i="5"/>
  <c r="O86" i="5"/>
  <c r="N86" i="5"/>
  <c r="M86" i="5"/>
  <c r="L86" i="5"/>
  <c r="K86" i="5"/>
  <c r="J86" i="5"/>
  <c r="I86" i="5"/>
  <c r="H86" i="5"/>
  <c r="F86" i="5"/>
  <c r="E86" i="5"/>
  <c r="D86" i="5"/>
  <c r="S85" i="5"/>
  <c r="G85" i="5"/>
  <c r="S84" i="5"/>
  <c r="G84" i="5"/>
  <c r="R83" i="5"/>
  <c r="Q83" i="5"/>
  <c r="Q82" i="5" s="1"/>
  <c r="P83" i="5"/>
  <c r="O83" i="5"/>
  <c r="N83" i="5"/>
  <c r="M83" i="5"/>
  <c r="M82" i="5" s="1"/>
  <c r="L83" i="5"/>
  <c r="K83" i="5"/>
  <c r="J83" i="5"/>
  <c r="I83" i="5"/>
  <c r="I82" i="5" s="1"/>
  <c r="H83" i="5"/>
  <c r="F83" i="5"/>
  <c r="E83" i="5"/>
  <c r="D83" i="5"/>
  <c r="D82" i="5" s="1"/>
  <c r="P82" i="5"/>
  <c r="F82" i="5"/>
  <c r="S81" i="5"/>
  <c r="G81" i="5"/>
  <c r="G80" i="5" s="1"/>
  <c r="R80" i="5"/>
  <c r="Q80" i="5"/>
  <c r="P80" i="5"/>
  <c r="O80" i="5"/>
  <c r="N80" i="5"/>
  <c r="M80" i="5"/>
  <c r="L80" i="5"/>
  <c r="K80" i="5"/>
  <c r="J80" i="5"/>
  <c r="I80" i="5"/>
  <c r="H80" i="5"/>
  <c r="F80" i="5"/>
  <c r="E80" i="5"/>
  <c r="D80" i="5"/>
  <c r="S79" i="5"/>
  <c r="G79" i="5"/>
  <c r="S78" i="5"/>
  <c r="G78" i="5"/>
  <c r="S77" i="5"/>
  <c r="G77" i="5"/>
  <c r="S76" i="5"/>
  <c r="G76" i="5"/>
  <c r="S75" i="5"/>
  <c r="G75" i="5"/>
  <c r="R74" i="5"/>
  <c r="Q74" i="5"/>
  <c r="P74" i="5"/>
  <c r="O74" i="5"/>
  <c r="N74" i="5"/>
  <c r="M74" i="5"/>
  <c r="L74" i="5"/>
  <c r="K74" i="5"/>
  <c r="J74" i="5"/>
  <c r="I74" i="5"/>
  <c r="H74" i="5"/>
  <c r="F74" i="5"/>
  <c r="E74" i="5"/>
  <c r="D74" i="5"/>
  <c r="S73" i="5"/>
  <c r="G73" i="5"/>
  <c r="S72" i="5"/>
  <c r="G72" i="5"/>
  <c r="S71" i="5"/>
  <c r="G71" i="5"/>
  <c r="R70" i="5"/>
  <c r="Q70" i="5"/>
  <c r="P70" i="5"/>
  <c r="O70" i="5"/>
  <c r="N70" i="5"/>
  <c r="M70" i="5"/>
  <c r="L70" i="5"/>
  <c r="K70" i="5"/>
  <c r="J70" i="5"/>
  <c r="I70" i="5"/>
  <c r="H70" i="5"/>
  <c r="F70" i="5"/>
  <c r="E70" i="5"/>
  <c r="D70" i="5"/>
  <c r="S69" i="5"/>
  <c r="N69" i="5"/>
  <c r="G69" i="5"/>
  <c r="S68" i="5"/>
  <c r="N68" i="5"/>
  <c r="G68" i="5"/>
  <c r="O67" i="5"/>
  <c r="S67" i="5" s="1"/>
  <c r="N67" i="5"/>
  <c r="G67" i="5"/>
  <c r="S66" i="5"/>
  <c r="N66" i="5"/>
  <c r="G66" i="5"/>
  <c r="S65" i="5"/>
  <c r="N65" i="5"/>
  <c r="G65" i="5"/>
  <c r="O64" i="5"/>
  <c r="S64" i="5" s="1"/>
  <c r="N64" i="5"/>
  <c r="G64" i="5"/>
  <c r="O63" i="5"/>
  <c r="S63" i="5" s="1"/>
  <c r="N63" i="5"/>
  <c r="G63" i="5"/>
  <c r="S62" i="5"/>
  <c r="N62" i="5"/>
  <c r="G62" i="5"/>
  <c r="S61" i="5"/>
  <c r="N61" i="5"/>
  <c r="G61" i="5"/>
  <c r="S60" i="5"/>
  <c r="N60" i="5"/>
  <c r="G60" i="5"/>
  <c r="R59" i="5"/>
  <c r="Q59" i="5"/>
  <c r="P59" i="5"/>
  <c r="M59" i="5"/>
  <c r="L59" i="5"/>
  <c r="K59" i="5"/>
  <c r="J59" i="5"/>
  <c r="I59" i="5"/>
  <c r="H59" i="5"/>
  <c r="F59" i="5"/>
  <c r="E59" i="5"/>
  <c r="D59" i="5"/>
  <c r="C59" i="5"/>
  <c r="S58" i="5"/>
  <c r="N58" i="5"/>
  <c r="G58" i="5"/>
  <c r="S57" i="5"/>
  <c r="N57" i="5"/>
  <c r="G57" i="5"/>
  <c r="S56" i="5"/>
  <c r="N56" i="5"/>
  <c r="C56" i="5"/>
  <c r="G56" i="5" s="1"/>
  <c r="S55" i="5"/>
  <c r="N55" i="5"/>
  <c r="C55" i="5"/>
  <c r="G55" i="5" s="1"/>
  <c r="S54" i="5"/>
  <c r="N54" i="5"/>
  <c r="G54" i="5"/>
  <c r="R53" i="5"/>
  <c r="Q53" i="5"/>
  <c r="P53" i="5"/>
  <c r="O53" i="5"/>
  <c r="M53" i="5"/>
  <c r="L53" i="5"/>
  <c r="K53" i="5"/>
  <c r="J53" i="5"/>
  <c r="I53" i="5"/>
  <c r="H53" i="5"/>
  <c r="F53" i="5"/>
  <c r="E53" i="5"/>
  <c r="D53" i="5"/>
  <c r="S52" i="5"/>
  <c r="N52" i="5"/>
  <c r="G52" i="5"/>
  <c r="S51" i="5"/>
  <c r="N51" i="5"/>
  <c r="G51" i="5"/>
  <c r="S50" i="5"/>
  <c r="N50" i="5"/>
  <c r="G50" i="5"/>
  <c r="S49" i="5"/>
  <c r="N49" i="5"/>
  <c r="G49" i="5"/>
  <c r="S48" i="5"/>
  <c r="N48" i="5"/>
  <c r="G48" i="5"/>
  <c r="S47" i="5"/>
  <c r="N47" i="5"/>
  <c r="G47" i="5"/>
  <c r="S46" i="5"/>
  <c r="N46" i="5"/>
  <c r="G46" i="5"/>
  <c r="S45" i="5"/>
  <c r="N45" i="5"/>
  <c r="G45" i="5"/>
  <c r="S44" i="5"/>
  <c r="N44" i="5"/>
  <c r="G44" i="5"/>
  <c r="S43" i="5"/>
  <c r="N43" i="5"/>
  <c r="G43" i="5"/>
  <c r="S42" i="5"/>
  <c r="N42" i="5"/>
  <c r="G42" i="5"/>
  <c r="S41" i="5"/>
  <c r="N41" i="5"/>
  <c r="G41" i="5"/>
  <c r="S40" i="5"/>
  <c r="N40" i="5"/>
  <c r="G40" i="5"/>
  <c r="S39" i="5"/>
  <c r="N39" i="5"/>
  <c r="G39" i="5"/>
  <c r="S38" i="5"/>
  <c r="N38" i="5"/>
  <c r="G38" i="5"/>
  <c r="S37" i="5"/>
  <c r="N37" i="5"/>
  <c r="C37" i="5"/>
  <c r="C34" i="5" s="1"/>
  <c r="S36" i="5"/>
  <c r="N36" i="5"/>
  <c r="G36" i="5"/>
  <c r="S35" i="5"/>
  <c r="N35" i="5"/>
  <c r="G35" i="5"/>
  <c r="R34" i="5"/>
  <c r="Q34" i="5"/>
  <c r="P34" i="5"/>
  <c r="P33" i="5" s="1"/>
  <c r="O34" i="5"/>
  <c r="M34" i="5"/>
  <c r="L34" i="5"/>
  <c r="K34" i="5"/>
  <c r="K33" i="5" s="1"/>
  <c r="J34" i="5"/>
  <c r="I34" i="5"/>
  <c r="H34" i="5"/>
  <c r="F34" i="5"/>
  <c r="E34" i="5"/>
  <c r="D34" i="5"/>
  <c r="S32" i="5"/>
  <c r="N32" i="5"/>
  <c r="N31" i="5" s="1"/>
  <c r="G32" i="5"/>
  <c r="G31" i="5" s="1"/>
  <c r="R31" i="5"/>
  <c r="Q31" i="5"/>
  <c r="P31" i="5"/>
  <c r="O31" i="5"/>
  <c r="M31" i="5"/>
  <c r="L31" i="5"/>
  <c r="K31" i="5"/>
  <c r="J31" i="5"/>
  <c r="I31" i="5"/>
  <c r="H31" i="5"/>
  <c r="F31" i="5"/>
  <c r="E31" i="5"/>
  <c r="D31" i="5"/>
  <c r="C31" i="5"/>
  <c r="S30" i="5"/>
  <c r="N30" i="5"/>
  <c r="G30" i="5"/>
  <c r="S29" i="5"/>
  <c r="N29" i="5"/>
  <c r="G29" i="5"/>
  <c r="R28" i="5"/>
  <c r="Q28" i="5"/>
  <c r="P28" i="5"/>
  <c r="O28" i="5"/>
  <c r="M28" i="5"/>
  <c r="L28" i="5"/>
  <c r="K28" i="5"/>
  <c r="J28" i="5"/>
  <c r="I28" i="5"/>
  <c r="H28" i="5"/>
  <c r="F28" i="5"/>
  <c r="E28" i="5"/>
  <c r="D28" i="5"/>
  <c r="C28" i="5"/>
  <c r="S27" i="5"/>
  <c r="T27" i="5" s="1"/>
  <c r="S26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O24" i="5"/>
  <c r="S24" i="5" s="1"/>
  <c r="N24" i="5"/>
  <c r="G24" i="5"/>
  <c r="R23" i="5"/>
  <c r="R22" i="5" s="1"/>
  <c r="Q23" i="5"/>
  <c r="Q22" i="5" s="1"/>
  <c r="P23" i="5"/>
  <c r="P22" i="5" s="1"/>
  <c r="O23" i="5"/>
  <c r="N23" i="5"/>
  <c r="G23" i="5"/>
  <c r="M22" i="5"/>
  <c r="L22" i="5"/>
  <c r="K22" i="5"/>
  <c r="J22" i="5"/>
  <c r="I22" i="5"/>
  <c r="H22" i="5"/>
  <c r="F22" i="5"/>
  <c r="E22" i="5"/>
  <c r="D22" i="5"/>
  <c r="C22" i="5"/>
  <c r="O21" i="5"/>
  <c r="S21" i="5" s="1"/>
  <c r="N21" i="5"/>
  <c r="G21" i="5"/>
  <c r="R20" i="5"/>
  <c r="R19" i="5" s="1"/>
  <c r="Q20" i="5"/>
  <c r="Q19" i="5" s="1"/>
  <c r="P20" i="5"/>
  <c r="P19" i="5" s="1"/>
  <c r="O20" i="5"/>
  <c r="N20" i="5"/>
  <c r="G20" i="5"/>
  <c r="M19" i="5"/>
  <c r="L19" i="5"/>
  <c r="K19" i="5"/>
  <c r="J19" i="5"/>
  <c r="I19" i="5"/>
  <c r="H19" i="5"/>
  <c r="F19" i="5"/>
  <c r="E19" i="5"/>
  <c r="D19" i="5"/>
  <c r="C19" i="5"/>
  <c r="S18" i="5"/>
  <c r="N18" i="5"/>
  <c r="G18" i="5"/>
  <c r="S17" i="5"/>
  <c r="N17" i="5"/>
  <c r="G17" i="5"/>
  <c r="S16" i="5"/>
  <c r="N16" i="5"/>
  <c r="G16" i="5"/>
  <c r="R15" i="5"/>
  <c r="Q15" i="5"/>
  <c r="P15" i="5"/>
  <c r="O15" i="5"/>
  <c r="M15" i="5"/>
  <c r="L15" i="5"/>
  <c r="K15" i="5"/>
  <c r="J15" i="5"/>
  <c r="I15" i="5"/>
  <c r="H15" i="5"/>
  <c r="F15" i="5"/>
  <c r="E15" i="5"/>
  <c r="D15" i="5"/>
  <c r="C15" i="5"/>
  <c r="S14" i="5"/>
  <c r="N14" i="5"/>
  <c r="G14" i="5"/>
  <c r="S13" i="5"/>
  <c r="N13" i="5"/>
  <c r="F13" i="5"/>
  <c r="G13" i="5" s="1"/>
  <c r="S12" i="5"/>
  <c r="N12" i="5"/>
  <c r="F12" i="5"/>
  <c r="G12" i="5" s="1"/>
  <c r="R11" i="5"/>
  <c r="Q11" i="5"/>
  <c r="P11" i="5"/>
  <c r="O11" i="5"/>
  <c r="M11" i="5"/>
  <c r="M10" i="5" s="1"/>
  <c r="L11" i="5"/>
  <c r="K11" i="5"/>
  <c r="J11" i="5"/>
  <c r="I11" i="5"/>
  <c r="I10" i="5" s="1"/>
  <c r="H11" i="5"/>
  <c r="E11" i="5"/>
  <c r="D11" i="5"/>
  <c r="C11" i="5"/>
  <c r="G17" i="3"/>
  <c r="G18" i="3"/>
  <c r="C19" i="3"/>
  <c r="D19" i="3"/>
  <c r="E19" i="3"/>
  <c r="F19" i="3"/>
  <c r="G20" i="3"/>
  <c r="G21" i="3"/>
  <c r="C22" i="3"/>
  <c r="D22" i="3"/>
  <c r="E22" i="3"/>
  <c r="F22" i="3"/>
  <c r="G23" i="3"/>
  <c r="G24" i="3"/>
  <c r="C25" i="3"/>
  <c r="D25" i="3"/>
  <c r="E25" i="3"/>
  <c r="F25" i="3"/>
  <c r="G25" i="3"/>
  <c r="C28" i="3"/>
  <c r="D28" i="3"/>
  <c r="E28" i="3"/>
  <c r="F28" i="3"/>
  <c r="G29" i="3"/>
  <c r="G30" i="3"/>
  <c r="C15" i="3"/>
  <c r="D15" i="3"/>
  <c r="E15" i="3"/>
  <c r="F15" i="3"/>
  <c r="G122" i="3"/>
  <c r="F121" i="3"/>
  <c r="F120" i="3" s="1"/>
  <c r="E121" i="3"/>
  <c r="E120" i="3" s="1"/>
  <c r="D121" i="3"/>
  <c r="D120" i="3" s="1"/>
  <c r="G119" i="3"/>
  <c r="F118" i="3"/>
  <c r="F117" i="3" s="1"/>
  <c r="E118" i="3"/>
  <c r="E117" i="3" s="1"/>
  <c r="D118" i="3"/>
  <c r="D117" i="3" s="1"/>
  <c r="G116" i="3"/>
  <c r="K116" i="3" s="1"/>
  <c r="G115" i="3"/>
  <c r="K115" i="3" s="1"/>
  <c r="G114" i="3"/>
  <c r="K114" i="3" s="1"/>
  <c r="G113" i="3"/>
  <c r="K113" i="3" s="1"/>
  <c r="G112" i="3"/>
  <c r="K112" i="3" s="1"/>
  <c r="G111" i="3"/>
  <c r="K111" i="3" s="1"/>
  <c r="G110" i="3"/>
  <c r="K110" i="3" s="1"/>
  <c r="F109" i="3"/>
  <c r="E109" i="3"/>
  <c r="D109" i="3"/>
  <c r="G108" i="3"/>
  <c r="F107" i="3"/>
  <c r="E107" i="3"/>
  <c r="D107" i="3"/>
  <c r="G106" i="3"/>
  <c r="F105" i="3"/>
  <c r="E105" i="3"/>
  <c r="D105" i="3"/>
  <c r="G104" i="3"/>
  <c r="K104" i="3" s="1"/>
  <c r="G103" i="3"/>
  <c r="K103" i="3" s="1"/>
  <c r="G102" i="3"/>
  <c r="K102" i="3" s="1"/>
  <c r="F101" i="3"/>
  <c r="E101" i="3"/>
  <c r="D101" i="3"/>
  <c r="G99" i="3"/>
  <c r="K99" i="3" s="1"/>
  <c r="G98" i="3"/>
  <c r="K98" i="3" s="1"/>
  <c r="G97" i="3"/>
  <c r="K97" i="3" s="1"/>
  <c r="F96" i="3"/>
  <c r="E96" i="3"/>
  <c r="D96" i="3"/>
  <c r="F94" i="3"/>
  <c r="E94" i="3"/>
  <c r="G92" i="3"/>
  <c r="K92" i="3" s="1"/>
  <c r="G91" i="3"/>
  <c r="K91" i="3" s="1"/>
  <c r="F90" i="3"/>
  <c r="E90" i="3"/>
  <c r="D90" i="3"/>
  <c r="G89" i="3"/>
  <c r="K89" i="3" s="1"/>
  <c r="G88" i="3"/>
  <c r="K88" i="3" s="1"/>
  <c r="F87" i="3"/>
  <c r="E87" i="3"/>
  <c r="D87" i="3"/>
  <c r="G86" i="3"/>
  <c r="K86" i="3" s="1"/>
  <c r="G85" i="3"/>
  <c r="K85" i="3" s="1"/>
  <c r="F84" i="3"/>
  <c r="E84" i="3"/>
  <c r="D84" i="3"/>
  <c r="G82" i="3"/>
  <c r="F81" i="3"/>
  <c r="E81" i="3"/>
  <c r="D81" i="3"/>
  <c r="G80" i="3"/>
  <c r="K80" i="3" s="1"/>
  <c r="G79" i="3"/>
  <c r="K79" i="3" s="1"/>
  <c r="G78" i="3"/>
  <c r="K78" i="3" s="1"/>
  <c r="G77" i="3"/>
  <c r="K77" i="3" s="1"/>
  <c r="G76" i="3"/>
  <c r="K76" i="3" s="1"/>
  <c r="F75" i="3"/>
  <c r="E75" i="3"/>
  <c r="D75" i="3"/>
  <c r="G74" i="3"/>
  <c r="K74" i="3" s="1"/>
  <c r="G73" i="3"/>
  <c r="K73" i="3" s="1"/>
  <c r="G72" i="3"/>
  <c r="K72" i="3" s="1"/>
  <c r="F71" i="3"/>
  <c r="E71" i="3"/>
  <c r="D71" i="3"/>
  <c r="G70" i="3"/>
  <c r="K70" i="3" s="1"/>
  <c r="G69" i="3"/>
  <c r="K69" i="3" s="1"/>
  <c r="G68" i="3"/>
  <c r="K68" i="3" s="1"/>
  <c r="G67" i="3"/>
  <c r="K67" i="3" s="1"/>
  <c r="G66" i="3"/>
  <c r="K66" i="3" s="1"/>
  <c r="G65" i="3"/>
  <c r="K65" i="3" s="1"/>
  <c r="G64" i="3"/>
  <c r="K64" i="3" s="1"/>
  <c r="G63" i="3"/>
  <c r="K63" i="3" s="1"/>
  <c r="G62" i="3"/>
  <c r="K62" i="3" s="1"/>
  <c r="G61" i="3"/>
  <c r="K61" i="3" s="1"/>
  <c r="F60" i="3"/>
  <c r="E60" i="3"/>
  <c r="D60" i="3"/>
  <c r="G58" i="3"/>
  <c r="K58" i="3" s="1"/>
  <c r="G57" i="3"/>
  <c r="K57" i="3" s="1"/>
  <c r="G56" i="3"/>
  <c r="F54" i="3"/>
  <c r="E54" i="3"/>
  <c r="D54" i="3"/>
  <c r="G53" i="3"/>
  <c r="K52" i="3"/>
  <c r="G50" i="3"/>
  <c r="K50" i="3" s="1"/>
  <c r="G49" i="3"/>
  <c r="K49" i="3" s="1"/>
  <c r="G48" i="3"/>
  <c r="K48" i="3" s="1"/>
  <c r="G45" i="3"/>
  <c r="K45" i="3" s="1"/>
  <c r="G44" i="3"/>
  <c r="K44" i="3" s="1"/>
  <c r="K42" i="3"/>
  <c r="G41" i="3"/>
  <c r="K41" i="3" s="1"/>
  <c r="G40" i="3"/>
  <c r="K40" i="3" s="1"/>
  <c r="G39" i="3"/>
  <c r="K39" i="3" s="1"/>
  <c r="K38" i="3"/>
  <c r="K37" i="3"/>
  <c r="G36" i="3"/>
  <c r="G35" i="3"/>
  <c r="F34" i="3"/>
  <c r="E34" i="3"/>
  <c r="D34" i="3"/>
  <c r="F31" i="3"/>
  <c r="E31" i="3"/>
  <c r="D31" i="3"/>
  <c r="E11" i="3"/>
  <c r="D11" i="3"/>
  <c r="G120" i="1"/>
  <c r="G117" i="1"/>
  <c r="G114" i="1"/>
  <c r="G113" i="1"/>
  <c r="G112" i="1"/>
  <c r="G111" i="1"/>
  <c r="G110" i="1"/>
  <c r="G109" i="1"/>
  <c r="G108" i="1"/>
  <c r="G106" i="1"/>
  <c r="G104" i="1"/>
  <c r="G102" i="1"/>
  <c r="G101" i="1"/>
  <c r="G100" i="1"/>
  <c r="G97" i="1"/>
  <c r="G96" i="1"/>
  <c r="G95" i="1"/>
  <c r="G90" i="1"/>
  <c r="G89" i="1"/>
  <c r="G87" i="1"/>
  <c r="G86" i="1"/>
  <c r="G84" i="1"/>
  <c r="G83" i="1"/>
  <c r="G80" i="1"/>
  <c r="G78" i="1"/>
  <c r="G77" i="1"/>
  <c r="G76" i="1"/>
  <c r="G75" i="1"/>
  <c r="G74" i="1"/>
  <c r="G72" i="1"/>
  <c r="G71" i="1"/>
  <c r="G70" i="1"/>
  <c r="G13" i="1"/>
  <c r="S120" i="1"/>
  <c r="S117" i="1"/>
  <c r="S114" i="1"/>
  <c r="S113" i="1"/>
  <c r="S112" i="1"/>
  <c r="S111" i="1"/>
  <c r="S110" i="1"/>
  <c r="S109" i="1"/>
  <c r="S108" i="1"/>
  <c r="S106" i="1"/>
  <c r="S104" i="1"/>
  <c r="S102" i="1"/>
  <c r="S101" i="1"/>
  <c r="S100" i="1"/>
  <c r="S97" i="1"/>
  <c r="S96" i="1"/>
  <c r="T96" i="1" s="1"/>
  <c r="S95" i="1"/>
  <c r="S90" i="1"/>
  <c r="T90" i="1" s="1"/>
  <c r="S89" i="1"/>
  <c r="S87" i="1"/>
  <c r="S86" i="1"/>
  <c r="S84" i="1"/>
  <c r="S83" i="1"/>
  <c r="S80" i="1"/>
  <c r="S78" i="1"/>
  <c r="S77" i="1"/>
  <c r="T77" i="1" s="1"/>
  <c r="S76" i="1"/>
  <c r="S75" i="1"/>
  <c r="S74" i="1"/>
  <c r="S72" i="1"/>
  <c r="S71" i="1"/>
  <c r="S70" i="1"/>
  <c r="T70" i="1" s="1"/>
  <c r="S68" i="1"/>
  <c r="S67" i="1"/>
  <c r="S65" i="1"/>
  <c r="S64" i="1"/>
  <c r="S61" i="1"/>
  <c r="S60" i="1"/>
  <c r="S59" i="1"/>
  <c r="S57" i="1"/>
  <c r="S56" i="1"/>
  <c r="S55" i="1"/>
  <c r="S54" i="1"/>
  <c r="S53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1" i="1"/>
  <c r="S29" i="1"/>
  <c r="S28" i="1"/>
  <c r="S26" i="1"/>
  <c r="T26" i="1" s="1"/>
  <c r="S25" i="1"/>
  <c r="S17" i="1"/>
  <c r="S16" i="1"/>
  <c r="S15" i="1"/>
  <c r="S12" i="1"/>
  <c r="S13" i="1"/>
  <c r="S11" i="1"/>
  <c r="T97" i="1"/>
  <c r="T89" i="1"/>
  <c r="T72" i="1"/>
  <c r="T25" i="1"/>
  <c r="N104" i="1"/>
  <c r="N112" i="1"/>
  <c r="N100" i="1"/>
  <c r="J107" i="1"/>
  <c r="K107" i="1"/>
  <c r="L107" i="1"/>
  <c r="M107" i="1"/>
  <c r="I107" i="1"/>
  <c r="N114" i="1"/>
  <c r="T114" i="1" s="1"/>
  <c r="N113" i="1"/>
  <c r="N120" i="1"/>
  <c r="N117" i="1"/>
  <c r="T117" i="1" s="1"/>
  <c r="N111" i="1"/>
  <c r="N110" i="1"/>
  <c r="T110" i="1" s="1"/>
  <c r="N109" i="1"/>
  <c r="N108" i="1"/>
  <c r="N106" i="1"/>
  <c r="N105" i="1" s="1"/>
  <c r="N101" i="1"/>
  <c r="N102" i="1"/>
  <c r="T71" i="1" l="1"/>
  <c r="T84" i="5"/>
  <c r="E93" i="3"/>
  <c r="G94" i="3"/>
  <c r="K94" i="3" s="1"/>
  <c r="G54" i="3"/>
  <c r="G34" i="3"/>
  <c r="E99" i="5"/>
  <c r="O99" i="5"/>
  <c r="H99" i="5"/>
  <c r="L99" i="5"/>
  <c r="T83" i="1"/>
  <c r="J10" i="5"/>
  <c r="T111" i="1"/>
  <c r="G15" i="3"/>
  <c r="D33" i="5"/>
  <c r="I33" i="5"/>
  <c r="M33" i="5"/>
  <c r="G83" i="5"/>
  <c r="K53" i="3"/>
  <c r="G11" i="5"/>
  <c r="G69" i="1"/>
  <c r="T72" i="5"/>
  <c r="E82" i="5"/>
  <c r="R99" i="5"/>
  <c r="G70" i="5"/>
  <c r="F99" i="5"/>
  <c r="L10" i="5"/>
  <c r="G28" i="5"/>
  <c r="S70" i="5"/>
  <c r="S53" i="5"/>
  <c r="T60" i="5"/>
  <c r="G59" i="5"/>
  <c r="T66" i="5"/>
  <c r="G95" i="5"/>
  <c r="G121" i="3"/>
  <c r="K122" i="3"/>
  <c r="T109" i="1"/>
  <c r="G105" i="3"/>
  <c r="K105" i="3" s="1"/>
  <c r="K106" i="3"/>
  <c r="G107" i="3"/>
  <c r="K107" i="3" s="1"/>
  <c r="K108" i="3"/>
  <c r="H33" i="5"/>
  <c r="L33" i="5"/>
  <c r="Q33" i="5"/>
  <c r="T35" i="5"/>
  <c r="G86" i="5"/>
  <c r="T97" i="5"/>
  <c r="O19" i="5"/>
  <c r="J82" i="5"/>
  <c r="N82" i="5"/>
  <c r="R82" i="5"/>
  <c r="S100" i="5"/>
  <c r="T101" i="1"/>
  <c r="G81" i="3"/>
  <c r="K81" i="3" s="1"/>
  <c r="K82" i="3"/>
  <c r="G118" i="3"/>
  <c r="K119" i="3"/>
  <c r="C10" i="5"/>
  <c r="N28" i="5"/>
  <c r="T30" i="5"/>
  <c r="T68" i="5"/>
  <c r="T76" i="5"/>
  <c r="T78" i="5"/>
  <c r="M99" i="5"/>
  <c r="M122" i="5" s="1"/>
  <c r="M123" i="5" s="1"/>
  <c r="M124" i="5" s="1"/>
  <c r="K56" i="3"/>
  <c r="F93" i="3"/>
  <c r="K95" i="3"/>
  <c r="T95" i="1"/>
  <c r="G22" i="3"/>
  <c r="N11" i="5"/>
  <c r="H10" i="5"/>
  <c r="S15" i="5"/>
  <c r="O22" i="5"/>
  <c r="S25" i="5"/>
  <c r="R33" i="5"/>
  <c r="T96" i="5"/>
  <c r="K99" i="5"/>
  <c r="P99" i="5"/>
  <c r="T101" i="5"/>
  <c r="N108" i="5"/>
  <c r="T110" i="5"/>
  <c r="T114" i="5"/>
  <c r="Q10" i="5"/>
  <c r="N19" i="5"/>
  <c r="T26" i="5"/>
  <c r="T25" i="5" s="1"/>
  <c r="H82" i="5"/>
  <c r="L82" i="5"/>
  <c r="L122" i="5" s="1"/>
  <c r="L123" i="5" s="1"/>
  <c r="L124" i="5" s="1"/>
  <c r="Q99" i="5"/>
  <c r="N34" i="5"/>
  <c r="T50" i="5"/>
  <c r="T57" i="5"/>
  <c r="T105" i="5"/>
  <c r="T104" i="5" s="1"/>
  <c r="I99" i="5"/>
  <c r="I122" i="5" s="1"/>
  <c r="I123" i="5" s="1"/>
  <c r="I124" i="5" s="1"/>
  <c r="K10" i="5"/>
  <c r="N59" i="5"/>
  <c r="T64" i="5"/>
  <c r="T102" i="5"/>
  <c r="N100" i="5"/>
  <c r="J99" i="5"/>
  <c r="G53" i="5"/>
  <c r="T113" i="1"/>
  <c r="T112" i="1"/>
  <c r="T75" i="1"/>
  <c r="T87" i="1"/>
  <c r="D10" i="5"/>
  <c r="R10" i="5"/>
  <c r="G19" i="5"/>
  <c r="T29" i="5"/>
  <c r="T28" i="5" s="1"/>
  <c r="E33" i="5"/>
  <c r="J33" i="5"/>
  <c r="G37" i="5"/>
  <c r="G34" i="5" s="1"/>
  <c r="C53" i="5"/>
  <c r="C33" i="5" s="1"/>
  <c r="C122" i="5" s="1"/>
  <c r="C123" i="5" s="1"/>
  <c r="C124" i="5" s="1"/>
  <c r="S104" i="5"/>
  <c r="T109" i="5"/>
  <c r="T113" i="5"/>
  <c r="N99" i="1"/>
  <c r="S99" i="1"/>
  <c r="D10" i="3"/>
  <c r="E33" i="3"/>
  <c r="D100" i="3"/>
  <c r="F100" i="3"/>
  <c r="E10" i="5"/>
  <c r="E122" i="5" s="1"/>
  <c r="E123" i="5" s="1"/>
  <c r="E124" i="5" s="1"/>
  <c r="N22" i="5"/>
  <c r="S28" i="5"/>
  <c r="T32" i="5"/>
  <c r="T31" i="5" s="1"/>
  <c r="F33" i="5"/>
  <c r="T40" i="5"/>
  <c r="T44" i="5"/>
  <c r="T48" i="5"/>
  <c r="T52" i="5"/>
  <c r="O59" i="5"/>
  <c r="O33" i="5" s="1"/>
  <c r="T75" i="5"/>
  <c r="T77" i="5"/>
  <c r="T79" i="5"/>
  <c r="T81" i="5"/>
  <c r="T80" i="5" s="1"/>
  <c r="K82" i="5"/>
  <c r="O82" i="5"/>
  <c r="S83" i="5"/>
  <c r="T91" i="5"/>
  <c r="S94" i="5"/>
  <c r="T94" i="5" s="1"/>
  <c r="T93" i="5" s="1"/>
  <c r="S95" i="5"/>
  <c r="T98" i="5"/>
  <c r="D99" i="5"/>
  <c r="S108" i="5"/>
  <c r="T112" i="5"/>
  <c r="T118" i="5"/>
  <c r="T117" i="5" s="1"/>
  <c r="T116" i="5" s="1"/>
  <c r="T120" i="1"/>
  <c r="T108" i="1"/>
  <c r="T86" i="1"/>
  <c r="S23" i="5"/>
  <c r="T23" i="5" s="1"/>
  <c r="T69" i="5"/>
  <c r="G89" i="5"/>
  <c r="G82" i="5" s="1"/>
  <c r="D93" i="5"/>
  <c r="D92" i="5" s="1"/>
  <c r="G92" i="5" s="1"/>
  <c r="T103" i="5"/>
  <c r="T107" i="5"/>
  <c r="T106" i="5" s="1"/>
  <c r="G108" i="5"/>
  <c r="T111" i="5"/>
  <c r="T115" i="5"/>
  <c r="S117" i="5"/>
  <c r="S116" i="5" s="1"/>
  <c r="T121" i="5"/>
  <c r="T120" i="5" s="1"/>
  <c r="T119" i="5" s="1"/>
  <c r="S11" i="5"/>
  <c r="N15" i="5"/>
  <c r="N10" i="5" s="1"/>
  <c r="T17" i="5"/>
  <c r="T21" i="5"/>
  <c r="G22" i="5"/>
  <c r="T36" i="5"/>
  <c r="T39" i="5"/>
  <c r="T43" i="5"/>
  <c r="T47" i="5"/>
  <c r="T51" i="5"/>
  <c r="T54" i="5"/>
  <c r="T55" i="5"/>
  <c r="T58" i="5"/>
  <c r="T61" i="5"/>
  <c r="T67" i="5"/>
  <c r="T88" i="5"/>
  <c r="T90" i="5"/>
  <c r="T89" i="5" s="1"/>
  <c r="T38" i="5"/>
  <c r="T42" i="5"/>
  <c r="T46" i="5"/>
  <c r="P10" i="5"/>
  <c r="P122" i="5" s="1"/>
  <c r="P123" i="5" s="1"/>
  <c r="P124" i="5" s="1"/>
  <c r="T24" i="5"/>
  <c r="S31" i="5"/>
  <c r="S34" i="5"/>
  <c r="T41" i="5"/>
  <c r="T45" i="5"/>
  <c r="T49" i="5"/>
  <c r="T56" i="5"/>
  <c r="T65" i="5"/>
  <c r="T71" i="5"/>
  <c r="G74" i="5"/>
  <c r="T85" i="5"/>
  <c r="T83" i="5" s="1"/>
  <c r="T87" i="5"/>
  <c r="T14" i="5"/>
  <c r="G15" i="5"/>
  <c r="T18" i="5"/>
  <c r="N53" i="5"/>
  <c r="N33" i="5" s="1"/>
  <c r="T62" i="5"/>
  <c r="T73" i="5"/>
  <c r="S20" i="5"/>
  <c r="S93" i="5"/>
  <c r="S92" i="5" s="1"/>
  <c r="T16" i="5"/>
  <c r="S59" i="5"/>
  <c r="T63" i="5"/>
  <c r="F11" i="5"/>
  <c r="F10" i="5" s="1"/>
  <c r="T12" i="5"/>
  <c r="T13" i="5"/>
  <c r="S74" i="5"/>
  <c r="S80" i="5"/>
  <c r="S86" i="5"/>
  <c r="G100" i="5"/>
  <c r="S89" i="5"/>
  <c r="F83" i="3"/>
  <c r="G90" i="3"/>
  <c r="K90" i="3" s="1"/>
  <c r="E100" i="3"/>
  <c r="G109" i="3"/>
  <c r="K109" i="3" s="1"/>
  <c r="G19" i="3"/>
  <c r="F33" i="3"/>
  <c r="G28" i="3"/>
  <c r="G87" i="3"/>
  <c r="K87" i="3" s="1"/>
  <c r="G75" i="3"/>
  <c r="K75" i="3" s="1"/>
  <c r="G96" i="3"/>
  <c r="K96" i="3" s="1"/>
  <c r="E83" i="3"/>
  <c r="E10" i="3"/>
  <c r="D83" i="3"/>
  <c r="C10" i="3"/>
  <c r="C123" i="3" s="1"/>
  <c r="G71" i="3"/>
  <c r="K71" i="3" s="1"/>
  <c r="G101" i="3"/>
  <c r="K101" i="3" s="1"/>
  <c r="D33" i="3"/>
  <c r="G60" i="3"/>
  <c r="K60" i="3" s="1"/>
  <c r="G84" i="3"/>
  <c r="K84" i="3" s="1"/>
  <c r="K54" i="3"/>
  <c r="F11" i="3"/>
  <c r="T106" i="1"/>
  <c r="T84" i="1"/>
  <c r="T100" i="1"/>
  <c r="T74" i="1"/>
  <c r="T78" i="1"/>
  <c r="N107" i="1"/>
  <c r="T76" i="1"/>
  <c r="T102" i="1"/>
  <c r="T104" i="1"/>
  <c r="T80" i="1"/>
  <c r="S103" i="1"/>
  <c r="G93" i="3" l="1"/>
  <c r="E123" i="3"/>
  <c r="E124" i="3" s="1"/>
  <c r="E125" i="3" s="1"/>
  <c r="D123" i="3"/>
  <c r="D124" i="3" s="1"/>
  <c r="D125" i="3" s="1"/>
  <c r="G33" i="3"/>
  <c r="R122" i="5"/>
  <c r="R123" i="5" s="1"/>
  <c r="R124" i="5" s="1"/>
  <c r="G99" i="5"/>
  <c r="T86" i="5"/>
  <c r="T82" i="5" s="1"/>
  <c r="G10" i="3"/>
  <c r="O10" i="5"/>
  <c r="O122" i="5" s="1"/>
  <c r="O123" i="5" s="1"/>
  <c r="O124" i="5" s="1"/>
  <c r="T70" i="5"/>
  <c r="K122" i="5"/>
  <c r="K123" i="5" s="1"/>
  <c r="K124" i="5" s="1"/>
  <c r="T100" i="5"/>
  <c r="G10" i="5"/>
  <c r="T37" i="5"/>
  <c r="J122" i="5"/>
  <c r="J123" i="5" s="1"/>
  <c r="J124" i="5" s="1"/>
  <c r="G117" i="3"/>
  <c r="K117" i="3" s="1"/>
  <c r="K118" i="3"/>
  <c r="F122" i="5"/>
  <c r="F123" i="5" s="1"/>
  <c r="F124" i="5" s="1"/>
  <c r="S22" i="5"/>
  <c r="G120" i="3"/>
  <c r="K120" i="3" s="1"/>
  <c r="K121" i="3"/>
  <c r="G100" i="3"/>
  <c r="K100" i="3" s="1"/>
  <c r="T34" i="5"/>
  <c r="T95" i="5"/>
  <c r="T92" i="5" s="1"/>
  <c r="T74" i="5"/>
  <c r="S99" i="5"/>
  <c r="N99" i="5"/>
  <c r="N122" i="5" s="1"/>
  <c r="N123" i="5" s="1"/>
  <c r="N124" i="5" s="1"/>
  <c r="N127" i="5" s="1"/>
  <c r="Q122" i="5"/>
  <c r="Q123" i="5" s="1"/>
  <c r="Q124" i="5" s="1"/>
  <c r="H122" i="5"/>
  <c r="H123" i="5" s="1"/>
  <c r="H124" i="5" s="1"/>
  <c r="T22" i="5"/>
  <c r="G83" i="3"/>
  <c r="K83" i="3" s="1"/>
  <c r="T11" i="5"/>
  <c r="T59" i="5"/>
  <c r="T15" i="5"/>
  <c r="G33" i="5"/>
  <c r="T108" i="5"/>
  <c r="D122" i="5"/>
  <c r="D123" i="5" s="1"/>
  <c r="D124" i="5" s="1"/>
  <c r="S33" i="5"/>
  <c r="T53" i="5"/>
  <c r="S82" i="5"/>
  <c r="S19" i="5"/>
  <c r="S10" i="5" s="1"/>
  <c r="T20" i="5"/>
  <c r="T19" i="5" s="1"/>
  <c r="F10" i="3"/>
  <c r="G123" i="3" l="1"/>
  <c r="F123" i="3"/>
  <c r="F124" i="3" s="1"/>
  <c r="F125" i="3" s="1"/>
  <c r="C124" i="3"/>
  <c r="C125" i="3" s="1"/>
  <c r="T99" i="5"/>
  <c r="G122" i="5"/>
  <c r="G123" i="5" s="1"/>
  <c r="G124" i="5" s="1"/>
  <c r="T33" i="5"/>
  <c r="K93" i="3"/>
  <c r="T10" i="5"/>
  <c r="S122" i="5"/>
  <c r="S123" i="5" s="1"/>
  <c r="S124" i="5" s="1"/>
  <c r="T122" i="5" l="1"/>
  <c r="T123" i="5" s="1"/>
  <c r="T124" i="5" s="1"/>
  <c r="G124" i="3"/>
  <c r="G125" i="3" s="1"/>
  <c r="K123" i="3"/>
  <c r="S105" i="1"/>
  <c r="S94" i="1"/>
  <c r="S79" i="1"/>
  <c r="S30" i="1"/>
  <c r="S27" i="1"/>
  <c r="S62" i="1"/>
  <c r="S66" i="1"/>
  <c r="S63" i="1"/>
  <c r="F128" i="3" l="1"/>
  <c r="G129" i="3"/>
  <c r="K124" i="3"/>
  <c r="S107" i="1"/>
  <c r="S98" i="1" s="1"/>
  <c r="S24" i="1"/>
  <c r="S33" i="1"/>
  <c r="T69" i="1"/>
  <c r="K125" i="3" l="1"/>
  <c r="C36" i="1"/>
  <c r="F12" i="1"/>
  <c r="G12" i="1" s="1"/>
  <c r="C30" i="1"/>
  <c r="O24" i="1"/>
  <c r="C10" i="1"/>
  <c r="G42" i="1"/>
  <c r="C54" i="1"/>
  <c r="C55" i="1"/>
  <c r="D93" i="1"/>
  <c r="G93" i="1" s="1"/>
  <c r="R93" i="1"/>
  <c r="Q93" i="1"/>
  <c r="P93" i="1"/>
  <c r="O93" i="1"/>
  <c r="O22" i="1"/>
  <c r="O21" i="1" s="1"/>
  <c r="O23" i="1"/>
  <c r="S23" i="1" s="1"/>
  <c r="O20" i="1"/>
  <c r="S20" i="1" s="1"/>
  <c r="R19" i="1"/>
  <c r="R18" i="1" s="1"/>
  <c r="Q19" i="1"/>
  <c r="Q18" i="1" s="1"/>
  <c r="P19" i="1"/>
  <c r="P18" i="1" s="1"/>
  <c r="O19" i="1"/>
  <c r="R22" i="1"/>
  <c r="P22" i="1"/>
  <c r="Q22" i="1"/>
  <c r="C18" i="1"/>
  <c r="S19" i="1" l="1"/>
  <c r="S18" i="1" s="1"/>
  <c r="O18" i="1"/>
  <c r="S93" i="1"/>
  <c r="T93" i="1" s="1"/>
  <c r="T92" i="1" s="1"/>
  <c r="S22" i="1"/>
  <c r="S92" i="1" l="1"/>
  <c r="S91" i="1" s="1"/>
  <c r="S21" i="1"/>
  <c r="T119" i="1"/>
  <c r="T118" i="1" s="1"/>
  <c r="S119" i="1"/>
  <c r="S118" i="1" s="1"/>
  <c r="R119" i="1"/>
  <c r="R118" i="1" s="1"/>
  <c r="Q119" i="1"/>
  <c r="Q118" i="1" s="1"/>
  <c r="P119" i="1"/>
  <c r="P118" i="1" s="1"/>
  <c r="O119" i="1"/>
  <c r="O118" i="1" s="1"/>
  <c r="N119" i="1"/>
  <c r="N118" i="1" s="1"/>
  <c r="M119" i="1"/>
  <c r="M118" i="1" s="1"/>
  <c r="L119" i="1"/>
  <c r="L118" i="1" s="1"/>
  <c r="K119" i="1"/>
  <c r="K118" i="1" s="1"/>
  <c r="J119" i="1"/>
  <c r="J118" i="1" s="1"/>
  <c r="I119" i="1"/>
  <c r="I118" i="1" s="1"/>
  <c r="H119" i="1"/>
  <c r="H118" i="1" s="1"/>
  <c r="G119" i="1"/>
  <c r="G118" i="1" s="1"/>
  <c r="F119" i="1"/>
  <c r="F118" i="1" s="1"/>
  <c r="E119" i="1"/>
  <c r="E118" i="1" s="1"/>
  <c r="D119" i="1"/>
  <c r="D118" i="1" s="1"/>
  <c r="T116" i="1"/>
  <c r="T115" i="1" s="1"/>
  <c r="S116" i="1"/>
  <c r="S115" i="1" s="1"/>
  <c r="R116" i="1"/>
  <c r="R115" i="1" s="1"/>
  <c r="Q116" i="1"/>
  <c r="Q115" i="1" s="1"/>
  <c r="P116" i="1"/>
  <c r="P115" i="1" s="1"/>
  <c r="O116" i="1"/>
  <c r="N116" i="1"/>
  <c r="N115" i="1" s="1"/>
  <c r="M116" i="1"/>
  <c r="M115" i="1" s="1"/>
  <c r="L116" i="1"/>
  <c r="L115" i="1" s="1"/>
  <c r="K116" i="1"/>
  <c r="K115" i="1" s="1"/>
  <c r="J116" i="1"/>
  <c r="J115" i="1" s="1"/>
  <c r="I116" i="1"/>
  <c r="I115" i="1" s="1"/>
  <c r="H116" i="1"/>
  <c r="H115" i="1" s="1"/>
  <c r="G116" i="1"/>
  <c r="G115" i="1" s="1"/>
  <c r="F116" i="1"/>
  <c r="F115" i="1" s="1"/>
  <c r="E116" i="1"/>
  <c r="E115" i="1" s="1"/>
  <c r="D116" i="1"/>
  <c r="D115" i="1" s="1"/>
  <c r="O115" i="1"/>
  <c r="T107" i="1"/>
  <c r="R107" i="1"/>
  <c r="Q107" i="1"/>
  <c r="P107" i="1"/>
  <c r="O107" i="1"/>
  <c r="H107" i="1"/>
  <c r="G107" i="1"/>
  <c r="F107" i="1"/>
  <c r="E107" i="1"/>
  <c r="D107" i="1"/>
  <c r="T105" i="1"/>
  <c r="R105" i="1"/>
  <c r="Q105" i="1"/>
  <c r="P105" i="1"/>
  <c r="O105" i="1"/>
  <c r="M105" i="1"/>
  <c r="L105" i="1"/>
  <c r="K105" i="1"/>
  <c r="J105" i="1"/>
  <c r="I105" i="1"/>
  <c r="H105" i="1"/>
  <c r="G105" i="1"/>
  <c r="F105" i="1"/>
  <c r="E105" i="1"/>
  <c r="D105" i="1"/>
  <c r="T103" i="1"/>
  <c r="R103" i="1"/>
  <c r="Q103" i="1"/>
  <c r="P103" i="1"/>
  <c r="O103" i="1"/>
  <c r="N103" i="1"/>
  <c r="N98" i="1" s="1"/>
  <c r="M103" i="1"/>
  <c r="L103" i="1"/>
  <c r="K103" i="1"/>
  <c r="J103" i="1"/>
  <c r="I103" i="1"/>
  <c r="H103" i="1"/>
  <c r="G103" i="1"/>
  <c r="F103" i="1"/>
  <c r="E103" i="1"/>
  <c r="D103" i="1"/>
  <c r="T99" i="1"/>
  <c r="R99" i="1"/>
  <c r="Q99" i="1"/>
  <c r="P99" i="1"/>
  <c r="O99" i="1"/>
  <c r="M99" i="1"/>
  <c r="L99" i="1"/>
  <c r="K99" i="1"/>
  <c r="J99" i="1"/>
  <c r="I99" i="1"/>
  <c r="H99" i="1"/>
  <c r="G99" i="1"/>
  <c r="F99" i="1"/>
  <c r="E99" i="1"/>
  <c r="D99" i="1"/>
  <c r="T94" i="1"/>
  <c r="T91" i="1" s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F91" i="1" s="1"/>
  <c r="E92" i="1"/>
  <c r="E91" i="1" s="1"/>
  <c r="D92" i="1"/>
  <c r="D91" i="1" s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T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S69" i="1"/>
  <c r="R69" i="1"/>
  <c r="Q69" i="1"/>
  <c r="P69" i="1"/>
  <c r="O69" i="1"/>
  <c r="N69" i="1"/>
  <c r="M69" i="1"/>
  <c r="L69" i="1"/>
  <c r="K69" i="1"/>
  <c r="J69" i="1"/>
  <c r="I69" i="1"/>
  <c r="H69" i="1"/>
  <c r="F69" i="1"/>
  <c r="E69" i="1"/>
  <c r="D69" i="1"/>
  <c r="E24" i="1"/>
  <c r="F24" i="1"/>
  <c r="G24" i="1"/>
  <c r="H24" i="1"/>
  <c r="I24" i="1"/>
  <c r="J24" i="1"/>
  <c r="K24" i="1"/>
  <c r="L24" i="1"/>
  <c r="M24" i="1"/>
  <c r="N24" i="1"/>
  <c r="P24" i="1"/>
  <c r="Q24" i="1"/>
  <c r="R24" i="1"/>
  <c r="D24" i="1"/>
  <c r="C24" i="1"/>
  <c r="F11" i="1"/>
  <c r="G11" i="1" s="1"/>
  <c r="C14" i="1"/>
  <c r="I98" i="1" l="1"/>
  <c r="M98" i="1"/>
  <c r="P98" i="1"/>
  <c r="F81" i="1"/>
  <c r="J81" i="1"/>
  <c r="N81" i="1"/>
  <c r="R81" i="1"/>
  <c r="D81" i="1"/>
  <c r="F98" i="1"/>
  <c r="D98" i="1"/>
  <c r="L98" i="1"/>
  <c r="E98" i="1"/>
  <c r="K81" i="1"/>
  <c r="S81" i="1"/>
  <c r="L81" i="1"/>
  <c r="Q98" i="1"/>
  <c r="H81" i="1"/>
  <c r="P81" i="1"/>
  <c r="G91" i="1"/>
  <c r="G81" i="1"/>
  <c r="T98" i="1"/>
  <c r="T81" i="1"/>
  <c r="H98" i="1"/>
  <c r="J98" i="1"/>
  <c r="R98" i="1"/>
  <c r="O81" i="1"/>
  <c r="E81" i="1"/>
  <c r="I81" i="1"/>
  <c r="M81" i="1"/>
  <c r="Q81" i="1"/>
  <c r="G98" i="1"/>
  <c r="K98" i="1"/>
  <c r="O98" i="1"/>
  <c r="T24" i="1"/>
  <c r="H30" i="1" l="1"/>
  <c r="F30" i="1"/>
  <c r="E30" i="1"/>
  <c r="D30" i="1"/>
  <c r="S58" i="1"/>
  <c r="R58" i="1"/>
  <c r="Q58" i="1"/>
  <c r="P58" i="1"/>
  <c r="O58" i="1"/>
  <c r="M58" i="1"/>
  <c r="L58" i="1"/>
  <c r="K58" i="1"/>
  <c r="J58" i="1"/>
  <c r="I58" i="1"/>
  <c r="H58" i="1"/>
  <c r="F58" i="1"/>
  <c r="E58" i="1"/>
  <c r="D58" i="1"/>
  <c r="C58" i="1"/>
  <c r="S52" i="1"/>
  <c r="R52" i="1"/>
  <c r="Q52" i="1"/>
  <c r="P52" i="1"/>
  <c r="O52" i="1"/>
  <c r="M52" i="1"/>
  <c r="L52" i="1"/>
  <c r="K52" i="1"/>
  <c r="J52" i="1"/>
  <c r="I52" i="1"/>
  <c r="H52" i="1"/>
  <c r="F52" i="1"/>
  <c r="E52" i="1"/>
  <c r="D52" i="1"/>
  <c r="C52" i="1"/>
  <c r="R33" i="1"/>
  <c r="Q33" i="1"/>
  <c r="P33" i="1"/>
  <c r="O33" i="1"/>
  <c r="M33" i="1"/>
  <c r="L33" i="1"/>
  <c r="K33" i="1"/>
  <c r="J33" i="1"/>
  <c r="I33" i="1"/>
  <c r="H33" i="1"/>
  <c r="F33" i="1"/>
  <c r="E33" i="1"/>
  <c r="D33" i="1"/>
  <c r="C33" i="1"/>
  <c r="R30" i="1"/>
  <c r="Q30" i="1"/>
  <c r="P30" i="1"/>
  <c r="O30" i="1"/>
  <c r="R27" i="1"/>
  <c r="Q27" i="1"/>
  <c r="P27" i="1"/>
  <c r="O27" i="1"/>
  <c r="R21" i="1"/>
  <c r="Q21" i="1"/>
  <c r="P21" i="1"/>
  <c r="S14" i="1"/>
  <c r="R14" i="1"/>
  <c r="Q14" i="1"/>
  <c r="P14" i="1"/>
  <c r="O14" i="1"/>
  <c r="S10" i="1"/>
  <c r="R10" i="1"/>
  <c r="Q10" i="1"/>
  <c r="P10" i="1"/>
  <c r="O10" i="1"/>
  <c r="M30" i="1"/>
  <c r="L30" i="1"/>
  <c r="K30" i="1"/>
  <c r="J30" i="1"/>
  <c r="I30" i="1"/>
  <c r="F10" i="1"/>
  <c r="F14" i="1"/>
  <c r="M27" i="1"/>
  <c r="L27" i="1"/>
  <c r="K27" i="1"/>
  <c r="J27" i="1"/>
  <c r="I27" i="1"/>
  <c r="H27" i="1"/>
  <c r="M21" i="1"/>
  <c r="L21" i="1"/>
  <c r="K21" i="1"/>
  <c r="J21" i="1"/>
  <c r="I21" i="1"/>
  <c r="H21" i="1"/>
  <c r="M18" i="1"/>
  <c r="L18" i="1"/>
  <c r="K18" i="1"/>
  <c r="J18" i="1"/>
  <c r="I18" i="1"/>
  <c r="H18" i="1"/>
  <c r="M14" i="1"/>
  <c r="L14" i="1"/>
  <c r="K14" i="1"/>
  <c r="J14" i="1"/>
  <c r="I14" i="1"/>
  <c r="H14" i="1"/>
  <c r="M10" i="1"/>
  <c r="N68" i="1"/>
  <c r="N67" i="1"/>
  <c r="N66" i="1"/>
  <c r="N65" i="1"/>
  <c r="N64" i="1"/>
  <c r="N63" i="1"/>
  <c r="N62" i="1"/>
  <c r="N61" i="1"/>
  <c r="N60" i="1"/>
  <c r="N59" i="1"/>
  <c r="N57" i="1"/>
  <c r="N56" i="1"/>
  <c r="N55" i="1"/>
  <c r="N54" i="1"/>
  <c r="N53" i="1"/>
  <c r="N51" i="1"/>
  <c r="N50" i="1"/>
  <c r="N49" i="1"/>
  <c r="N48" i="1"/>
  <c r="N47" i="1"/>
  <c r="N46" i="1"/>
  <c r="N45" i="1"/>
  <c r="N44" i="1"/>
  <c r="N43" i="1"/>
  <c r="N42" i="1"/>
  <c r="T42" i="1" s="1"/>
  <c r="N41" i="1"/>
  <c r="N40" i="1"/>
  <c r="N39" i="1"/>
  <c r="N38" i="1"/>
  <c r="N37" i="1"/>
  <c r="N36" i="1"/>
  <c r="N35" i="1"/>
  <c r="N34" i="1"/>
  <c r="N31" i="1"/>
  <c r="N29" i="1"/>
  <c r="N28" i="1"/>
  <c r="N23" i="1"/>
  <c r="N22" i="1"/>
  <c r="N20" i="1"/>
  <c r="N19" i="1"/>
  <c r="N17" i="1"/>
  <c r="N16" i="1"/>
  <c r="N15" i="1"/>
  <c r="N13" i="1"/>
  <c r="T13" i="1" s="1"/>
  <c r="N12" i="1"/>
  <c r="T12" i="1" s="1"/>
  <c r="N11" i="1"/>
  <c r="T11" i="1" s="1"/>
  <c r="L10" i="1"/>
  <c r="L9" i="1" s="1"/>
  <c r="K10" i="1"/>
  <c r="J10" i="1"/>
  <c r="I10" i="1"/>
  <c r="I9" i="1" s="1"/>
  <c r="H10" i="1"/>
  <c r="H9" i="1" s="1"/>
  <c r="D27" i="1"/>
  <c r="E27" i="1"/>
  <c r="F27" i="1"/>
  <c r="D21" i="1"/>
  <c r="E21" i="1"/>
  <c r="F21" i="1"/>
  <c r="D18" i="1"/>
  <c r="E18" i="1"/>
  <c r="F18" i="1"/>
  <c r="D14" i="1"/>
  <c r="E14" i="1"/>
  <c r="C27" i="1"/>
  <c r="C21" i="1"/>
  <c r="E10" i="1"/>
  <c r="D10" i="1"/>
  <c r="G68" i="1"/>
  <c r="G67" i="1"/>
  <c r="G66" i="1"/>
  <c r="G65" i="1"/>
  <c r="G64" i="1"/>
  <c r="G63" i="1"/>
  <c r="G62" i="1"/>
  <c r="G61" i="1"/>
  <c r="G60" i="1"/>
  <c r="G59" i="1"/>
  <c r="G57" i="1"/>
  <c r="G56" i="1"/>
  <c r="G55" i="1"/>
  <c r="G54" i="1"/>
  <c r="G53" i="1"/>
  <c r="G51" i="1"/>
  <c r="G50" i="1"/>
  <c r="G49" i="1"/>
  <c r="G48" i="1"/>
  <c r="G47" i="1"/>
  <c r="G46" i="1"/>
  <c r="G45" i="1"/>
  <c r="G44" i="1"/>
  <c r="G43" i="1"/>
  <c r="G41" i="1"/>
  <c r="G40" i="1"/>
  <c r="G39" i="1"/>
  <c r="G38" i="1"/>
  <c r="G37" i="1"/>
  <c r="G36" i="1"/>
  <c r="G35" i="1"/>
  <c r="G34" i="1"/>
  <c r="G31" i="1"/>
  <c r="G30" i="1" s="1"/>
  <c r="G29" i="1"/>
  <c r="G28" i="1"/>
  <c r="G23" i="1"/>
  <c r="G22" i="1"/>
  <c r="G20" i="1"/>
  <c r="G19" i="1"/>
  <c r="G17" i="1"/>
  <c r="G16" i="1"/>
  <c r="O9" i="1" l="1"/>
  <c r="M9" i="1"/>
  <c r="J9" i="1"/>
  <c r="K9" i="1"/>
  <c r="S9" i="1"/>
  <c r="G52" i="1"/>
  <c r="T17" i="1"/>
  <c r="T23" i="1"/>
  <c r="T34" i="1"/>
  <c r="T38" i="1"/>
  <c r="T46" i="1"/>
  <c r="T50" i="1"/>
  <c r="T55" i="1"/>
  <c r="T60" i="1"/>
  <c r="T64" i="1"/>
  <c r="T68" i="1"/>
  <c r="G58" i="1"/>
  <c r="C9" i="1"/>
  <c r="T19" i="1"/>
  <c r="T28" i="1"/>
  <c r="T35" i="1"/>
  <c r="T39" i="1"/>
  <c r="T43" i="1"/>
  <c r="T47" i="1"/>
  <c r="T51" i="1"/>
  <c r="T56" i="1"/>
  <c r="T61" i="1"/>
  <c r="T65" i="1"/>
  <c r="T20" i="1"/>
  <c r="T18" i="1" s="1"/>
  <c r="T29" i="1"/>
  <c r="T36" i="1"/>
  <c r="T40" i="1"/>
  <c r="T44" i="1"/>
  <c r="T48" i="1"/>
  <c r="T53" i="1"/>
  <c r="T57" i="1"/>
  <c r="T62" i="1"/>
  <c r="T66" i="1"/>
  <c r="G33" i="1"/>
  <c r="T10" i="1"/>
  <c r="T16" i="1"/>
  <c r="T22" i="1"/>
  <c r="N30" i="1"/>
  <c r="T31" i="1"/>
  <c r="T30" i="1" s="1"/>
  <c r="T37" i="1"/>
  <c r="T41" i="1"/>
  <c r="T45" i="1"/>
  <c r="T49" i="1"/>
  <c r="T54" i="1"/>
  <c r="T59" i="1"/>
  <c r="T63" i="1"/>
  <c r="T67" i="1"/>
  <c r="S32" i="1"/>
  <c r="O32" i="1"/>
  <c r="R9" i="1"/>
  <c r="F32" i="1"/>
  <c r="K32" i="1"/>
  <c r="P32" i="1"/>
  <c r="H32" i="1"/>
  <c r="H121" i="1" s="1"/>
  <c r="H122" i="1" s="1"/>
  <c r="H123" i="1" s="1"/>
  <c r="L32" i="1"/>
  <c r="Q32" i="1"/>
  <c r="P9" i="1"/>
  <c r="D32" i="1"/>
  <c r="I32" i="1"/>
  <c r="I121" i="1" s="1"/>
  <c r="I122" i="1" s="1"/>
  <c r="I123" i="1" s="1"/>
  <c r="M32" i="1"/>
  <c r="R32" i="1"/>
  <c r="Q9" i="1"/>
  <c r="E32" i="1"/>
  <c r="J32" i="1"/>
  <c r="F9" i="1"/>
  <c r="E9" i="1"/>
  <c r="D9" i="1"/>
  <c r="N14" i="1"/>
  <c r="N52" i="1"/>
  <c r="G21" i="1"/>
  <c r="N21" i="1"/>
  <c r="G18" i="1"/>
  <c r="N33" i="1"/>
  <c r="N18" i="1"/>
  <c r="N27" i="1"/>
  <c r="G10" i="1"/>
  <c r="C32" i="1"/>
  <c r="C121" i="1" s="1"/>
  <c r="C122" i="1" s="1"/>
  <c r="N58" i="1"/>
  <c r="N10" i="1"/>
  <c r="G27" i="1"/>
  <c r="G15" i="1"/>
  <c r="G14" i="1" s="1"/>
  <c r="T21" i="1" l="1"/>
  <c r="T52" i="1"/>
  <c r="R121" i="1"/>
  <c r="R122" i="1" s="1"/>
  <c r="R123" i="1" s="1"/>
  <c r="F121" i="1"/>
  <c r="F122" i="1" s="1"/>
  <c r="F123" i="1" s="1"/>
  <c r="T33" i="1"/>
  <c r="S121" i="1"/>
  <c r="U126" i="1" s="1"/>
  <c r="E121" i="1"/>
  <c r="E122" i="1" s="1"/>
  <c r="E123" i="1" s="1"/>
  <c r="T58" i="1"/>
  <c r="G32" i="1"/>
  <c r="D121" i="1"/>
  <c r="D122" i="1" s="1"/>
  <c r="D123" i="1" s="1"/>
  <c r="T15" i="1"/>
  <c r="T14" i="1" s="1"/>
  <c r="T27" i="1"/>
  <c r="G9" i="1"/>
  <c r="Q121" i="1"/>
  <c r="Q122" i="1" s="1"/>
  <c r="Q123" i="1" s="1"/>
  <c r="P121" i="1"/>
  <c r="P122" i="1" s="1"/>
  <c r="P123" i="1" s="1"/>
  <c r="K121" i="1"/>
  <c r="K122" i="1" s="1"/>
  <c r="K123" i="1" s="1"/>
  <c r="L121" i="1"/>
  <c r="L122" i="1" s="1"/>
  <c r="L123" i="1" s="1"/>
  <c r="J121" i="1"/>
  <c r="J122" i="1" s="1"/>
  <c r="J123" i="1" s="1"/>
  <c r="M121" i="1"/>
  <c r="M122" i="1" s="1"/>
  <c r="M123" i="1" s="1"/>
  <c r="N32" i="1"/>
  <c r="O121" i="1"/>
  <c r="O122" i="1" s="1"/>
  <c r="O123" i="1" s="1"/>
  <c r="C123" i="1"/>
  <c r="N9" i="1"/>
  <c r="G121" i="1" l="1"/>
  <c r="G122" i="1" s="1"/>
  <c r="G123" i="1" s="1"/>
  <c r="T32" i="1"/>
  <c r="T9" i="1"/>
  <c r="S122" i="1"/>
  <c r="S123" i="1" s="1"/>
  <c r="N121" i="1"/>
  <c r="N122" i="1" s="1"/>
  <c r="N123" i="1" s="1"/>
  <c r="R17" i="9"/>
  <c r="R9" i="9" s="1"/>
  <c r="R126" i="9" s="1"/>
  <c r="R127" i="9" s="1"/>
  <c r="R128" i="9" s="1"/>
  <c r="P17" i="9"/>
  <c r="P9" i="9" s="1"/>
  <c r="P126" i="9" s="1"/>
  <c r="P127" i="9" s="1"/>
  <c r="P128" i="9" s="1"/>
  <c r="T18" i="9"/>
  <c r="T17" i="9" s="1"/>
  <c r="T9" i="9" l="1"/>
  <c r="T126" i="9" s="1"/>
  <c r="T127" i="9" s="1"/>
  <c r="T128" i="9" s="1"/>
  <c r="T121" i="1"/>
  <c r="T122" i="1" s="1"/>
  <c r="T123" i="1" s="1"/>
</calcChain>
</file>

<file path=xl/comments1.xml><?xml version="1.0" encoding="utf-8"?>
<comments xmlns="http://schemas.openxmlformats.org/spreadsheetml/2006/main">
  <authors>
    <author>usuario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 xml:space="preserve">Ingresos a Agosto
</t>
        </r>
      </text>
    </comment>
    <comment ref="C2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la ejecucion aparecen $25,113.86 de estos 23938.76 son PFGL</t>
        </r>
      </text>
    </comment>
    <comment ref="D2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la ejecucion aparecen $25,113.86 de estos 23938.76 son PFGL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Delmy Ramos</author>
  </authors>
  <commentList>
    <comment ref="D12" authorId="0" shapeId="0">
      <text>
        <r>
          <rPr>
            <b/>
            <sz val="9"/>
            <color indexed="81"/>
            <rFont val="Tahoma"/>
            <family val="2"/>
          </rPr>
          <t>aumento de $50.00 any+ aux. tes $400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aumento a Juan $50.00+$ 400 motorista ambulancia</t>
        </r>
      </text>
    </comment>
    <comment ref="C14" authorId="1" shapeId="0">
      <text>
        <r>
          <rPr>
            <b/>
            <sz val="9"/>
            <color indexed="81"/>
            <rFont val="Tahoma"/>
            <family val="2"/>
          </rPr>
          <t>9 dietas...</t>
        </r>
      </text>
    </comment>
    <comment ref="G14" authorId="0" shapeId="0">
      <text>
        <r>
          <rPr>
            <b/>
            <sz val="8"/>
            <color indexed="81"/>
            <rFont val="Tahoma"/>
            <family val="2"/>
          </rPr>
          <t>8 MESES DE DIETA</t>
        </r>
      </text>
    </comment>
    <comment ref="C55" authorId="0" shapeId="0">
      <text>
        <r>
          <rPr>
            <b/>
            <sz val="9"/>
            <color indexed="81"/>
            <rFont val="Tahoma"/>
            <family val="2"/>
          </rPr>
          <t>11 meses de energia electrica</t>
        </r>
      </text>
    </comment>
    <comment ref="C56" authorId="0" shapeId="0">
      <text>
        <r>
          <rPr>
            <b/>
            <sz val="9"/>
            <color indexed="81"/>
            <rFont val="Tahoma"/>
            <family val="2"/>
          </rPr>
          <t>ANDA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</rPr>
          <t>9 meses</t>
        </r>
      </text>
    </comment>
    <comment ref="C95" authorId="1" shapeId="0">
      <text>
        <r>
          <rPr>
            <b/>
            <sz val="9"/>
            <color indexed="81"/>
            <rFont val="Tahoma"/>
            <family val="2"/>
          </rPr>
          <t>COMURES + AMC</t>
        </r>
      </text>
    </comment>
  </commentList>
</comments>
</file>

<file path=xl/comments3.xml><?xml version="1.0" encoding="utf-8"?>
<comments xmlns="http://schemas.openxmlformats.org/spreadsheetml/2006/main">
  <authors>
    <author>Delmy Ramos</author>
  </authors>
  <commentList>
    <comment ref="I101" authorId="0" shapeId="0">
      <text>
        <r>
          <rPr>
            <b/>
            <sz val="9"/>
            <color indexed="81"/>
            <rFont val="Tahoma"/>
            <charset val="1"/>
          </rPr>
          <t>Compra de Pipa</t>
        </r>
      </text>
    </comment>
  </commentList>
</comments>
</file>

<file path=xl/comments4.xml><?xml version="1.0" encoding="utf-8"?>
<comments xmlns="http://schemas.openxmlformats.org/spreadsheetml/2006/main">
  <authors>
    <author>usuario</author>
    <author>Delmy Ramos</author>
  </authors>
  <commentList>
    <comment ref="O13" authorId="0" shapeId="0">
      <text>
        <r>
          <rPr>
            <b/>
            <sz val="9"/>
            <color indexed="81"/>
            <rFont val="Tahoma"/>
            <family val="2"/>
          </rPr>
          <t xml:space="preserve">4 dietas </t>
        </r>
      </text>
    </comment>
    <comment ref="O18" authorId="0" shapeId="0">
      <text>
        <r>
          <rPr>
            <b/>
            <sz val="9"/>
            <color indexed="81"/>
            <rFont val="Tahoma"/>
            <family val="2"/>
          </rPr>
          <t xml:space="preserve">maestros, emerita, lily y bibliotecaria y un promotor de alfabetizacion mas 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</rPr>
          <t>Sueldos a mestros y otros</t>
        </r>
      </text>
    </comment>
    <comment ref="P22" authorId="0" shapeId="0">
      <text>
        <r>
          <rPr>
            <b/>
            <sz val="9"/>
            <color indexed="81"/>
            <rFont val="Tahoma"/>
            <family val="2"/>
          </rPr>
          <t>Patronal ISSS e INPEP</t>
        </r>
      </text>
    </comment>
    <comment ref="R22" authorId="0" shapeId="0">
      <text>
        <r>
          <rPr>
            <b/>
            <sz val="9"/>
            <color indexed="81"/>
            <rFont val="Tahoma"/>
            <family val="2"/>
          </rPr>
          <t>PATRONAL ISSS Y INPEP</t>
        </r>
      </text>
    </comment>
    <comment ref="O28" authorId="1" shapeId="0">
      <text>
        <r>
          <rPr>
            <b/>
            <sz val="9"/>
            <color indexed="81"/>
            <rFont val="Tahoma"/>
            <family val="2"/>
          </rPr>
          <t>Revisar este monto con Antonio</t>
        </r>
      </text>
    </comment>
    <comment ref="O42" authorId="0" shapeId="0">
      <text>
        <r>
          <rPr>
            <b/>
            <sz val="9"/>
            <color indexed="81"/>
            <rFont val="Tahoma"/>
            <family val="2"/>
          </rPr>
          <t>Arte y cultura Aerosoles</t>
        </r>
      </text>
    </comment>
    <comment ref="S56" authorId="0" shapeId="0">
      <text>
        <r>
          <rPr>
            <b/>
            <sz val="9"/>
            <color indexed="81"/>
            <rFont val="Tahoma"/>
            <family val="2"/>
          </rPr>
          <t>PARA TRES MESES</t>
        </r>
      </text>
    </comment>
    <comment ref="O58" authorId="0" shapeId="0">
      <text>
        <r>
          <rPr>
            <b/>
            <sz val="9"/>
            <color indexed="81"/>
            <rFont val="Tahoma"/>
            <family val="2"/>
          </rPr>
          <t xml:space="preserve">para tres meses </t>
        </r>
      </text>
    </comment>
    <comment ref="S60" authorId="0" shapeId="0">
      <text>
        <r>
          <rPr>
            <b/>
            <sz val="9"/>
            <color indexed="81"/>
            <rFont val="Tahoma"/>
            <family val="2"/>
          </rPr>
          <t>TRES MESES</t>
        </r>
      </text>
    </comment>
    <comment ref="O69" authorId="0" shapeId="0">
      <text>
        <r>
          <rPr>
            <b/>
            <sz val="9"/>
            <color indexed="81"/>
            <rFont val="Tahoma"/>
            <family val="2"/>
          </rPr>
          <t xml:space="preserve">Revista Rendicion de Cuentas, calendarios, brochures, turismo banner`s.
</t>
        </r>
      </text>
    </comment>
    <comment ref="O97" authorId="0" shapeId="0">
      <text>
        <r>
          <rPr>
            <b/>
            <sz val="9"/>
            <color indexed="81"/>
            <rFont val="Tahoma"/>
            <family val="2"/>
          </rPr>
          <t>ASIGOLFO E INSAFORP</t>
        </r>
      </text>
    </comment>
    <comment ref="O101" authorId="1" shapeId="0">
      <text>
        <r>
          <rPr>
            <b/>
            <sz val="9"/>
            <color indexed="81"/>
            <rFont val="Tahoma"/>
            <family val="2"/>
          </rPr>
          <t>colaboracion de cajas funebres, colaboraciones a ADESCOS</t>
        </r>
      </text>
    </comment>
  </commentList>
</comments>
</file>

<file path=xl/comments5.xml><?xml version="1.0" encoding="utf-8"?>
<comments xmlns="http://schemas.openxmlformats.org/spreadsheetml/2006/main">
  <authors>
    <author>Alc_Chirilagua</author>
    <author>AUDITORA</author>
    <author>Vaio</author>
  </authors>
  <commentList>
    <comment ref="H19" authorId="0" shapeId="0">
      <text>
        <r>
          <rPr>
            <b/>
            <sz val="9"/>
            <color indexed="81"/>
            <rFont val="Tahoma"/>
            <charset val="1"/>
          </rPr>
          <t>Alc_Chirilagua:</t>
        </r>
        <r>
          <rPr>
            <sz val="9"/>
            <color indexed="81"/>
            <rFont val="Tahoma"/>
            <charset val="1"/>
          </rPr>
          <t xml:space="preserve">
a partir de mayo de 2018</t>
        </r>
      </text>
    </comment>
    <comment ref="D27" authorId="1" shapeId="0">
      <text>
        <r>
          <rPr>
            <b/>
            <sz val="9"/>
            <color indexed="81"/>
            <rFont val="Tahoma"/>
            <family val="2"/>
          </rPr>
          <t>Trasladarla a UATM</t>
        </r>
      </text>
    </comment>
    <comment ref="E187" authorId="2" shapeId="0">
      <text>
        <r>
          <rPr>
            <sz val="8"/>
            <color indexed="81"/>
            <rFont val="Tahoma"/>
            <family val="2"/>
          </rPr>
          <t>PATRONALES DE LINEAS MAS PATRONALES DE FODES</t>
        </r>
      </text>
    </comment>
    <comment ref="N201" authorId="2" shapeId="0">
      <text>
        <r>
          <rPr>
            <sz val="9"/>
            <color indexed="81"/>
            <rFont val="Tahoma"/>
            <family val="2"/>
          </rPr>
          <t>Proyeccion de Ingresos sin incremento</t>
        </r>
      </text>
    </comment>
  </commentList>
</comments>
</file>

<file path=xl/sharedStrings.xml><?xml version="1.0" encoding="utf-8"?>
<sst xmlns="http://schemas.openxmlformats.org/spreadsheetml/2006/main" count="1427" uniqueCount="640">
  <si>
    <t>FUENTE DE FINANCIAMIENTO 2 (FF29</t>
  </si>
  <si>
    <t>FONDOS PROPIOS</t>
  </si>
  <si>
    <t>AREA DE GESTION</t>
  </si>
  <si>
    <t>CONDUC. ADMINISTRAR (AG 1)</t>
  </si>
  <si>
    <t>GRAN</t>
  </si>
  <si>
    <t>TOTAL</t>
  </si>
  <si>
    <t>0101 Dir. Superior</t>
  </si>
  <si>
    <t>0102 Admon. Financiera</t>
  </si>
  <si>
    <t>0201 Serv. Mp. Div.</t>
  </si>
  <si>
    <t>0202 Serv. Ext.</t>
  </si>
  <si>
    <t>Sub Total</t>
  </si>
  <si>
    <t>FODES 75%</t>
  </si>
  <si>
    <t>SUB TOTAL</t>
  </si>
  <si>
    <t>0301 Preinversión</t>
  </si>
  <si>
    <t>0302 Proy. Des. Social</t>
  </si>
  <si>
    <t>0401 Proy. Des. Econ.</t>
  </si>
  <si>
    <t>0305 Préstamos</t>
  </si>
  <si>
    <t>0501 Amort. Endeu. Púb.</t>
  </si>
  <si>
    <t>Des. Social</t>
  </si>
  <si>
    <t>Des. Econom.</t>
  </si>
  <si>
    <t>Deuda Púb.</t>
  </si>
  <si>
    <t>AG3</t>
  </si>
  <si>
    <t>AG 4</t>
  </si>
  <si>
    <t>(AG5)</t>
  </si>
  <si>
    <t>CONDUCCION ADMINISTRATIVA</t>
  </si>
  <si>
    <t>FODES 25%</t>
  </si>
  <si>
    <t>FUENTE DE FINANCIAMIENTO 1 (FF1)</t>
  </si>
  <si>
    <t>CONCEPTO</t>
  </si>
  <si>
    <t>CODIGO</t>
  </si>
  <si>
    <t>TOTALES</t>
  </si>
  <si>
    <t>REMUNERACIONES</t>
  </si>
  <si>
    <t>REMUNERACIONES PERMANENTES</t>
  </si>
  <si>
    <t>SUELDOS</t>
  </si>
  <si>
    <t>AGUINALDOS</t>
  </si>
  <si>
    <t>DIETAS</t>
  </si>
  <si>
    <t>REMUNERACIONES EVENTUALES</t>
  </si>
  <si>
    <t>SALARIOS POR JORNAL</t>
  </si>
  <si>
    <t>CONTRIB. PATRON. A INST. SEG. SOCIAL PUB.</t>
  </si>
  <si>
    <t>POR REMUNERACIONES PERMANENTES</t>
  </si>
  <si>
    <t>POR REMUNERACIONES EVENTUALES</t>
  </si>
  <si>
    <t>CONTRIB. PATRON. A INST. SEG. SOCIAL PRIV.</t>
  </si>
  <si>
    <t>GASTOS DE REPRESENTACION</t>
  </si>
  <si>
    <t>POR PRESTACION DE SERVICIOS EN EL PAIS</t>
  </si>
  <si>
    <t>POR PRESTACION DE SERVICIOS EN EL EXT.</t>
  </si>
  <si>
    <t>REMUNERACIONES DIVERSAS</t>
  </si>
  <si>
    <t>HONORARIOS</t>
  </si>
  <si>
    <t>ADQUISICIONES DE BIENES Y SERVICIOS</t>
  </si>
  <si>
    <t>BIENES DE USO Y CONSUMO</t>
  </si>
  <si>
    <t>PRODUCTOS ALIMENTICIOS PARA PERSONAS</t>
  </si>
  <si>
    <t>PRODUCTOS AGROP. Y FORESTALES</t>
  </si>
  <si>
    <t>PRODUCTOS TEXTILES Y DE VESTUARIO</t>
  </si>
  <si>
    <t>PRODUCTOS DE PAPEL Y CARTON</t>
  </si>
  <si>
    <t>PRODUCTOS DE CUERO Y CAUCHO</t>
  </si>
  <si>
    <t>PRODUCTOS QUIMICOS</t>
  </si>
  <si>
    <t>PRODUCTOS FARMACEUTICOS Y MED.</t>
  </si>
  <si>
    <t>LLANTAS Y NEUMATICOS</t>
  </si>
  <si>
    <t>COMBUSTIBLES Y LUBRICANTES</t>
  </si>
  <si>
    <t>MINERALES NO METALICOS Y PROD. DER.</t>
  </si>
  <si>
    <t>MINERALES METALICOS Y PROD. DER.</t>
  </si>
  <si>
    <t>MATERIALES DE OFICINA</t>
  </si>
  <si>
    <t>MATERIALES INFORMATICOS</t>
  </si>
  <si>
    <t>LIBROS, TEXTOS Y UTILES DE ENSEÑANZA</t>
  </si>
  <si>
    <t>HERRAMIENTAS, REPUESTOS Y ACCESORIOS</t>
  </si>
  <si>
    <t>MATERIALES ELECTRICOS</t>
  </si>
  <si>
    <t>ESPECIES MUNICIPALES DIVERSAS</t>
  </si>
  <si>
    <t>SERVICIOS BASICOS</t>
  </si>
  <si>
    <t>SERVICIOS DE ENERGIA ELECTRICA</t>
  </si>
  <si>
    <t>SERVICIOS DE AGUA</t>
  </si>
  <si>
    <t>SERVICIOS DE TELECOMUNICACIONES</t>
  </si>
  <si>
    <t>CORREOS</t>
  </si>
  <si>
    <t>ALUMBRADO PUBLICO</t>
  </si>
  <si>
    <t>SERVICIOS GENERALES Y ARRENDAMIENTOS</t>
  </si>
  <si>
    <t>MANTTO. Y REP. DE BIENES MUEBLES</t>
  </si>
  <si>
    <t>MANTTO. Y REP. DE VEHICULOS</t>
  </si>
  <si>
    <t>MANTENIMIENTO Y REPARACION DE BIENES</t>
  </si>
  <si>
    <t>TRANSPORTE, FLETES Y ALMACENAMIENTO</t>
  </si>
  <si>
    <t>SERVICIOS DE PUBLICIDAD</t>
  </si>
  <si>
    <t>SERVICIOS DE LIMPIEZA Y FUMIGACIONES</t>
  </si>
  <si>
    <t>SERVICIOS EDUCATIVOS</t>
  </si>
  <si>
    <t>IMPRESIONES, PUBLICACIONES Y REPROD.</t>
  </si>
  <si>
    <t>ATENCIONES OFICIALES</t>
  </si>
  <si>
    <t>RUBRO DE AGRUPACION</t>
  </si>
  <si>
    <t>CUENTA PRESUPUESTARIA</t>
  </si>
  <si>
    <t>TOTALES DE OBJETOS ESPECIFICOS</t>
  </si>
  <si>
    <t>Presupuestado</t>
  </si>
  <si>
    <t>INDEMNIZACIONES</t>
  </si>
  <si>
    <t>INDEMNIZACIONES SERVICIOS EVENTUALES</t>
  </si>
  <si>
    <t>PASAJES Y VIATICOS</t>
  </si>
  <si>
    <t>PASAJES AL INTERIOR</t>
  </si>
  <si>
    <t>PASAJES AL EXTERIOR</t>
  </si>
  <si>
    <t>VIATICOS POR COMISION INTERNA</t>
  </si>
  <si>
    <t>SERVICIOS TECNICOS Y PROFESIONALES</t>
  </si>
  <si>
    <t>SERVICIOS DE MEDIO AMBIENTE Y RECURSOS</t>
  </si>
  <si>
    <t>SERVICIOS JURIDICOS</t>
  </si>
  <si>
    <t>SERVICIOS DE CONTABILIDAD Y AUDITORIA</t>
  </si>
  <si>
    <t>SERVICIOS DE CAPACITACION</t>
  </si>
  <si>
    <t>CONSULTORIAS, ESTUDIOS E INVESTIG. DIVERSAS</t>
  </si>
  <si>
    <t>TRATAMIENTO DE DESECHOS</t>
  </si>
  <si>
    <t>DEPOSITO DE DESECHOS</t>
  </si>
  <si>
    <t>GASTOS FINANCIEROS Y OTROS</t>
  </si>
  <si>
    <t>INTERESES Y COMISIONES DE LA DEUDA PUBLICA</t>
  </si>
  <si>
    <t>DE INSTITUCIONES DESCENT. NO EMPRESARIALES</t>
  </si>
  <si>
    <t>DE EMPRESAS PUBLICAS FINANCIERAS</t>
  </si>
  <si>
    <t>SEGUROS, COMISIONES Y GASTOS BANCARIOS</t>
  </si>
  <si>
    <t>PRIMAS Y GASTOS DE SEGUROS DE BIENES</t>
  </si>
  <si>
    <t>COMISIONES Y GASTOS BANCARIOS (POR CERT. CH)</t>
  </si>
  <si>
    <t>OTROS GASTOS NO CLASIFICADOS</t>
  </si>
  <si>
    <t>MULTAS Y COSTAS JUDICIALES</t>
  </si>
  <si>
    <t>GASTOS DIVERSOS</t>
  </si>
  <si>
    <t>TRANSFERENCIAS CORRIENTES</t>
  </si>
  <si>
    <t>TRANSFERENCIAS CORRIENTES SECTOR PUBLIC.</t>
  </si>
  <si>
    <t>TRANSFERENCIAS CORRIENTES. SECTOR PUB.</t>
  </si>
  <si>
    <t>TRANSFERENCIAS CORRIENTES SECTOR PRIVADO</t>
  </si>
  <si>
    <t>EMPRESAS PRIVADAS NO FINANCIERAS</t>
  </si>
  <si>
    <t>A ORGANISMOS SIN FINES DE LUCRO</t>
  </si>
  <si>
    <t>BECAS</t>
  </si>
  <si>
    <t>INVERSIONES EN ACTIVOS FIJOS</t>
  </si>
  <si>
    <t>BIENES MUEBLES</t>
  </si>
  <si>
    <t>MAQUINARIA Y EQUIPO</t>
  </si>
  <si>
    <t>EQUIPOS INFORMATICOS</t>
  </si>
  <si>
    <t>BIENES MUEBLES DIVERSOS</t>
  </si>
  <si>
    <t>BIENES INMUEBLES</t>
  </si>
  <si>
    <t>TERRENOS</t>
  </si>
  <si>
    <t>ESTUDIOS DE PREINVERSION</t>
  </si>
  <si>
    <t>PROYECTOS Y PROGRAMAS DE INVERSION DIV.</t>
  </si>
  <si>
    <t>INFRAESTRUCTURA</t>
  </si>
  <si>
    <t>VIALES</t>
  </si>
  <si>
    <t>DE EDUCACION Y RECREACION</t>
  </si>
  <si>
    <t>ELECTRICAS Y COMUNICACIONES</t>
  </si>
  <si>
    <t>SUPERVISION DE INFRAESTRUCTURA</t>
  </si>
  <si>
    <t>OBRAS DE INFRAESTRUCTURA DIVERSA</t>
  </si>
  <si>
    <t>AMORTIZACION DE ENDEUDAMIENTO PUBLICO</t>
  </si>
  <si>
    <t>AMOTIZACION EMPRESTITOS INT.</t>
  </si>
  <si>
    <t>SALDO AÑOS ANTERIORES</t>
  </si>
  <si>
    <t>CUENTAS POR PAGAR AÑOS ANTERIORES</t>
  </si>
  <si>
    <t>INDEMNIZACIONES SERVICIOS PERMANENTES</t>
  </si>
  <si>
    <t>ARRENDAMIENTO DE BIENES MUEBLES</t>
  </si>
  <si>
    <t>SALUD Y SANEAMIENTO</t>
  </si>
  <si>
    <t>OFICINAS ADMINISTRATIVAS</t>
  </si>
  <si>
    <t>ALCALDIA MUNICIPAL DE CHIRILAGUA</t>
  </si>
  <si>
    <t>PRESUPUESTO MUNICIPAL 2016</t>
  </si>
  <si>
    <t xml:space="preserve">PRESUPUESTO MUNICIPAL </t>
  </si>
  <si>
    <t xml:space="preserve">FODES 25% </t>
  </si>
  <si>
    <t>según Media Aritmetica</t>
  </si>
  <si>
    <t xml:space="preserve">IMPUESTOS                                                       </t>
  </si>
  <si>
    <t xml:space="preserve">IMPUESTOS MUNICIPALES                                           </t>
  </si>
  <si>
    <t xml:space="preserve">DE COMERCIO                                                      </t>
  </si>
  <si>
    <t>FINANCIEROS</t>
  </si>
  <si>
    <t>DE SERVICIOS</t>
  </si>
  <si>
    <t xml:space="preserve">BARES Y RESTAURANTES        </t>
  </si>
  <si>
    <t>VIALIDAD</t>
  </si>
  <si>
    <t>TASAS Y DERECHOS</t>
  </si>
  <si>
    <t>TASAS</t>
  </si>
  <si>
    <t xml:space="preserve">POR SERVICIOS DE CERTIFICACION O VISADO DE                 </t>
  </si>
  <si>
    <t xml:space="preserve">POR EXPEDICION DE DOCUMENTOS DE IDENTIFICACION                 </t>
  </si>
  <si>
    <t>ASEO PUBLICO</t>
  </si>
  <si>
    <t>CEMENTERIOS MUNICIPALES</t>
  </si>
  <si>
    <t>DESECHOS</t>
  </si>
  <si>
    <t>FIESTAS</t>
  </si>
  <si>
    <t>MERCADOS</t>
  </si>
  <si>
    <t>PAVIMENTACION</t>
  </si>
  <si>
    <t>POSTES, TORRES Y ANTENAS</t>
  </si>
  <si>
    <t>RASTRO Y TIANGUE</t>
  </si>
  <si>
    <t>BAÑOS Y LAVADEROS PUBLICOS</t>
  </si>
  <si>
    <t>TASAS DIVERSAS</t>
  </si>
  <si>
    <t>DERECHOS</t>
  </si>
  <si>
    <t>PERMISOS Y LICENCIAS MUNICIPALES</t>
  </si>
  <si>
    <t>COTEJO DE FIERROS</t>
  </si>
  <si>
    <t>VENTAS DE BIENES Y SERVICIOS</t>
  </si>
  <si>
    <t>INGRESOS POR PRESTACION DE SERVICIOS PUBLICOS</t>
  </si>
  <si>
    <t>SERVICIOS DIVERSOS</t>
  </si>
  <si>
    <t>VENTA DE BIENES DIVERSOS</t>
  </si>
  <si>
    <t>MULTAS E INTERESES POR MORA</t>
  </si>
  <si>
    <t xml:space="preserve">MULTAS POR MORA DE IMPUESTOS </t>
  </si>
  <si>
    <t xml:space="preserve">INTERESES POR MORA DE IMPUESTOS </t>
  </si>
  <si>
    <t>MULTAS POR REGISTRO CIVIL</t>
  </si>
  <si>
    <t xml:space="preserve">MULTAS E INTERESES DIVERSOS </t>
  </si>
  <si>
    <t>ARRENDAMIENTO DE BIENES</t>
  </si>
  <si>
    <t xml:space="preserve">ARRENDAMIENTOS DE BIENES DIVERSOS </t>
  </si>
  <si>
    <t xml:space="preserve">OTROS INGRESOS NO CLASIFICADOS </t>
  </si>
  <si>
    <t>RENTABILIDAD DE CUENTAS BANCARIAS</t>
  </si>
  <si>
    <t xml:space="preserve">INGRESOS DIVERSOS </t>
  </si>
  <si>
    <t>TRANSFERENCIAS CORRIENTES DEL SECTOR PUBLICO</t>
  </si>
  <si>
    <t xml:space="preserve">TRANSFERENCIAS DE CAPITAL </t>
  </si>
  <si>
    <t xml:space="preserve">TRANSFERENCIAS DE CAPITAL DEL SECTOR PUBLICO </t>
  </si>
  <si>
    <t>TRANSFERENCIAS DE CAPITAL DEL SECTOR PUBLICO</t>
  </si>
  <si>
    <t>SALDOS A¥OS ANTERIORES</t>
  </si>
  <si>
    <t>SALDOS INICIALES DE CAJA Y BANCO</t>
  </si>
  <si>
    <t>SALDO INICIAL EN BANCO</t>
  </si>
  <si>
    <t xml:space="preserve">  </t>
  </si>
  <si>
    <t>6. DONACIONES</t>
  </si>
  <si>
    <t>5. INFORME DE CREDITOS SOLICITADOS</t>
  </si>
  <si>
    <t>4. TRANSFERENCIAS GOES</t>
  </si>
  <si>
    <t>3. HISTORIAL DE SALDOS BANCARIOS</t>
  </si>
  <si>
    <t>2. HISTORIAL DE RECUPERACION DE MOROSIDAD</t>
  </si>
  <si>
    <t>1. BASE DE GENERACION DE AVISOS DE CONTRIBUYENTES</t>
  </si>
  <si>
    <t>INSUMOS BASICOS:</t>
  </si>
  <si>
    <t>(14) TOTAL INGRESOS</t>
  </si>
  <si>
    <t>Cuentas por cobrar de años anteriores</t>
  </si>
  <si>
    <t>32202</t>
  </si>
  <si>
    <t>Saldo Inicial en caja y bancos</t>
  </si>
  <si>
    <t>32102</t>
  </si>
  <si>
    <t>Transf. De Capital del S.P.</t>
  </si>
  <si>
    <t>22201</t>
  </si>
  <si>
    <t>Transf. Ctes. Del S.P.</t>
  </si>
  <si>
    <t>16201</t>
  </si>
  <si>
    <t>Rentabilidad de cuentas bancarias</t>
  </si>
  <si>
    <t>Pavimentacion</t>
  </si>
  <si>
    <t>FISDL/PFGL</t>
  </si>
  <si>
    <t>(6) Inversión</t>
  </si>
  <si>
    <t>(5) Funcionamiento</t>
  </si>
  <si>
    <t>(7) OTROS</t>
  </si>
  <si>
    <t>(4) FODES</t>
  </si>
  <si>
    <t xml:space="preserve">(13) T O T A L  </t>
  </si>
  <si>
    <t>(12) Fondos BCIE</t>
  </si>
  <si>
    <t>(11) Préstamos Internos</t>
  </si>
  <si>
    <t>( 10) FONDOS FISDL</t>
  </si>
  <si>
    <t>(9) Fondos Propios</t>
  </si>
  <si>
    <t>(3) Fondo General</t>
  </si>
  <si>
    <t>(2) DENOMINACION</t>
  </si>
  <si>
    <t>DETALLE CONSOLIDADO DE INGRESOS POR ESPECIFICO Y FUENTE DE FINANCIAMIENTO</t>
  </si>
  <si>
    <t>(En Dolares de los Estados Unidos de America)</t>
  </si>
  <si>
    <t>DEPARTAMENTO DE SAN MIGUEL</t>
  </si>
  <si>
    <t>Financieros</t>
  </si>
  <si>
    <t xml:space="preserve">Impuestos                                                       </t>
  </si>
  <si>
    <t xml:space="preserve">Impuestos municipales                                           </t>
  </si>
  <si>
    <t xml:space="preserve">De comercio                                                      </t>
  </si>
  <si>
    <t>De servicios</t>
  </si>
  <si>
    <t xml:space="preserve">Bares y restaurantes        </t>
  </si>
  <si>
    <t>Vialidad</t>
  </si>
  <si>
    <t>Tasas y derechos</t>
  </si>
  <si>
    <t>Tasas</t>
  </si>
  <si>
    <t xml:space="preserve">Por expedicion de documentos de identificacion                 </t>
  </si>
  <si>
    <t>Alumbrado publico</t>
  </si>
  <si>
    <t>Aseo publico</t>
  </si>
  <si>
    <t>Cementerios municipales</t>
  </si>
  <si>
    <t>Desechos</t>
  </si>
  <si>
    <t>Fiestas</t>
  </si>
  <si>
    <t>Mercados</t>
  </si>
  <si>
    <t>Postes, torres y antenas</t>
  </si>
  <si>
    <t>Rastro y tiangue</t>
  </si>
  <si>
    <t>Baños y lavaderos publicos</t>
  </si>
  <si>
    <t>Tasas diversas</t>
  </si>
  <si>
    <t>Derechos</t>
  </si>
  <si>
    <t>Permisos y licencias municipales</t>
  </si>
  <si>
    <t>Cotejo de fierros</t>
  </si>
  <si>
    <t>Ventas de bienes y servicios</t>
  </si>
  <si>
    <t>Ingresos por prestacion de servicios publicos</t>
  </si>
  <si>
    <t>Servicios diversos</t>
  </si>
  <si>
    <t>Venta de bienes diversos</t>
  </si>
  <si>
    <t>Multas e intereses por mora</t>
  </si>
  <si>
    <t>Multas por mora de impuestos</t>
  </si>
  <si>
    <t>Intereses por mora de impuestos</t>
  </si>
  <si>
    <t>Multas por registro civil</t>
  </si>
  <si>
    <t>Multas e intereses diversos</t>
  </si>
  <si>
    <t>Arrendamiento de bienes</t>
  </si>
  <si>
    <t>Arrendamientos de bienes diversos</t>
  </si>
  <si>
    <t>Otros ingresos no clasificados</t>
  </si>
  <si>
    <t>Ingresos diversos</t>
  </si>
  <si>
    <t>Base Incremento Porcentual al 15%</t>
  </si>
  <si>
    <t>16</t>
  </si>
  <si>
    <t>162</t>
  </si>
  <si>
    <t>Transferencias Corrientes del Sector Publico</t>
  </si>
  <si>
    <t xml:space="preserve">Transferencias Corrientes </t>
  </si>
  <si>
    <t>22</t>
  </si>
  <si>
    <t>Transferencias de Capital</t>
  </si>
  <si>
    <t>222</t>
  </si>
  <si>
    <t>Transferencias de Capital del sector Publico</t>
  </si>
  <si>
    <t>Ingresos financieros y otros</t>
  </si>
  <si>
    <t>32</t>
  </si>
  <si>
    <t>Saldo de Años Anteriores</t>
  </si>
  <si>
    <t>321</t>
  </si>
  <si>
    <t>Saldo de Caja y Bancos</t>
  </si>
  <si>
    <t xml:space="preserve">Por servicios de certificacion o visado        </t>
  </si>
  <si>
    <t xml:space="preserve"> </t>
  </si>
  <si>
    <t>trasladar 1.000 a la 54505</t>
  </si>
  <si>
    <t>trasladar 500 a la 54505</t>
  </si>
  <si>
    <t>Nuevo saldo 2500</t>
  </si>
  <si>
    <t>Total</t>
  </si>
  <si>
    <t>Base Incremento Porcentual al 10%</t>
  </si>
  <si>
    <t>%</t>
  </si>
  <si>
    <t xml:space="preserve">INGRESOS FINANCIEROS Y OTROS </t>
  </si>
  <si>
    <t>PRESTACION DE SERVICIOS BASICOS</t>
  </si>
  <si>
    <t>Promedio a Octubre</t>
  </si>
  <si>
    <t>Ejecutado a sept. 2016</t>
  </si>
  <si>
    <t>ARRENDAMIENTO DE BIENES INMUEBLES</t>
  </si>
  <si>
    <t>A PERSONAS NATURALES</t>
  </si>
  <si>
    <t>SUELDOS POR CONTRATO</t>
  </si>
  <si>
    <t>Agua</t>
  </si>
  <si>
    <t>Malecones</t>
  </si>
  <si>
    <t>Anda</t>
  </si>
  <si>
    <t>Garrafones</t>
  </si>
  <si>
    <t>Agua eventos</t>
  </si>
  <si>
    <t>FP</t>
  </si>
  <si>
    <t>10 Meses sueldo</t>
  </si>
  <si>
    <t>Melva</t>
  </si>
  <si>
    <t>No.</t>
  </si>
  <si>
    <t>NOMBRE DE PROYECTO</t>
  </si>
  <si>
    <t>MONTO ESTIMADO POR EL CONCEJO FMLN</t>
  </si>
  <si>
    <t>COMUNIDADES</t>
  </si>
  <si>
    <t>Canaleta de Aguas Negras</t>
  </si>
  <si>
    <t>CANTON EL CUCO</t>
  </si>
  <si>
    <t>Proyecto Energia Electrica, Caserio San Roman.</t>
  </si>
  <si>
    <t>Pavimentacion Calles, Complejo España.</t>
  </si>
  <si>
    <t>Planchas para Planta Aguas Negras Col. Flores Andalucia.</t>
  </si>
  <si>
    <t>Casa Comunal Canton El Capulin</t>
  </si>
  <si>
    <t>CANTON EL CAPULIN</t>
  </si>
  <si>
    <t>Empedrado Fraguado Calle hacia el Talquezal</t>
  </si>
  <si>
    <t>Contruccion de Tanque de Agua, El Castaño</t>
  </si>
  <si>
    <t>Compra de Cancha de Futbol, Caserio La Flor.</t>
  </si>
  <si>
    <t>Juegos para Niños, Playa Grande.</t>
  </si>
  <si>
    <t>Fraguado de Calle, Caserio El Carao</t>
  </si>
  <si>
    <t>CANTON SAN PEDRO</t>
  </si>
  <si>
    <t>Compra de Terreno para Casa Comunal</t>
  </si>
  <si>
    <t>Fraguado de Calle, Caserio El Salto</t>
  </si>
  <si>
    <t>Contruccion de Cancha de Futbol, Col. Santa Maria</t>
  </si>
  <si>
    <t>CANTON TIERRA BLANCA</t>
  </si>
  <si>
    <t>Balastado de Calles, Col. Santa Maria.</t>
  </si>
  <si>
    <t>Fraguado de Cuesta en Calle hacia los Pajaritos.</t>
  </si>
  <si>
    <t>Fraguado de Calle Principal, Tierra Blanca</t>
  </si>
  <si>
    <t>Reparacion de Cerca, C.E. Puerto Viejo</t>
  </si>
  <si>
    <t>Pasarela Isla Olomeguita</t>
  </si>
  <si>
    <t>CANTON LA ESTRECHURA</t>
  </si>
  <si>
    <t>Mejoramiento Cancha de Futbol Los Rillitos</t>
  </si>
  <si>
    <t>Fraguado de Tramos de Calle, La Estrechura.</t>
  </si>
  <si>
    <t>Cerca Perimetral Cancha la Ceiba</t>
  </si>
  <si>
    <t>CANTON CHILANGUERA</t>
  </si>
  <si>
    <t>Contruccion de Muro Casa Comunal, El Chilar</t>
  </si>
  <si>
    <t>Contrapartida Puente hacia El Escondido</t>
  </si>
  <si>
    <t>Reparacion de Cancha y contruccion de Badenes, Valle Nuevo</t>
  </si>
  <si>
    <t>Reparacion de Puente hacia Col. Nueva Chilanguera</t>
  </si>
  <si>
    <t>Reparacion de Calle, Col. Palo Blanco</t>
  </si>
  <si>
    <t>Construccion de Casa Comunal El Tablon</t>
  </si>
  <si>
    <t>Calle El Carreto</t>
  </si>
  <si>
    <t>CANTON GUALOSO</t>
  </si>
  <si>
    <t>Calles de Comunidades Gualoso</t>
  </si>
  <si>
    <t>Mejoramiento Puente hacia El Rucio</t>
  </si>
  <si>
    <t>Calle El Caimito</t>
  </si>
  <si>
    <t>CASCO URBANO</t>
  </si>
  <si>
    <t>Mejoramiento Cancha de Futbol de  la Cribe</t>
  </si>
  <si>
    <t>CANTON GUADALUPE</t>
  </si>
  <si>
    <t>PROYECTOS DE AGUA POTABLE (LLANO Y EL TABLON)</t>
  </si>
  <si>
    <t xml:space="preserve">Aseo, Recolección, Transporte y Disposición Final de los Desechos Sólidos </t>
  </si>
  <si>
    <t>Reparación y Mejoramiento del Sistema de Alumbrado Público</t>
  </si>
  <si>
    <t xml:space="preserve">Mantenimiento de Maquinarias, Vehículos y Cortadoras de Grama </t>
  </si>
  <si>
    <t xml:space="preserve">Reparación y Mantenimiento de Calles Urbanas y Caminos Vecinales </t>
  </si>
  <si>
    <t>Mantenimiento de Sitios Públicos</t>
  </si>
  <si>
    <t>Fortalecimiento de la Producción Agropecuaria, Implementación de Huertos Familiares y Escolares en Busca de la Mejora Nutricional de las Familias.</t>
  </si>
  <si>
    <t>Apoyo a la Juventud orientado a la Prevención de la Violencia</t>
  </si>
  <si>
    <t>Otorgamiento de Becas para Estudios Superiores, a Jóvenes</t>
  </si>
  <si>
    <t xml:space="preserve">Celebración de las Fiestas Patronales </t>
  </si>
  <si>
    <t>Medio Ambiente</t>
  </si>
  <si>
    <t>TOTAL PROYECTOS INELUDIBLES</t>
  </si>
  <si>
    <t>$6,000.00 para nuevas becas</t>
  </si>
  <si>
    <t>CLASIFICACION</t>
  </si>
  <si>
    <t>Salud y Saneamiento Ambiental</t>
  </si>
  <si>
    <t>Electrico y Comunicaciones</t>
  </si>
  <si>
    <t>vial</t>
  </si>
  <si>
    <t>Educación y Recreación</t>
  </si>
  <si>
    <t>Infraestructura Diversa</t>
  </si>
  <si>
    <t>CARPETA</t>
  </si>
  <si>
    <t>Reparacion de Cerca perimetral, C.E. Puerto Viejo</t>
  </si>
  <si>
    <t>Ampliacion de red de energia electrica, Caserio San Roman.</t>
  </si>
  <si>
    <t>Construccion de casa comunal del Canton El Capulin</t>
  </si>
  <si>
    <t>Compra de Terreno para Casa Comunal de San Pedro</t>
  </si>
  <si>
    <t>Reparacion de pasarela en Isla Olomeguita, Cantón La Estrechura</t>
  </si>
  <si>
    <t>Contruccion de Muro en casa comunal, El Chilar</t>
  </si>
  <si>
    <t>Contrapartida Puente hacia El Escondido/MOP</t>
  </si>
  <si>
    <t>Reparacion de Puente hacia Col. Nueva, Hacienda Vieja, Chilanguera</t>
  </si>
  <si>
    <t>Mejoramiento de acceso y construccion de Boveda en calle hacia El Rucio</t>
  </si>
  <si>
    <t>Construccion de Canaleta para encausamiento de Aguas Negras</t>
  </si>
  <si>
    <t>Construccion de planchas para canaletas de la Planta Aguas Negras Col. Flores Andalucia.</t>
  </si>
  <si>
    <t>Proyectos de Agua Potable en (El LLANO Y EL TABLON)</t>
  </si>
  <si>
    <t>Empedrado Fraguado de 100 metros de calle que conduce hacia el Talquezal</t>
  </si>
  <si>
    <t>Fraguado de calle principal, Caserio El Carao</t>
  </si>
  <si>
    <t>Fraguado de Calle principal, Caserio El Salto</t>
  </si>
  <si>
    <t>Balastado de Calles internas de la Col. Santa Maria.</t>
  </si>
  <si>
    <t>Compra de terreno para cancha de futbol en caserio Gualosito, Canton Gualoso</t>
  </si>
  <si>
    <t>Mejoramiento de calle de El Carreto hacia el centro del Cantón Gualoso</t>
  </si>
  <si>
    <t>Reparacion y fraguado de Calles de Comunidades Gualoso (Llano Las Rosas, El Rucio, El Almidon, Zapatagua)</t>
  </si>
  <si>
    <t>Prioridad 2</t>
  </si>
  <si>
    <t>Fraguado/Pavimentacion Calles Internas de la  Col.  Española.</t>
  </si>
  <si>
    <t>Concreteado de Tramo de Calle del Barrio El Caimito hacia calle del Cantón Guadalupe</t>
  </si>
  <si>
    <t>salarios por Jornal</t>
  </si>
  <si>
    <t>1 motorista Pipa</t>
  </si>
  <si>
    <t>350*12</t>
  </si>
  <si>
    <t>N°</t>
  </si>
  <si>
    <t>NOMBRE</t>
  </si>
  <si>
    <t>CARGO</t>
  </si>
  <si>
    <t>SALARIO</t>
  </si>
  <si>
    <t>Aumentos</t>
  </si>
  <si>
    <t>Total Anual</t>
  </si>
  <si>
    <t>Aguinaldo</t>
  </si>
  <si>
    <t>ISSS Patronal</t>
  </si>
  <si>
    <t>AFP´s</t>
  </si>
  <si>
    <t>INPEP</t>
  </si>
  <si>
    <t>INSAFORP</t>
  </si>
  <si>
    <t>Total de Cuotas Patronales</t>
  </si>
  <si>
    <t>Patronal anual</t>
  </si>
  <si>
    <t>Total Sueldo y Cuotas Pat.</t>
  </si>
  <si>
    <t>MODALIDAD</t>
  </si>
  <si>
    <t>Manuel Antonio Vasquez Blanco</t>
  </si>
  <si>
    <t>Alcalde Municipal</t>
  </si>
  <si>
    <t>Mauricio Antonio Zambrano Campos</t>
  </si>
  <si>
    <t>Síndico Municipal</t>
  </si>
  <si>
    <t>Salarios</t>
  </si>
  <si>
    <t>Cristian Omar Amaya Medrano</t>
  </si>
  <si>
    <t>Secretario Municipal</t>
  </si>
  <si>
    <t>Ley de Salarios</t>
  </si>
  <si>
    <t>Delmy Aracely Ramos de Granados</t>
  </si>
  <si>
    <t>Auditora Interna</t>
  </si>
  <si>
    <t>Contrato Servicios Profesionales</t>
  </si>
  <si>
    <t>Secretaria del Despacho Municipal</t>
  </si>
  <si>
    <t>LINEA DE TRABAJO 0101</t>
  </si>
  <si>
    <t xml:space="preserve">Edwin Elias Sorto Guzmán </t>
  </si>
  <si>
    <t>Tesorero Municipal</t>
  </si>
  <si>
    <t>Gertrudis Concepción Olmos de Espinoza</t>
  </si>
  <si>
    <t>Auxiliar de Tesorería</t>
  </si>
  <si>
    <t>Caridad del Carmen Parada de Pérez</t>
  </si>
  <si>
    <t>Colectora</t>
  </si>
  <si>
    <t>Hugo Rolando Arias Gómez</t>
  </si>
  <si>
    <t>Contador Municipal</t>
  </si>
  <si>
    <t>Ciro Dionisio Machado Umaña</t>
  </si>
  <si>
    <t>Auxiliar de Contabiliad</t>
  </si>
  <si>
    <t>Rubidia Antonia Duran Meléndez</t>
  </si>
  <si>
    <t>Jefe de Unidad de UATM</t>
  </si>
  <si>
    <t>Zulma Patricia Fuentes Ríos</t>
  </si>
  <si>
    <t>Auxiliar de la UATM</t>
  </si>
  <si>
    <t>Ángel Gabriel Berríos Rivas</t>
  </si>
  <si>
    <t>Fidel Omar García Campos</t>
  </si>
  <si>
    <t>Jefe UACI</t>
  </si>
  <si>
    <t>Ana Luisa Miramontes</t>
  </si>
  <si>
    <t>Auxiliar de UACI</t>
  </si>
  <si>
    <t>Técnico Administrativo UACI</t>
  </si>
  <si>
    <t>Mafredis Menjivar Gonzalez</t>
  </si>
  <si>
    <t>Encargado de Archivo Institucional</t>
  </si>
  <si>
    <t xml:space="preserve">Contrato </t>
  </si>
  <si>
    <t>LINEA DE TRABAJO 0102</t>
  </si>
  <si>
    <t>Jefe del REF</t>
  </si>
  <si>
    <t>Evangelina Lemus Mendoza</t>
  </si>
  <si>
    <t>Auxiliar del REF</t>
  </si>
  <si>
    <t>Marvín Yomar Henríquez Rodas</t>
  </si>
  <si>
    <t>Sandra Yanira García de Campos</t>
  </si>
  <si>
    <t>LINEA DE TRABAJO 0201</t>
  </si>
  <si>
    <t>Francisco Javier Amaya Quinteros</t>
  </si>
  <si>
    <t>Encargado de la Unidad de Juventud y Deporte</t>
  </si>
  <si>
    <t>Aux. de Unidad de la Juventud y Deporte</t>
  </si>
  <si>
    <t>Fredi Balmoris Herrera Álvarez</t>
  </si>
  <si>
    <t>Encargado de la Unidad de Comunicaciones</t>
  </si>
  <si>
    <t>María Isabel Penado Bonilla</t>
  </si>
  <si>
    <t>Encargada de Tiangue</t>
  </si>
  <si>
    <t>Guadalupe Coreas de Solis</t>
  </si>
  <si>
    <t>Encargada de Baños Públicos</t>
  </si>
  <si>
    <t>Juan Antonio Ramos Lemus</t>
  </si>
  <si>
    <t>Encargado de Planta Col. F</t>
  </si>
  <si>
    <t>Carmen Coreas Vásquez</t>
  </si>
  <si>
    <t>Ordenanza</t>
  </si>
  <si>
    <t>Atilio Vásquez</t>
  </si>
  <si>
    <t>Brenda Vanessa Guerrero Romero</t>
  </si>
  <si>
    <t>Recepcionista</t>
  </si>
  <si>
    <t>Balmore Antonio Castro Rivas</t>
  </si>
  <si>
    <t>Mantenimiento Estadio C. Moon</t>
  </si>
  <si>
    <t>Antonio Romero Arevalo</t>
  </si>
  <si>
    <t>Vigilante del Mercado</t>
  </si>
  <si>
    <t>José Nery Rivas Romero</t>
  </si>
  <si>
    <t>Auxiliar de  Mtto. Parque Municipal</t>
  </si>
  <si>
    <t>LINEA DE TRABAJO 0202</t>
  </si>
  <si>
    <t>TOTAL DE PERMANENTES</t>
  </si>
  <si>
    <t>Jefe Unidad de Turismo</t>
  </si>
  <si>
    <t>PERSONAL POR CONTRATO</t>
  </si>
  <si>
    <t>PERSONAL EVENTUAL</t>
  </si>
  <si>
    <t>Presupuesto</t>
  </si>
  <si>
    <t xml:space="preserve">cantidad </t>
  </si>
  <si>
    <t>Salvavidas fin de semana</t>
  </si>
  <si>
    <t>Salvalvidas VACACIONES DE MARZO</t>
  </si>
  <si>
    <t>Salvavidas VACACIONES DE AGOSTO</t>
  </si>
  <si>
    <t>Salvavidas VACACIONES DE DICIEMBRE</t>
  </si>
  <si>
    <t>Barrenderos vacaciones marzo, agosto y diciembre</t>
  </si>
  <si>
    <t>Atencion del Estadio en fin de semana</t>
  </si>
  <si>
    <t>1 Motorista de Camion Cisterna (medio tiempo)</t>
  </si>
  <si>
    <t>1 Motorista de Camion Hiunday (medio tiempo)</t>
  </si>
  <si>
    <t>NOTAS</t>
  </si>
  <si>
    <t>PROYECTO DE UNIDAD AGROPECUARIA, QUE incluiria sueldos, actividades y compra de insumos agropecuarios</t>
  </si>
  <si>
    <t xml:space="preserve">PROYECTO DE CONVIVENCIA Y PREVENCION DE LA VIOLENCIA, DEPORTES, …..(Escuela de futbol) </t>
  </si>
  <si>
    <t>PROYECTO DE ASEO, RECOLECCION, TRANSPORTE Y DISPOSICIÓN FINAL DE DESECHOS SOLIDOS (De Enero a Septiembre 2016)</t>
  </si>
  <si>
    <t>PROYECTO DE AMPLIACION, REPARACION Y MANTENIMIENTO DE ALUMBRADO PUBLICO</t>
  </si>
  <si>
    <t>PROYECTO DE REPARACION Y MANTENIMIENTO DE CALLES URBANAS Y CAMINOS VECINALES</t>
  </si>
  <si>
    <t>PROYECTO DE MANTENIMIENTO DE MAQUINARIA, VEHICULOS Y CORTADORAS DE GRAMA</t>
  </si>
  <si>
    <t>PROYECTO DE MANTENIMIENTO Y REPARACION DE SITIOS PUBLICOS (PARQUES, PLAZAS, ……)</t>
  </si>
  <si>
    <t>PROYECTO DE OBRAS DIVERSAS</t>
  </si>
  <si>
    <t>APERTURAR CUENTAS DE PREINVERSION</t>
  </si>
  <si>
    <t>COMURES</t>
  </si>
  <si>
    <t>EEO</t>
  </si>
  <si>
    <t xml:space="preserve">PATRONALES </t>
  </si>
  <si>
    <t>PLANILLA</t>
  </si>
  <si>
    <t>TELECOM</t>
  </si>
  <si>
    <t>Aguinaldos</t>
  </si>
  <si>
    <t>AGUA</t>
  </si>
  <si>
    <t>Dietas</t>
  </si>
  <si>
    <t>INTERNET</t>
  </si>
  <si>
    <t>Indemnizaciones</t>
  </si>
  <si>
    <t>Intenet SAFIM</t>
  </si>
  <si>
    <t>COMBUSTIBLE</t>
  </si>
  <si>
    <t>75% FODES 25</t>
  </si>
  <si>
    <t>Uniformes</t>
  </si>
  <si>
    <t>Internet SAFIM</t>
  </si>
  <si>
    <t>Fondos Propios</t>
  </si>
  <si>
    <t>Apoyo a Educación</t>
  </si>
  <si>
    <t>dietas</t>
  </si>
  <si>
    <t>uniformes</t>
  </si>
  <si>
    <t>Papeleria</t>
  </si>
  <si>
    <t>Reparaciones y Mantto.</t>
  </si>
  <si>
    <t>Iveth (10)</t>
  </si>
  <si>
    <t>Gustavo (4)</t>
  </si>
  <si>
    <t>Gertrudis (12)</t>
  </si>
  <si>
    <t>Angel (4)</t>
  </si>
  <si>
    <t>Dionicio (8)</t>
  </si>
  <si>
    <t>Ernesto (5)</t>
  </si>
  <si>
    <t>Yanira (12)</t>
  </si>
  <si>
    <t xml:space="preserve">Barrenderos eventuales </t>
  </si>
  <si>
    <t>MONTO ESTIMADO POR EL CONCEJO</t>
  </si>
  <si>
    <t>Promedio oct- nov y dic</t>
  </si>
  <si>
    <t>Base Incremento Porcentual del 2%</t>
  </si>
  <si>
    <t>Fianzas</t>
  </si>
  <si>
    <t>Total a Oct. 2017</t>
  </si>
  <si>
    <t>2017 con promedio nov y dic</t>
  </si>
  <si>
    <t>Unidad de la Mujer y la Niñez</t>
  </si>
  <si>
    <t xml:space="preserve">Yuri Alvida Guandique Hernandez </t>
  </si>
  <si>
    <t>Angel Eduardo Reyes Nuila</t>
  </si>
  <si>
    <t>Reina Patricia Salgado Mejia</t>
  </si>
  <si>
    <t>Brendis Lisseth Del Cid de Herrera</t>
  </si>
  <si>
    <t>Encargado de UMA</t>
  </si>
  <si>
    <t>Willian Balmore Campos Cordova</t>
  </si>
  <si>
    <t>Flor Marisol Ramos Alvarez</t>
  </si>
  <si>
    <t>Mirna Patricia Moreno de López</t>
  </si>
  <si>
    <t>Auxiliar de UMN</t>
  </si>
  <si>
    <t>Kelvin Alberto Reyes Zambrano</t>
  </si>
  <si>
    <t>José Sebastian Alvarez Orellana</t>
  </si>
  <si>
    <t xml:space="preserve">motorista ambulancia </t>
  </si>
  <si>
    <t>José Ricardo Torres</t>
  </si>
  <si>
    <t>motorista</t>
  </si>
  <si>
    <t>Vilma Haydee Rodriguez</t>
  </si>
  <si>
    <t>Yesly Berenise Reyes Ferman</t>
  </si>
  <si>
    <t>Neris Alberto Galeas Caballero</t>
  </si>
  <si>
    <t>Santos Luis Romero</t>
  </si>
  <si>
    <t>Encargado de Mantenimiento de Parque y Malecón</t>
  </si>
  <si>
    <t>Ismelda Carolina Sandoval de Berríos</t>
  </si>
  <si>
    <t>Encargada de Baños Públicos, Sector Oriente del Malecón, en el Cuco</t>
  </si>
  <si>
    <t>Amílcar Antonio Pineda Fuentes</t>
  </si>
  <si>
    <t>Vigilante del Parque Municipal</t>
  </si>
  <si>
    <t>Juan Rivera Arias</t>
  </si>
  <si>
    <t>Auxiliar de Mantenimiento del Parque Municipal</t>
  </si>
  <si>
    <t>José Felipe Ramos</t>
  </si>
  <si>
    <t>Barrendero</t>
  </si>
  <si>
    <t>Fernando Castillo Galeas</t>
  </si>
  <si>
    <t>Motorista</t>
  </si>
  <si>
    <t>José Mario Méndez Amaya</t>
  </si>
  <si>
    <t>José Rafael Viera Díaz</t>
  </si>
  <si>
    <t>Noel Alexander Ventura Ayala</t>
  </si>
  <si>
    <t>Julio César Esquivel Vaquerano</t>
  </si>
  <si>
    <t>Barrendero Plaza Pública</t>
  </si>
  <si>
    <t>Ever Mauricio Díaz</t>
  </si>
  <si>
    <t>Barrendero Col. Las Flores.</t>
  </si>
  <si>
    <t>Jose David Diaz Morales</t>
  </si>
  <si>
    <t>barrendero</t>
  </si>
  <si>
    <t>José Eduardo Ortega</t>
  </si>
  <si>
    <t>Matto. Pta. TTMTO.</t>
  </si>
  <si>
    <t>Lucas Contreras Pérez</t>
  </si>
  <si>
    <t>Auxiliar Planta Col. F</t>
  </si>
  <si>
    <t>Mauro Edenilson Sorto Henriquez</t>
  </si>
  <si>
    <t>Santos Virgilio Rivas Portillo</t>
  </si>
  <si>
    <t>Cargador</t>
  </si>
  <si>
    <t>Edgar David Saravia Hernandez</t>
  </si>
  <si>
    <t>Enc. Mantto. Maquinaria</t>
  </si>
  <si>
    <t>Santos Pablo Rodríguez Bonilla</t>
  </si>
  <si>
    <t>Electricista</t>
  </si>
  <si>
    <t>José Flores Pineda</t>
  </si>
  <si>
    <t>Aux. Electricista</t>
  </si>
  <si>
    <t>Rosa Emerita Quintanilla Guardado</t>
  </si>
  <si>
    <t>Juridico</t>
  </si>
  <si>
    <t>Roberto Antonio Berrios Torres</t>
  </si>
  <si>
    <t>Raúl Tobar</t>
  </si>
  <si>
    <t>Elias Carcamo</t>
  </si>
  <si>
    <t>Leonidas Cruz</t>
  </si>
  <si>
    <t>Encargado de limpieza y ornato en el Malecom</t>
  </si>
  <si>
    <t xml:space="preserve">Felix Angel Henriquez Ramos </t>
  </si>
  <si>
    <t>Encargado de baños Públicos, Sector Oriente del Malecón, en el Cuco</t>
  </si>
  <si>
    <t>Cristino Molina Fuentes</t>
  </si>
  <si>
    <t>Kherilyn Stefany González Díaz</t>
  </si>
  <si>
    <t>Cargadores de Camion recolectar</t>
  </si>
  <si>
    <t>Barrendero en Cuco</t>
  </si>
  <si>
    <t>Barrendero en cuco</t>
  </si>
  <si>
    <t>Jefe de la Unidad Agropecuaria</t>
  </si>
  <si>
    <t>Jefe de Desarrollo Comunal</t>
  </si>
  <si>
    <t>Auxiliar de Desarrollo comunal</t>
  </si>
  <si>
    <t>Auxiliar UACI</t>
  </si>
  <si>
    <t xml:space="preserve">Gestor de proyectos </t>
  </si>
  <si>
    <t>Ecargada de mantto. De mercado provisional</t>
  </si>
  <si>
    <t xml:space="preserve">Total con Aumento </t>
  </si>
  <si>
    <t>Aseo</t>
  </si>
  <si>
    <t>Aporte INSAFORP</t>
  </si>
  <si>
    <t>Patronal INPEP</t>
  </si>
  <si>
    <t>Patronal AFP</t>
  </si>
  <si>
    <t>Patronal ISSS</t>
  </si>
  <si>
    <t>Sueldos  fondos propios y 25%</t>
  </si>
  <si>
    <t>Total Alfabetizacion y Juridico</t>
  </si>
  <si>
    <t>Promotor de Alfabetización</t>
  </si>
  <si>
    <t>Rosa Lilian Vásquez Campos</t>
  </si>
  <si>
    <t xml:space="preserve">Total Proyecto Agropecuario </t>
  </si>
  <si>
    <t>Promotor de la unidad agropecuaria</t>
  </si>
  <si>
    <t>Total Proyecto Electrico</t>
  </si>
  <si>
    <t>Total Proyecto Mantenimiento de Maquinaria</t>
  </si>
  <si>
    <t>Total de Proyecto Aseo y Recoleccion de Desechos</t>
  </si>
  <si>
    <t>Total Proyecto de Mantenimiento de Sitios Publicos</t>
  </si>
  <si>
    <t>Encargado de baños Públicos, Parque Chirilagua a medio tiempo</t>
  </si>
  <si>
    <t>PERSONAL DE PROYECTOS Y POR CONTRATO</t>
  </si>
  <si>
    <t>Anual</t>
  </si>
  <si>
    <t>Fontanero</t>
  </si>
  <si>
    <t>Gerente General</t>
  </si>
  <si>
    <t>Jose Eliodoro Portillo Lara</t>
  </si>
  <si>
    <t>Victor Alfonso Rivas Martinez</t>
  </si>
  <si>
    <t>DETALLE DE PERSONAL, CARGOS Y SALARIOS    2017</t>
  </si>
  <si>
    <t>ISSS Proyectos y otros</t>
  </si>
  <si>
    <t>Otros no contemplados en FP como sueldos</t>
  </si>
  <si>
    <t xml:space="preserve">AFP Proyectos y otros </t>
  </si>
  <si>
    <t>Aguinaldos de otros x proy.</t>
  </si>
  <si>
    <t>Sueldos a partir del mes de abril</t>
  </si>
  <si>
    <t>Eduardo Nuila</t>
  </si>
  <si>
    <t>8 meses</t>
  </si>
  <si>
    <t>por 4 meses</t>
  </si>
  <si>
    <t>Promotor de educacion</t>
  </si>
  <si>
    <t>Lilian Vasquez</t>
  </si>
  <si>
    <t>Nuevas contrataciones linea 0202</t>
  </si>
  <si>
    <t>Planilla para 2 meses, pagar una entre enero y abril</t>
  </si>
  <si>
    <t>14201</t>
  </si>
  <si>
    <t>Prestacion de servicios basicos</t>
  </si>
  <si>
    <t>PRESUPUESTO MUNICIPAL 2018</t>
  </si>
  <si>
    <t>PRESUPUESTO 2018</t>
  </si>
  <si>
    <t xml:space="preserve"> TOTAL</t>
  </si>
  <si>
    <t>FORMULACIÓN DEL PRESUPUESTO MUNICIPAL DE INGRESOS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</si>
</sst>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;\-&quot;$&quot;#,##0"/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\ _€_-;\-* #,##0.00\ _€_-;_-* &quot;-&quot;??\ _€_-;_-@_-"/>
    <numFmt numFmtId="168" formatCode="_(&quot;$&quot;\ * #,##0.00_);_(&quot;$&quot;\ * \(#,##0.00\);_(&quot;$&quot;\ * &quot;-&quot;??_);_(@_)"/>
    <numFmt numFmtId="169" formatCode="_-[$€-2]* #,##0.00_-;\-[$€-2]* #,##0.00_-;_-[$€-2]* &quot;-&quot;??_-"/>
    <numFmt numFmtId="170" formatCode="_-[$$-540A]* #,##0.00_ ;_-[$$-540A]* \-#,##0.00\ ;_-[$$-540A]* &quot;-&quot;??_ ;_-@_ "/>
    <numFmt numFmtId="171" formatCode="&quot;$&quot;#,##0.00"/>
  </numFmts>
  <fonts count="6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theme="1"/>
      <name val="Courier New"/>
      <family val="3"/>
    </font>
    <font>
      <sz val="12"/>
      <color theme="1"/>
      <name val="Courier New"/>
      <family val="3"/>
    </font>
    <font>
      <sz val="10"/>
      <name val="Arial"/>
      <family val="2"/>
    </font>
    <font>
      <b/>
      <sz val="10"/>
      <color indexed="12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name val="Arial"/>
      <family val="2"/>
    </font>
    <font>
      <b/>
      <sz val="12"/>
      <name val="Trebuchet MS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name val="Trebuchet MS"/>
      <family val="2"/>
    </font>
    <font>
      <sz val="14"/>
      <name val="Arial"/>
      <family val="2"/>
    </font>
    <font>
      <sz val="14"/>
      <name val="Trebuchet MS"/>
      <family val="2"/>
    </font>
    <font>
      <sz val="14"/>
      <color theme="1"/>
      <name val="Courier New"/>
      <family val="3"/>
    </font>
    <font>
      <sz val="18"/>
      <color theme="1"/>
      <name val="Courier New"/>
      <family val="3"/>
    </font>
    <font>
      <sz val="16"/>
      <name val="Trebuchet MS"/>
      <family val="2"/>
    </font>
    <font>
      <sz val="16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6"/>
      <color rgb="FF000000"/>
      <name val="Arial"/>
      <family val="2"/>
    </font>
    <font>
      <sz val="11"/>
      <color theme="1"/>
      <name val="Arial"/>
      <family val="2"/>
    </font>
    <font>
      <sz val="16"/>
      <color rgb="FF00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8"/>
      <color indexed="81"/>
      <name val="Tahoma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rgb="FF000000"/>
      <name val="Arial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22"/>
      </patternFill>
    </fill>
    <fill>
      <patternFill patternType="gray125">
        <fgColor indexed="22"/>
        <bgColor indexed="11"/>
      </patternFill>
    </fill>
    <fill>
      <patternFill patternType="lightTrellis">
        <fgColor indexed="22"/>
        <bgColor indexed="11"/>
      </patternFill>
    </fill>
    <fill>
      <patternFill patternType="gray125">
        <fgColor indexed="22"/>
        <bgColor indexed="49"/>
      </patternFill>
    </fill>
    <fill>
      <patternFill patternType="gray125">
        <fgColor indexed="22"/>
        <bgColor indexed="43"/>
      </patternFill>
    </fill>
    <fill>
      <patternFill patternType="gray125">
        <fgColor indexed="22"/>
        <bgColor indexed="53"/>
      </patternFill>
    </fill>
    <fill>
      <patternFill patternType="gray125">
        <fgColor indexed="22"/>
        <bgColor indexed="13"/>
      </patternFill>
    </fill>
    <fill>
      <patternFill patternType="gray125">
        <fgColor indexed="22"/>
        <bgColor indexed="44"/>
      </patternFill>
    </fill>
    <fill>
      <patternFill patternType="gray125">
        <fgColor indexed="22"/>
        <bgColor indexed="52"/>
      </patternFill>
    </fill>
    <fill>
      <patternFill patternType="gray125">
        <fgColor indexed="22"/>
        <bgColor indexed="17"/>
      </patternFill>
    </fill>
    <fill>
      <patternFill patternType="gray125">
        <fgColor indexed="22"/>
        <bgColor indexed="31"/>
      </patternFill>
    </fill>
    <fill>
      <patternFill patternType="lightTrellis">
        <fgColor indexed="22"/>
        <bgColor indexed="29"/>
      </patternFill>
    </fill>
    <fill>
      <patternFill patternType="lightTrellis">
        <fgColor indexed="22"/>
        <bgColor indexed="36"/>
      </patternFill>
    </fill>
    <fill>
      <patternFill patternType="gray125">
        <fgColor indexed="22"/>
        <bgColor indexed="27"/>
      </patternFill>
    </fill>
    <fill>
      <patternFill patternType="gray125">
        <fgColor indexed="22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DC3F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5" fontId="4" fillId="0" borderId="0" applyFont="0" applyFill="0" applyBorder="0" applyAlignment="0" applyProtection="0"/>
    <xf numFmtId="0" fontId="14" fillId="0" borderId="0"/>
    <xf numFmtId="16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5" fontId="14" fillId="0" borderId="0" applyFont="0" applyFill="0" applyBorder="0" applyAlignment="0" applyProtection="0"/>
    <xf numFmtId="0" fontId="14" fillId="0" borderId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68">
    <xf numFmtId="0" fontId="0" fillId="0" borderId="0" xfId="0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" xfId="0" applyFont="1" applyBorder="1"/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27" xfId="0" applyFont="1" applyBorder="1"/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8" xfId="0" applyFont="1" applyBorder="1" applyAlignment="1">
      <alignment wrapText="1"/>
    </xf>
    <xf numFmtId="0" fontId="0" fillId="0" borderId="20" xfId="0" applyBorder="1"/>
    <xf numFmtId="0" fontId="0" fillId="0" borderId="29" xfId="0" applyBorder="1"/>
    <xf numFmtId="0" fontId="0" fillId="0" borderId="30" xfId="0" applyBorder="1"/>
    <xf numFmtId="165" fontId="0" fillId="0" borderId="1" xfId="0" applyNumberForma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Fill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165" fontId="3" fillId="0" borderId="1" xfId="0" applyNumberFormat="1" applyFont="1" applyBorder="1"/>
    <xf numFmtId="165" fontId="2" fillId="0" borderId="1" xfId="0" applyNumberFormat="1" applyFont="1" applyBorder="1"/>
    <xf numFmtId="165" fontId="1" fillId="0" borderId="1" xfId="0" applyNumberFormat="1" applyFont="1" applyBorder="1"/>
    <xf numFmtId="165" fontId="1" fillId="0" borderId="2" xfId="0" applyNumberFormat="1" applyFont="1" applyBorder="1"/>
    <xf numFmtId="165" fontId="0" fillId="0" borderId="2" xfId="0" applyNumberFormat="1" applyBorder="1"/>
    <xf numFmtId="165" fontId="3" fillId="0" borderId="2" xfId="0" applyNumberFormat="1" applyFont="1" applyBorder="1"/>
    <xf numFmtId="165" fontId="1" fillId="0" borderId="32" xfId="0" applyNumberFormat="1" applyFont="1" applyBorder="1"/>
    <xf numFmtId="165" fontId="1" fillId="0" borderId="33" xfId="0" applyNumberFormat="1" applyFont="1" applyBorder="1"/>
    <xf numFmtId="165" fontId="0" fillId="0" borderId="32" xfId="0" applyNumberFormat="1" applyBorder="1"/>
    <xf numFmtId="165" fontId="1" fillId="0" borderId="34" xfId="0" applyNumberFormat="1" applyFont="1" applyBorder="1"/>
    <xf numFmtId="165" fontId="3" fillId="0" borderId="32" xfId="0" applyNumberFormat="1" applyFont="1" applyBorder="1"/>
    <xf numFmtId="165" fontId="3" fillId="0" borderId="33" xfId="0" applyNumberFormat="1" applyFont="1" applyBorder="1"/>
    <xf numFmtId="165" fontId="0" fillId="0" borderId="33" xfId="0" applyNumberFormat="1" applyBorder="1"/>
    <xf numFmtId="165" fontId="1" fillId="0" borderId="5" xfId="0" applyNumberFormat="1" applyFont="1" applyBorder="1"/>
    <xf numFmtId="165" fontId="1" fillId="0" borderId="6" xfId="0" applyNumberFormat="1" applyFont="1" applyBorder="1"/>
    <xf numFmtId="165" fontId="1" fillId="0" borderId="7" xfId="0" applyNumberFormat="1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22" xfId="0" applyFont="1" applyBorder="1"/>
    <xf numFmtId="165" fontId="0" fillId="0" borderId="33" xfId="0" applyNumberFormat="1" applyFont="1" applyBorder="1"/>
    <xf numFmtId="165" fontId="0" fillId="0" borderId="2" xfId="0" applyNumberFormat="1" applyFont="1" applyBorder="1"/>
    <xf numFmtId="165" fontId="1" fillId="2" borderId="0" xfId="1" applyFont="1" applyFill="1"/>
    <xf numFmtId="165" fontId="1" fillId="0" borderId="0" xfId="0" applyNumberFormat="1" applyFont="1"/>
    <xf numFmtId="166" fontId="0" fillId="0" borderId="1" xfId="0" applyNumberFormat="1" applyFont="1" applyBorder="1" applyAlignment="1">
      <alignment wrapText="1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7" xfId="0" applyFont="1" applyBorder="1" applyAlignment="1"/>
    <xf numFmtId="0" fontId="1" fillId="0" borderId="38" xfId="0" applyFont="1" applyBorder="1" applyAlignment="1"/>
    <xf numFmtId="0" fontId="1" fillId="0" borderId="39" xfId="0" applyFont="1" applyBorder="1" applyAlignment="1"/>
    <xf numFmtId="0" fontId="2" fillId="0" borderId="27" xfId="0" applyFont="1" applyBorder="1" applyAlignment="1">
      <alignment wrapText="1"/>
    </xf>
    <xf numFmtId="0" fontId="3" fillId="0" borderId="32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2" xfId="0" applyFont="1" applyFill="1" applyBorder="1" applyAlignment="1">
      <alignment horizontal="left"/>
    </xf>
    <xf numFmtId="0" fontId="3" fillId="0" borderId="32" xfId="0" applyFont="1" applyFill="1" applyBorder="1" applyAlignment="1">
      <alignment horizontal="left"/>
    </xf>
    <xf numFmtId="0" fontId="1" fillId="0" borderId="42" xfId="0" applyFont="1" applyBorder="1"/>
    <xf numFmtId="0" fontId="1" fillId="0" borderId="43" xfId="0" applyFont="1" applyBorder="1"/>
    <xf numFmtId="165" fontId="0" fillId="0" borderId="0" xfId="0" applyNumberFormat="1"/>
    <xf numFmtId="165" fontId="5" fillId="0" borderId="0" xfId="0" applyNumberFormat="1" applyFont="1"/>
    <xf numFmtId="0" fontId="1" fillId="0" borderId="0" xfId="0" applyFont="1"/>
    <xf numFmtId="0" fontId="14" fillId="0" borderId="0" xfId="2"/>
    <xf numFmtId="0" fontId="14" fillId="3" borderId="0" xfId="2" applyFill="1"/>
    <xf numFmtId="0" fontId="15" fillId="3" borderId="0" xfId="2" applyFont="1" applyFill="1"/>
    <xf numFmtId="0" fontId="16" fillId="3" borderId="0" xfId="2" applyFont="1" applyFill="1"/>
    <xf numFmtId="0" fontId="16" fillId="3" borderId="0" xfId="2" applyFont="1" applyFill="1" applyAlignment="1">
      <alignment horizontal="center"/>
    </xf>
    <xf numFmtId="0" fontId="20" fillId="0" borderId="0" xfId="2" applyFont="1"/>
    <xf numFmtId="0" fontId="20" fillId="3" borderId="0" xfId="2" applyFont="1" applyFill="1"/>
    <xf numFmtId="0" fontId="17" fillId="3" borderId="0" xfId="2" applyFont="1" applyFill="1"/>
    <xf numFmtId="49" fontId="19" fillId="3" borderId="0" xfId="2" applyNumberFormat="1" applyFont="1" applyFill="1" applyBorder="1" applyAlignment="1">
      <alignment horizontal="left"/>
    </xf>
    <xf numFmtId="0" fontId="19" fillId="4" borderId="0" xfId="2" applyFont="1" applyFill="1" applyBorder="1" applyAlignment="1">
      <alignment vertical="center" wrapText="1"/>
    </xf>
    <xf numFmtId="49" fontId="16" fillId="3" borderId="0" xfId="2" applyNumberFormat="1" applyFont="1" applyFill="1" applyAlignment="1">
      <alignment horizontal="center"/>
    </xf>
    <xf numFmtId="0" fontId="18" fillId="6" borderId="40" xfId="2" applyFont="1" applyFill="1" applyBorder="1" applyAlignment="1">
      <alignment vertical="center" wrapText="1"/>
    </xf>
    <xf numFmtId="0" fontId="14" fillId="0" borderId="0" xfId="2" applyFill="1"/>
    <xf numFmtId="0" fontId="19" fillId="12" borderId="39" xfId="2" applyFont="1" applyFill="1" applyBorder="1" applyAlignment="1">
      <alignment horizontal="center" vertical="center" textRotation="90" wrapText="1"/>
    </xf>
    <xf numFmtId="0" fontId="19" fillId="13" borderId="40" xfId="2" applyFont="1" applyFill="1" applyBorder="1" applyAlignment="1">
      <alignment horizontal="center" vertical="center" textRotation="90" wrapText="1"/>
    </xf>
    <xf numFmtId="0" fontId="19" fillId="16" borderId="19" xfId="2" applyFont="1" applyFill="1" applyBorder="1" applyAlignment="1">
      <alignment horizontal="center" vertical="center" textRotation="90" wrapText="1"/>
    </xf>
    <xf numFmtId="0" fontId="17" fillId="17" borderId="40" xfId="2" applyFont="1" applyFill="1" applyBorder="1" applyAlignment="1">
      <alignment horizontal="center" wrapText="1"/>
    </xf>
    <xf numFmtId="0" fontId="19" fillId="16" borderId="18" xfId="2" applyFont="1" applyFill="1" applyBorder="1" applyAlignment="1">
      <alignment horizontal="center" vertical="center" textRotation="90" wrapText="1"/>
    </xf>
    <xf numFmtId="0" fontId="19" fillId="16" borderId="17" xfId="2" applyFont="1" applyFill="1" applyBorder="1" applyAlignment="1">
      <alignment horizontal="center" vertical="center" textRotation="90" wrapText="1"/>
    </xf>
    <xf numFmtId="0" fontId="6" fillId="0" borderId="0" xfId="0" applyFont="1"/>
    <xf numFmtId="0" fontId="25" fillId="0" borderId="0" xfId="0" applyFont="1"/>
    <xf numFmtId="165" fontId="6" fillId="0" borderId="0" xfId="0" applyNumberFormat="1" applyFont="1"/>
    <xf numFmtId="165" fontId="9" fillId="0" borderId="0" xfId="0" applyNumberFormat="1" applyFont="1"/>
    <xf numFmtId="0" fontId="7" fillId="0" borderId="1" xfId="0" applyFont="1" applyBorder="1"/>
    <xf numFmtId="0" fontId="26" fillId="0" borderId="1" xfId="0" applyFont="1" applyBorder="1"/>
    <xf numFmtId="165" fontId="7" fillId="0" borderId="1" xfId="0" applyNumberFormat="1" applyFont="1" applyBorder="1"/>
    <xf numFmtId="0" fontId="17" fillId="3" borderId="0" xfId="2" applyFont="1" applyFill="1" applyAlignment="1">
      <alignment wrapText="1"/>
    </xf>
    <xf numFmtId="0" fontId="16" fillId="3" borderId="0" xfId="2" applyFont="1" applyFill="1" applyAlignment="1">
      <alignment wrapText="1"/>
    </xf>
    <xf numFmtId="165" fontId="5" fillId="0" borderId="1" xfId="0" applyNumberFormat="1" applyFont="1" applyBorder="1"/>
    <xf numFmtId="165" fontId="29" fillId="0" borderId="1" xfId="0" applyNumberFormat="1" applyFont="1" applyBorder="1"/>
    <xf numFmtId="0" fontId="1" fillId="0" borderId="0" xfId="0" applyNumberFormat="1" applyFont="1"/>
    <xf numFmtId="167" fontId="0" fillId="0" borderId="0" xfId="0" applyNumberFormat="1"/>
    <xf numFmtId="0" fontId="31" fillId="3" borderId="0" xfId="2" applyFont="1" applyFill="1"/>
    <xf numFmtId="0" fontId="31" fillId="0" borderId="0" xfId="2" applyFont="1"/>
    <xf numFmtId="0" fontId="30" fillId="3" borderId="0" xfId="2" applyFont="1" applyFill="1"/>
    <xf numFmtId="0" fontId="30" fillId="0" borderId="0" xfId="2" applyFont="1"/>
    <xf numFmtId="0" fontId="14" fillId="0" borderId="0" xfId="2" applyFont="1"/>
    <xf numFmtId="0" fontId="19" fillId="14" borderId="40" xfId="2" applyFont="1" applyFill="1" applyBorder="1" applyAlignment="1">
      <alignment horizontal="center" vertical="center" textRotation="90" wrapText="1"/>
    </xf>
    <xf numFmtId="0" fontId="31" fillId="19" borderId="0" xfId="2" applyFont="1" applyFill="1"/>
    <xf numFmtId="0" fontId="30" fillId="19" borderId="0" xfId="2" applyFont="1" applyFill="1"/>
    <xf numFmtId="168" fontId="31" fillId="19" borderId="0" xfId="2" applyNumberFormat="1" applyFont="1" applyFill="1"/>
    <xf numFmtId="165" fontId="1" fillId="19" borderId="0" xfId="0" applyNumberFormat="1" applyFont="1" applyFill="1"/>
    <xf numFmtId="49" fontId="18" fillId="3" borderId="47" xfId="2" applyNumberFormat="1" applyFont="1" applyFill="1" applyBorder="1" applyAlignment="1">
      <alignment horizontal="center"/>
    </xf>
    <xf numFmtId="0" fontId="29" fillId="0" borderId="10" xfId="0" applyFont="1" applyBorder="1" applyAlignment="1">
      <alignment vertical="center" wrapText="1"/>
    </xf>
    <xf numFmtId="168" fontId="18" fillId="3" borderId="44" xfId="3" applyFont="1" applyFill="1" applyBorder="1" applyAlignment="1">
      <alignment horizontal="center"/>
    </xf>
    <xf numFmtId="168" fontId="18" fillId="3" borderId="47" xfId="3" applyFont="1" applyFill="1" applyBorder="1" applyAlignment="1">
      <alignment horizontal="center"/>
    </xf>
    <xf numFmtId="49" fontId="32" fillId="3" borderId="44" xfId="2" applyNumberFormat="1" applyFont="1" applyFill="1" applyBorder="1" applyAlignment="1">
      <alignment horizontal="center"/>
    </xf>
    <xf numFmtId="0" fontId="5" fillId="0" borderId="10" xfId="0" applyFont="1" applyBorder="1" applyAlignment="1">
      <alignment vertical="center" wrapText="1"/>
    </xf>
    <xf numFmtId="168" fontId="32" fillId="3" borderId="44" xfId="3" applyFont="1" applyFill="1" applyBorder="1" applyAlignment="1">
      <alignment horizontal="center"/>
    </xf>
    <xf numFmtId="0" fontId="32" fillId="0" borderId="46" xfId="2" applyFont="1" applyFill="1" applyBorder="1" applyAlignment="1">
      <alignment horizontal="center" vertical="center" wrapText="1"/>
    </xf>
    <xf numFmtId="0" fontId="18" fillId="0" borderId="46" xfId="2" applyFont="1" applyFill="1" applyBorder="1" applyAlignment="1">
      <alignment horizontal="center" vertical="center" wrapText="1"/>
    </xf>
    <xf numFmtId="49" fontId="32" fillId="3" borderId="46" xfId="2" applyNumberFormat="1" applyFont="1" applyFill="1" applyBorder="1" applyAlignment="1">
      <alignment horizontal="center"/>
    </xf>
    <xf numFmtId="49" fontId="32" fillId="3" borderId="45" xfId="2" applyNumberFormat="1" applyFont="1" applyFill="1" applyBorder="1" applyAlignment="1">
      <alignment horizontal="center"/>
    </xf>
    <xf numFmtId="49" fontId="18" fillId="3" borderId="45" xfId="2" applyNumberFormat="1" applyFont="1" applyFill="1" applyBorder="1" applyAlignment="1">
      <alignment horizontal="center"/>
    </xf>
    <xf numFmtId="168" fontId="18" fillId="3" borderId="41" xfId="3" applyFont="1" applyFill="1" applyBorder="1" applyAlignment="1">
      <alignment horizontal="center"/>
    </xf>
    <xf numFmtId="168" fontId="32" fillId="3" borderId="41" xfId="3" applyFont="1" applyFill="1" applyBorder="1" applyAlignment="1">
      <alignment horizontal="center"/>
    </xf>
    <xf numFmtId="0" fontId="32" fillId="3" borderId="10" xfId="2" applyFont="1" applyFill="1" applyBorder="1" applyAlignment="1">
      <alignment horizontal="justify" vertical="justify" wrapText="1"/>
    </xf>
    <xf numFmtId="170" fontId="32" fillId="19" borderId="44" xfId="3" applyNumberFormat="1" applyFont="1" applyFill="1" applyBorder="1" applyAlignment="1">
      <alignment horizontal="center"/>
    </xf>
    <xf numFmtId="170" fontId="32" fillId="19" borderId="46" xfId="3" applyNumberFormat="1" applyFont="1" applyFill="1" applyBorder="1" applyAlignment="1">
      <alignment horizontal="center"/>
    </xf>
    <xf numFmtId="168" fontId="32" fillId="19" borderId="46" xfId="3" applyFont="1" applyFill="1" applyBorder="1" applyAlignment="1">
      <alignment horizontal="center"/>
    </xf>
    <xf numFmtId="0" fontId="18" fillId="3" borderId="51" xfId="2" applyFont="1" applyFill="1" applyBorder="1" applyAlignment="1">
      <alignment horizontal="justify" vertical="justify" wrapText="1"/>
    </xf>
    <xf numFmtId="170" fontId="18" fillId="19" borderId="44" xfId="3" applyNumberFormat="1" applyFont="1" applyFill="1" applyBorder="1" applyAlignment="1">
      <alignment horizontal="center"/>
    </xf>
    <xf numFmtId="168" fontId="18" fillId="19" borderId="44" xfId="3" applyFont="1" applyFill="1" applyBorder="1" applyAlignment="1">
      <alignment horizontal="center"/>
    </xf>
    <xf numFmtId="0" fontId="32" fillId="3" borderId="51" xfId="2" applyFont="1" applyFill="1" applyBorder="1" applyAlignment="1">
      <alignment horizontal="justify" vertical="justify" wrapText="1"/>
    </xf>
    <xf numFmtId="168" fontId="32" fillId="19" borderId="44" xfId="3" applyFont="1" applyFill="1" applyBorder="1" applyAlignment="1">
      <alignment horizontal="center"/>
    </xf>
    <xf numFmtId="0" fontId="18" fillId="6" borderId="37" xfId="2" applyFont="1" applyFill="1" applyBorder="1" applyAlignment="1">
      <alignment vertical="center" wrapText="1"/>
    </xf>
    <xf numFmtId="168" fontId="18" fillId="5" borderId="40" xfId="3" applyFont="1" applyFill="1" applyBorder="1" applyAlignment="1">
      <alignment vertical="center" wrapText="1"/>
    </xf>
    <xf numFmtId="168" fontId="18" fillId="5" borderId="19" xfId="3" applyFont="1" applyFill="1" applyBorder="1" applyAlignment="1">
      <alignment vertical="center" wrapText="1"/>
    </xf>
    <xf numFmtId="49" fontId="18" fillId="20" borderId="45" xfId="2" applyNumberFormat="1" applyFont="1" applyFill="1" applyBorder="1" applyAlignment="1">
      <alignment horizontal="center"/>
    </xf>
    <xf numFmtId="0" fontId="18" fillId="20" borderId="51" xfId="2" applyFont="1" applyFill="1" applyBorder="1" applyAlignment="1">
      <alignment horizontal="justify" vertical="justify" wrapText="1"/>
    </xf>
    <xf numFmtId="170" fontId="18" fillId="20" borderId="44" xfId="3" applyNumberFormat="1" applyFont="1" applyFill="1" applyBorder="1" applyAlignment="1">
      <alignment horizontal="center"/>
    </xf>
    <xf numFmtId="168" fontId="18" fillId="20" borderId="44" xfId="3" applyFont="1" applyFill="1" applyBorder="1" applyAlignment="1">
      <alignment horizontal="center"/>
    </xf>
    <xf numFmtId="49" fontId="32" fillId="20" borderId="45" xfId="2" applyNumberFormat="1" applyFont="1" applyFill="1" applyBorder="1" applyAlignment="1">
      <alignment horizontal="center"/>
    </xf>
    <xf numFmtId="0" fontId="32" fillId="20" borderId="51" xfId="2" applyFont="1" applyFill="1" applyBorder="1" applyAlignment="1">
      <alignment horizontal="justify" vertical="justify" wrapText="1"/>
    </xf>
    <xf numFmtId="170" fontId="32" fillId="20" borderId="44" xfId="3" applyNumberFormat="1" applyFont="1" applyFill="1" applyBorder="1" applyAlignment="1">
      <alignment horizontal="center"/>
    </xf>
    <xf numFmtId="168" fontId="32" fillId="20" borderId="44" xfId="3" applyFont="1" applyFill="1" applyBorder="1" applyAlignment="1">
      <alignment horizontal="center"/>
    </xf>
    <xf numFmtId="49" fontId="32" fillId="20" borderId="50" xfId="2" applyNumberFormat="1" applyFont="1" applyFill="1" applyBorder="1" applyAlignment="1">
      <alignment horizontal="center"/>
    </xf>
    <xf numFmtId="0" fontId="2" fillId="20" borderId="1" xfId="0" applyFont="1" applyFill="1" applyBorder="1"/>
    <xf numFmtId="165" fontId="0" fillId="20" borderId="1" xfId="0" applyNumberFormat="1" applyFill="1" applyBorder="1"/>
    <xf numFmtId="165" fontId="17" fillId="3" borderId="0" xfId="2" applyNumberFormat="1" applyFont="1" applyFill="1"/>
    <xf numFmtId="0" fontId="2" fillId="21" borderId="1" xfId="0" applyFont="1" applyFill="1" applyBorder="1" applyAlignment="1">
      <alignment horizontal="left"/>
    </xf>
    <xf numFmtId="0" fontId="2" fillId="21" borderId="1" xfId="0" applyFont="1" applyFill="1" applyBorder="1"/>
    <xf numFmtId="165" fontId="0" fillId="21" borderId="1" xfId="0" applyNumberFormat="1" applyFill="1" applyBorder="1"/>
    <xf numFmtId="165" fontId="0" fillId="21" borderId="2" xfId="0" applyNumberFormat="1" applyFont="1" applyFill="1" applyBorder="1"/>
    <xf numFmtId="165" fontId="0" fillId="21" borderId="32" xfId="0" applyNumberFormat="1" applyFill="1" applyBorder="1"/>
    <xf numFmtId="165" fontId="0" fillId="20" borderId="33" xfId="0" applyNumberFormat="1" applyFont="1" applyFill="1" applyBorder="1"/>
    <xf numFmtId="0" fontId="26" fillId="0" borderId="1" xfId="0" applyFont="1" applyBorder="1" applyAlignment="1">
      <alignment wrapText="1"/>
    </xf>
    <xf numFmtId="0" fontId="25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 wrapText="1"/>
    </xf>
    <xf numFmtId="44" fontId="7" fillId="0" borderId="0" xfId="0" applyNumberFormat="1" applyFont="1" applyFill="1" applyBorder="1"/>
    <xf numFmtId="0" fontId="11" fillId="0" borderId="49" xfId="0" applyFont="1" applyFill="1" applyBorder="1" applyAlignment="1">
      <alignment wrapText="1"/>
    </xf>
    <xf numFmtId="44" fontId="11" fillId="0" borderId="0" xfId="0" applyNumberFormat="1" applyFont="1" applyBorder="1" applyAlignment="1">
      <alignment horizontal="center" vertical="center" wrapText="1"/>
    </xf>
    <xf numFmtId="44" fontId="1" fillId="0" borderId="0" xfId="0" applyNumberFormat="1" applyFont="1"/>
    <xf numFmtId="165" fontId="7" fillId="0" borderId="1" xfId="1" applyFont="1" applyBorder="1" applyAlignment="1">
      <alignment wrapText="1"/>
    </xf>
    <xf numFmtId="165" fontId="7" fillId="0" borderId="1" xfId="1" applyFont="1" applyBorder="1"/>
    <xf numFmtId="165" fontId="6" fillId="0" borderId="0" xfId="1" applyFont="1"/>
    <xf numFmtId="165" fontId="5" fillId="0" borderId="0" xfId="1" applyFont="1"/>
    <xf numFmtId="165" fontId="0" fillId="0" borderId="0" xfId="1" applyFont="1"/>
    <xf numFmtId="9" fontId="11" fillId="0" borderId="1" xfId="7" applyFont="1" applyBorder="1" applyAlignment="1">
      <alignment horizontal="center" vertical="center" wrapText="1"/>
    </xf>
    <xf numFmtId="9" fontId="11" fillId="2" borderId="1" xfId="7" applyFont="1" applyFill="1" applyBorder="1" applyAlignment="1">
      <alignment horizontal="center" vertical="center"/>
    </xf>
    <xf numFmtId="9" fontId="6" fillId="0" borderId="0" xfId="7" applyFont="1"/>
    <xf numFmtId="9" fontId="5" fillId="0" borderId="0" xfId="7" applyFont="1"/>
    <xf numFmtId="9" fontId="0" fillId="0" borderId="0" xfId="7" applyFont="1"/>
    <xf numFmtId="0" fontId="11" fillId="23" borderId="1" xfId="0" applyFont="1" applyFill="1" applyBorder="1" applyAlignment="1">
      <alignment horizontal="center" vertical="center" wrapText="1"/>
    </xf>
    <xf numFmtId="44" fontId="11" fillId="23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44" fontId="0" fillId="0" borderId="0" xfId="0" applyNumberFormat="1"/>
    <xf numFmtId="165" fontId="0" fillId="0" borderId="52" xfId="0" applyNumberFormat="1" applyFill="1" applyBorder="1"/>
    <xf numFmtId="44" fontId="17" fillId="3" borderId="0" xfId="2" applyNumberFormat="1" applyFont="1" applyFill="1"/>
    <xf numFmtId="165" fontId="0" fillId="21" borderId="33" xfId="0" applyNumberFormat="1" applyFont="1" applyFill="1" applyBorder="1"/>
    <xf numFmtId="0" fontId="2" fillId="0" borderId="0" xfId="0" applyFont="1" applyBorder="1" applyAlignment="1">
      <alignment wrapText="1"/>
    </xf>
    <xf numFmtId="165" fontId="1" fillId="20" borderId="0" xfId="0" applyNumberFormat="1" applyFont="1" applyFill="1" applyBorder="1"/>
    <xf numFmtId="165" fontId="0" fillId="20" borderId="52" xfId="0" applyNumberFormat="1" applyFont="1" applyFill="1" applyBorder="1"/>
    <xf numFmtId="165" fontId="0" fillId="0" borderId="0" xfId="0" applyNumberFormat="1" applyFont="1" applyBorder="1"/>
    <xf numFmtId="165" fontId="1" fillId="0" borderId="0" xfId="0" applyNumberFormat="1" applyFont="1" applyBorder="1"/>
    <xf numFmtId="165" fontId="0" fillId="0" borderId="0" xfId="0" applyNumberFormat="1" applyBorder="1"/>
    <xf numFmtId="165" fontId="3" fillId="0" borderId="0" xfId="0" applyNumberFormat="1" applyFont="1" applyBorder="1"/>
    <xf numFmtId="165" fontId="0" fillId="0" borderId="52" xfId="1" applyFont="1" applyFill="1" applyBorder="1"/>
    <xf numFmtId="165" fontId="1" fillId="0" borderId="0" xfId="1" applyFont="1"/>
    <xf numFmtId="165" fontId="1" fillId="21" borderId="34" xfId="0" applyNumberFormat="1" applyFont="1" applyFill="1" applyBorder="1"/>
    <xf numFmtId="0" fontId="2" fillId="20" borderId="32" xfId="0" applyFont="1" applyFill="1" applyBorder="1" applyAlignment="1">
      <alignment horizontal="left"/>
    </xf>
    <xf numFmtId="165" fontId="0" fillId="20" borderId="0" xfId="0" applyNumberFormat="1" applyFont="1" applyFill="1" applyBorder="1"/>
    <xf numFmtId="44" fontId="0" fillId="20" borderId="0" xfId="0" applyNumberFormat="1" applyFill="1"/>
    <xf numFmtId="165" fontId="0" fillId="20" borderId="0" xfId="1" applyFont="1" applyFill="1"/>
    <xf numFmtId="165" fontId="34" fillId="20" borderId="0" xfId="0" applyNumberFormat="1" applyFont="1" applyFill="1" applyBorder="1"/>
    <xf numFmtId="165" fontId="34" fillId="20" borderId="0" xfId="1" applyFont="1" applyFill="1"/>
    <xf numFmtId="44" fontId="34" fillId="20" borderId="0" xfId="0" applyNumberFormat="1" applyFont="1" applyFill="1"/>
    <xf numFmtId="165" fontId="37" fillId="0" borderId="1" xfId="1" applyFont="1" applyBorder="1"/>
    <xf numFmtId="165" fontId="0" fillId="21" borderId="0" xfId="1" applyFont="1" applyFill="1"/>
    <xf numFmtId="44" fontId="0" fillId="21" borderId="0" xfId="0" applyNumberFormat="1" applyFill="1"/>
    <xf numFmtId="0" fontId="0" fillId="21" borderId="0" xfId="0" applyFill="1"/>
    <xf numFmtId="165" fontId="0" fillId="21" borderId="52" xfId="1" applyFont="1" applyFill="1" applyBorder="1"/>
    <xf numFmtId="0" fontId="39" fillId="0" borderId="0" xfId="0" applyFont="1"/>
    <xf numFmtId="165" fontId="39" fillId="0" borderId="0" xfId="1" applyFont="1"/>
    <xf numFmtId="165" fontId="41" fillId="21" borderId="1" xfId="0" applyNumberFormat="1" applyFont="1" applyFill="1" applyBorder="1"/>
    <xf numFmtId="44" fontId="1" fillId="20" borderId="0" xfId="0" applyNumberFormat="1" applyFont="1" applyFill="1"/>
    <xf numFmtId="0" fontId="38" fillId="0" borderId="1" xfId="0" applyFont="1" applyBorder="1" applyAlignment="1">
      <alignment horizontal="center" vertical="center"/>
    </xf>
    <xf numFmtId="165" fontId="38" fillId="0" borderId="1" xfId="1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165" fontId="40" fillId="0" borderId="1" xfId="1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/>
    </xf>
    <xf numFmtId="165" fontId="40" fillId="0" borderId="1" xfId="1" applyFont="1" applyBorder="1" applyAlignment="1">
      <alignment horizontal="center" vertical="center"/>
    </xf>
    <xf numFmtId="164" fontId="40" fillId="0" borderId="1" xfId="0" applyNumberFormat="1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39" fillId="0" borderId="0" xfId="0" applyFont="1" applyAlignment="1">
      <alignment wrapText="1"/>
    </xf>
    <xf numFmtId="0" fontId="43" fillId="20" borderId="1" xfId="0" applyFont="1" applyFill="1" applyBorder="1" applyAlignment="1">
      <alignment vertical="center" wrapText="1"/>
    </xf>
    <xf numFmtId="165" fontId="42" fillId="0" borderId="1" xfId="1" applyFont="1" applyBorder="1" applyAlignment="1">
      <alignment horizontal="center" vertical="center" wrapText="1"/>
    </xf>
    <xf numFmtId="165" fontId="43" fillId="20" borderId="1" xfId="1" applyFont="1" applyFill="1" applyBorder="1" applyAlignment="1">
      <alignment horizontal="center" vertical="center" wrapText="1"/>
    </xf>
    <xf numFmtId="165" fontId="39" fillId="0" borderId="0" xfId="1" applyFont="1" applyAlignment="1">
      <alignment wrapText="1"/>
    </xf>
    <xf numFmtId="165" fontId="40" fillId="0" borderId="1" xfId="1" applyFont="1" applyBorder="1" applyAlignment="1">
      <alignment vertical="center"/>
    </xf>
    <xf numFmtId="0" fontId="44" fillId="0" borderId="0" xfId="0" applyFont="1" applyAlignment="1">
      <alignment vertical="center" wrapText="1"/>
    </xf>
    <xf numFmtId="165" fontId="43" fillId="0" borderId="1" xfId="1" applyFont="1" applyBorder="1" applyAlignment="1">
      <alignment horizontal="center" vertical="center" wrapText="1"/>
    </xf>
    <xf numFmtId="165" fontId="43" fillId="0" borderId="1" xfId="1" applyFont="1" applyBorder="1" applyAlignment="1">
      <alignment horizontal="center" vertical="center"/>
    </xf>
    <xf numFmtId="165" fontId="43" fillId="0" borderId="1" xfId="1" applyFont="1" applyBorder="1" applyAlignment="1">
      <alignment vertical="center"/>
    </xf>
    <xf numFmtId="165" fontId="38" fillId="0" borderId="3" xfId="1" applyFont="1" applyBorder="1" applyAlignment="1">
      <alignment horizontal="center" vertical="center" wrapText="1"/>
    </xf>
    <xf numFmtId="165" fontId="43" fillId="0" borderId="3" xfId="1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53" xfId="0" applyFont="1" applyBorder="1" applyAlignment="1">
      <alignment vertical="center"/>
    </xf>
    <xf numFmtId="165" fontId="40" fillId="0" borderId="53" xfId="1" applyFont="1" applyBorder="1" applyAlignment="1">
      <alignment horizontal="center" vertical="center"/>
    </xf>
    <xf numFmtId="165" fontId="43" fillId="0" borderId="53" xfId="1" applyFont="1" applyBorder="1" applyAlignment="1">
      <alignment horizontal="center" vertical="center"/>
    </xf>
    <xf numFmtId="0" fontId="43" fillId="20" borderId="53" xfId="0" applyFont="1" applyFill="1" applyBorder="1" applyAlignment="1">
      <alignment vertical="center" wrapText="1"/>
    </xf>
    <xf numFmtId="165" fontId="43" fillId="20" borderId="53" xfId="1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0" fontId="40" fillId="0" borderId="4" xfId="0" applyFont="1" applyBorder="1" applyAlignment="1">
      <alignment vertical="center" wrapText="1"/>
    </xf>
    <xf numFmtId="165" fontId="40" fillId="0" borderId="4" xfId="1" applyFont="1" applyBorder="1" applyAlignment="1">
      <alignment horizontal="center" vertical="center" wrapText="1"/>
    </xf>
    <xf numFmtId="165" fontId="43" fillId="0" borderId="4" xfId="1" applyFont="1" applyBorder="1" applyAlignment="1">
      <alignment horizontal="center" vertical="center" wrapText="1"/>
    </xf>
    <xf numFmtId="0" fontId="40" fillId="0" borderId="4" xfId="0" applyFont="1" applyBorder="1" applyAlignment="1">
      <alignment vertical="center"/>
    </xf>
    <xf numFmtId="165" fontId="40" fillId="0" borderId="4" xfId="1" applyFont="1" applyBorder="1" applyAlignment="1">
      <alignment horizontal="center" vertical="center"/>
    </xf>
    <xf numFmtId="165" fontId="43" fillId="0" borderId="4" xfId="1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40" fillId="0" borderId="49" xfId="0" applyFont="1" applyBorder="1" applyAlignment="1">
      <alignment vertical="center"/>
    </xf>
    <xf numFmtId="165" fontId="40" fillId="0" borderId="49" xfId="1" applyFont="1" applyBorder="1" applyAlignment="1">
      <alignment horizontal="center" vertical="center"/>
    </xf>
    <xf numFmtId="165" fontId="43" fillId="0" borderId="49" xfId="1" applyFont="1" applyBorder="1" applyAlignment="1">
      <alignment horizontal="center" vertical="center"/>
    </xf>
    <xf numFmtId="165" fontId="40" fillId="0" borderId="4" xfId="1" applyFont="1" applyBorder="1" applyAlignment="1">
      <alignment vertical="center"/>
    </xf>
    <xf numFmtId="165" fontId="43" fillId="0" borderId="4" xfId="1" applyFont="1" applyBorder="1" applyAlignment="1">
      <alignment vertical="center"/>
    </xf>
    <xf numFmtId="0" fontId="43" fillId="20" borderId="4" xfId="0" applyFont="1" applyFill="1" applyBorder="1" applyAlignment="1">
      <alignment vertical="center" wrapText="1"/>
    </xf>
    <xf numFmtId="165" fontId="43" fillId="20" borderId="4" xfId="1" applyFont="1" applyFill="1" applyBorder="1" applyAlignment="1">
      <alignment horizontal="center" vertical="center" wrapText="1"/>
    </xf>
    <xf numFmtId="0" fontId="39" fillId="0" borderId="1" xfId="0" applyFont="1" applyBorder="1"/>
    <xf numFmtId="0" fontId="39" fillId="0" borderId="1" xfId="0" applyFont="1" applyBorder="1" applyAlignment="1">
      <alignment vertical="center" wrapText="1"/>
    </xf>
    <xf numFmtId="170" fontId="16" fillId="3" borderId="0" xfId="2" applyNumberFormat="1" applyFont="1" applyFill="1"/>
    <xf numFmtId="0" fontId="49" fillId="0" borderId="0" xfId="0" applyFont="1" applyAlignment="1">
      <alignment wrapText="1"/>
    </xf>
    <xf numFmtId="0" fontId="48" fillId="25" borderId="1" xfId="0" applyFont="1" applyFill="1" applyBorder="1" applyAlignment="1">
      <alignment horizontal="center" wrapText="1"/>
    </xf>
    <xf numFmtId="0" fontId="48" fillId="25" borderId="1" xfId="0" applyFont="1" applyFill="1" applyBorder="1" applyAlignment="1">
      <alignment horizontal="left" wrapText="1"/>
    </xf>
    <xf numFmtId="165" fontId="48" fillId="25" borderId="1" xfId="0" applyNumberFormat="1" applyFont="1" applyFill="1" applyBorder="1" applyAlignment="1">
      <alignment horizontal="center" wrapText="1"/>
    </xf>
    <xf numFmtId="0" fontId="49" fillId="0" borderId="1" xfId="0" applyFont="1" applyBorder="1" applyAlignment="1">
      <alignment horizontal="center" wrapText="1"/>
    </xf>
    <xf numFmtId="0" fontId="49" fillId="0" borderId="1" xfId="0" applyFont="1" applyBorder="1" applyAlignment="1">
      <alignment horizontal="left" wrapText="1"/>
    </xf>
    <xf numFmtId="165" fontId="49" fillId="0" borderId="1" xfId="0" applyNumberFormat="1" applyFont="1" applyBorder="1" applyAlignment="1">
      <alignment horizontal="left" wrapText="1"/>
    </xf>
    <xf numFmtId="0" fontId="49" fillId="0" borderId="1" xfId="0" applyFont="1" applyBorder="1" applyAlignment="1">
      <alignment horizontal="left" vertical="center" wrapText="1"/>
    </xf>
    <xf numFmtId="165" fontId="49" fillId="0" borderId="1" xfId="0" applyNumberFormat="1" applyFont="1" applyBorder="1" applyAlignment="1">
      <alignment horizontal="right" vertical="center" wrapText="1"/>
    </xf>
    <xf numFmtId="0" fontId="49" fillId="0" borderId="1" xfId="0" applyFont="1" applyBorder="1" applyAlignment="1">
      <alignment horizontal="center" vertical="center" wrapText="1"/>
    </xf>
    <xf numFmtId="171" fontId="49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wrapText="1"/>
    </xf>
    <xf numFmtId="0" fontId="48" fillId="0" borderId="0" xfId="0" applyFont="1" applyAlignment="1">
      <alignment horizontal="left" wrapText="1"/>
    </xf>
    <xf numFmtId="165" fontId="48" fillId="0" borderId="1" xfId="0" applyNumberFormat="1" applyFont="1" applyBorder="1" applyAlignment="1">
      <alignment horizontal="right" vertical="center" wrapText="1"/>
    </xf>
    <xf numFmtId="0" fontId="48" fillId="0" borderId="0" xfId="0" applyFont="1" applyAlignment="1">
      <alignment wrapText="1"/>
    </xf>
    <xf numFmtId="0" fontId="49" fillId="19" borderId="1" xfId="0" applyFont="1" applyFill="1" applyBorder="1" applyAlignment="1">
      <alignment horizontal="left" wrapText="1"/>
    </xf>
    <xf numFmtId="165" fontId="49" fillId="19" borderId="1" xfId="0" applyNumberFormat="1" applyFont="1" applyFill="1" applyBorder="1" applyAlignment="1">
      <alignment horizontal="right" vertical="center" wrapText="1"/>
    </xf>
    <xf numFmtId="0" fontId="49" fillId="19" borderId="1" xfId="0" applyFont="1" applyFill="1" applyBorder="1" applyAlignment="1">
      <alignment horizontal="center" wrapText="1"/>
    </xf>
    <xf numFmtId="0" fontId="48" fillId="19" borderId="1" xfId="0" applyFont="1" applyFill="1" applyBorder="1" applyAlignment="1">
      <alignment horizontal="left" vertical="center" wrapText="1"/>
    </xf>
    <xf numFmtId="0" fontId="48" fillId="19" borderId="1" xfId="0" applyFont="1" applyFill="1" applyBorder="1" applyAlignment="1">
      <alignment horizontal="left" wrapText="1"/>
    </xf>
    <xf numFmtId="165" fontId="48" fillId="19" borderId="1" xfId="0" applyNumberFormat="1" applyFont="1" applyFill="1" applyBorder="1" applyAlignment="1">
      <alignment horizontal="right" vertical="center" wrapText="1"/>
    </xf>
    <xf numFmtId="0" fontId="49" fillId="19" borderId="1" xfId="0" applyFont="1" applyFill="1" applyBorder="1" applyAlignment="1">
      <alignment horizontal="center" vertical="center" wrapText="1"/>
    </xf>
    <xf numFmtId="0" fontId="49" fillId="19" borderId="0" xfId="0" applyFont="1" applyFill="1" applyAlignment="1">
      <alignment wrapText="1"/>
    </xf>
    <xf numFmtId="0" fontId="48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center" wrapText="1"/>
    </xf>
    <xf numFmtId="0" fontId="50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left" wrapText="1" shrinkToFit="1"/>
    </xf>
    <xf numFmtId="165" fontId="50" fillId="0" borderId="1" xfId="0" applyNumberFormat="1" applyFont="1" applyBorder="1" applyAlignment="1">
      <alignment horizontal="right" vertical="center" wrapText="1"/>
    </xf>
    <xf numFmtId="165" fontId="50" fillId="0" borderId="1" xfId="0" applyNumberFormat="1" applyFont="1" applyBorder="1" applyAlignment="1">
      <alignment horizontal="left" wrapText="1"/>
    </xf>
    <xf numFmtId="0" fontId="50" fillId="0" borderId="1" xfId="0" applyFont="1" applyBorder="1" applyAlignment="1">
      <alignment horizontal="center" vertical="center" wrapText="1"/>
    </xf>
    <xf numFmtId="0" fontId="50" fillId="0" borderId="0" xfId="0" applyFont="1" applyAlignment="1">
      <alignment wrapText="1"/>
    </xf>
    <xf numFmtId="0" fontId="50" fillId="0" borderId="0" xfId="0" applyFont="1" applyAlignment="1">
      <alignment horizontal="left" wrapText="1"/>
    </xf>
    <xf numFmtId="0" fontId="50" fillId="0" borderId="1" xfId="0" applyFont="1" applyBorder="1" applyAlignment="1">
      <alignment horizontal="left" wrapText="1"/>
    </xf>
    <xf numFmtId="165" fontId="48" fillId="0" borderId="0" xfId="0" applyNumberFormat="1" applyFont="1" applyBorder="1" applyAlignment="1">
      <alignment horizontal="right" vertical="center" wrapText="1"/>
    </xf>
    <xf numFmtId="0" fontId="49" fillId="0" borderId="0" xfId="0" applyFont="1" applyBorder="1" applyAlignment="1">
      <alignment horizontal="center" vertical="center" wrapText="1"/>
    </xf>
    <xf numFmtId="0" fontId="49" fillId="19" borderId="51" xfId="0" applyFont="1" applyFill="1" applyBorder="1" applyAlignment="1">
      <alignment horizontal="center" wrapText="1"/>
    </xf>
    <xf numFmtId="0" fontId="49" fillId="19" borderId="1" xfId="0" applyFont="1" applyFill="1" applyBorder="1" applyAlignment="1">
      <alignment horizontal="left" vertical="center" wrapText="1"/>
    </xf>
    <xf numFmtId="0" fontId="49" fillId="19" borderId="0" xfId="0" applyFont="1" applyFill="1" applyBorder="1" applyAlignment="1">
      <alignment horizontal="center" vertical="center" wrapText="1"/>
    </xf>
    <xf numFmtId="0" fontId="48" fillId="0" borderId="51" xfId="0" applyFont="1" applyBorder="1" applyAlignment="1">
      <alignment wrapText="1"/>
    </xf>
    <xf numFmtId="165" fontId="48" fillId="0" borderId="0" xfId="0" applyNumberFormat="1" applyFont="1" applyAlignment="1">
      <alignment wrapText="1"/>
    </xf>
    <xf numFmtId="0" fontId="48" fillId="0" borderId="0" xfId="0" applyFont="1" applyBorder="1" applyAlignment="1">
      <alignment wrapText="1"/>
    </xf>
    <xf numFmtId="165" fontId="49" fillId="0" borderId="0" xfId="0" applyNumberFormat="1" applyFont="1" applyAlignment="1">
      <alignment wrapText="1"/>
    </xf>
    <xf numFmtId="0" fontId="49" fillId="19" borderId="0" xfId="0" applyFont="1" applyFill="1" applyBorder="1" applyAlignment="1">
      <alignment horizontal="center" wrapText="1"/>
    </xf>
    <xf numFmtId="0" fontId="49" fillId="19" borderId="0" xfId="0" applyFont="1" applyFill="1" applyBorder="1" applyAlignment="1">
      <alignment horizontal="left" vertical="center" wrapText="1"/>
    </xf>
    <xf numFmtId="0" fontId="49" fillId="19" borderId="0" xfId="0" applyFont="1" applyFill="1" applyBorder="1" applyAlignment="1">
      <alignment horizontal="left" wrapText="1"/>
    </xf>
    <xf numFmtId="165" fontId="49" fillId="19" borderId="0" xfId="0" applyNumberFormat="1" applyFont="1" applyFill="1" applyBorder="1" applyAlignment="1">
      <alignment horizontal="right" vertical="center" wrapText="1"/>
    </xf>
    <xf numFmtId="0" fontId="48" fillId="19" borderId="0" xfId="0" applyFont="1" applyFill="1" applyBorder="1" applyAlignment="1">
      <alignment horizontal="center" wrapText="1"/>
    </xf>
    <xf numFmtId="0" fontId="48" fillId="19" borderId="0" xfId="0" applyFont="1" applyFill="1" applyBorder="1" applyAlignment="1">
      <alignment horizontal="left" vertical="center" wrapText="1"/>
    </xf>
    <xf numFmtId="0" fontId="48" fillId="19" borderId="0" xfId="0" applyFont="1" applyFill="1" applyBorder="1" applyAlignment="1">
      <alignment horizontal="left" wrapText="1"/>
    </xf>
    <xf numFmtId="165" fontId="49" fillId="19" borderId="0" xfId="1" applyFont="1" applyFill="1" applyBorder="1" applyAlignment="1">
      <alignment horizontal="left" wrapText="1"/>
    </xf>
    <xf numFmtId="165" fontId="49" fillId="19" borderId="0" xfId="0" applyNumberFormat="1" applyFont="1" applyFill="1" applyBorder="1" applyAlignment="1">
      <alignment horizontal="left" wrapText="1"/>
    </xf>
    <xf numFmtId="166" fontId="49" fillId="19" borderId="0" xfId="8" applyFont="1" applyFill="1" applyBorder="1" applyAlignment="1">
      <alignment horizontal="right" vertical="center" wrapText="1"/>
    </xf>
    <xf numFmtId="165" fontId="48" fillId="19" borderId="0" xfId="0" applyNumberFormat="1" applyFont="1" applyFill="1" applyBorder="1" applyAlignment="1">
      <alignment horizontal="right" vertical="center" wrapText="1"/>
    </xf>
    <xf numFmtId="0" fontId="49" fillId="24" borderId="0" xfId="0" applyFont="1" applyFill="1" applyBorder="1" applyAlignment="1">
      <alignment horizontal="center" wrapText="1"/>
    </xf>
    <xf numFmtId="0" fontId="49" fillId="24" borderId="0" xfId="0" applyFont="1" applyFill="1" applyBorder="1" applyAlignment="1">
      <alignment horizontal="left" vertical="center" wrapText="1"/>
    </xf>
    <xf numFmtId="165" fontId="49" fillId="24" borderId="0" xfId="0" applyNumberFormat="1" applyFont="1" applyFill="1" applyBorder="1" applyAlignment="1">
      <alignment horizontal="left" wrapText="1"/>
    </xf>
    <xf numFmtId="165" fontId="49" fillId="24" borderId="0" xfId="0" applyNumberFormat="1" applyFont="1" applyFill="1" applyBorder="1" applyAlignment="1">
      <alignment horizontal="right" vertical="center" wrapText="1"/>
    </xf>
    <xf numFmtId="165" fontId="48" fillId="19" borderId="0" xfId="0" applyNumberFormat="1" applyFont="1" applyFill="1" applyBorder="1" applyAlignment="1">
      <alignment horizontal="left" wrapText="1"/>
    </xf>
    <xf numFmtId="165" fontId="49" fillId="0" borderId="0" xfId="0" applyNumberFormat="1" applyFont="1" applyAlignment="1">
      <alignment horizontal="left" wrapText="1"/>
    </xf>
    <xf numFmtId="165" fontId="48" fillId="0" borderId="0" xfId="0" applyNumberFormat="1" applyFont="1" applyAlignment="1">
      <alignment horizontal="left" wrapText="1"/>
    </xf>
    <xf numFmtId="9" fontId="49" fillId="0" borderId="0" xfId="0" applyNumberFormat="1" applyFont="1" applyAlignment="1">
      <alignment wrapText="1"/>
    </xf>
    <xf numFmtId="165" fontId="48" fillId="22" borderId="0" xfId="0" applyNumberFormat="1" applyFont="1" applyFill="1" applyAlignment="1">
      <alignment wrapText="1"/>
    </xf>
    <xf numFmtId="165" fontId="49" fillId="22" borderId="0" xfId="0" applyNumberFormat="1" applyFont="1" applyFill="1" applyAlignment="1">
      <alignment wrapText="1"/>
    </xf>
    <xf numFmtId="165" fontId="48" fillId="20" borderId="0" xfId="0" applyNumberFormat="1" applyFont="1" applyFill="1" applyAlignment="1">
      <alignment wrapText="1"/>
    </xf>
    <xf numFmtId="165" fontId="49" fillId="20" borderId="0" xfId="0" applyNumberFormat="1" applyFont="1" applyFill="1" applyAlignment="1">
      <alignment wrapText="1"/>
    </xf>
    <xf numFmtId="165" fontId="49" fillId="0" borderId="0" xfId="1" applyFont="1" applyAlignment="1">
      <alignment wrapText="1"/>
    </xf>
    <xf numFmtId="0" fontId="49" fillId="22" borderId="0" xfId="0" applyFont="1" applyFill="1" applyAlignment="1">
      <alignment wrapText="1"/>
    </xf>
    <xf numFmtId="0" fontId="48" fillId="0" borderId="0" xfId="0" applyFont="1" applyBorder="1" applyAlignment="1">
      <alignment horizontal="left" wrapText="1"/>
    </xf>
    <xf numFmtId="165" fontId="48" fillId="0" borderId="0" xfId="0" applyNumberFormat="1" applyFont="1" applyBorder="1" applyAlignment="1">
      <alignment horizontal="center" wrapText="1"/>
    </xf>
    <xf numFmtId="165" fontId="49" fillId="2" borderId="0" xfId="0" applyNumberFormat="1" applyFont="1" applyFill="1" applyAlignment="1">
      <alignment wrapText="1"/>
    </xf>
    <xf numFmtId="165" fontId="49" fillId="0" borderId="0" xfId="1" applyFont="1" applyAlignment="1">
      <alignment horizontal="left" wrapText="1"/>
    </xf>
    <xf numFmtId="0" fontId="45" fillId="19" borderId="0" xfId="0" applyFont="1" applyFill="1" applyAlignment="1">
      <alignment horizontal="center" vertical="center"/>
    </xf>
    <xf numFmtId="0" fontId="45" fillId="19" borderId="0" xfId="0" applyFont="1" applyFill="1"/>
    <xf numFmtId="0" fontId="42" fillId="19" borderId="1" xfId="0" applyFont="1" applyFill="1" applyBorder="1" applyAlignment="1">
      <alignment horizontal="center" vertical="center"/>
    </xf>
    <xf numFmtId="165" fontId="42" fillId="19" borderId="1" xfId="1" applyFont="1" applyFill="1" applyBorder="1" applyAlignment="1">
      <alignment horizontal="center" vertical="center" wrapText="1"/>
    </xf>
    <xf numFmtId="0" fontId="43" fillId="19" borderId="1" xfId="0" applyFont="1" applyFill="1" applyBorder="1" applyAlignment="1">
      <alignment horizontal="center" vertical="center"/>
    </xf>
    <xf numFmtId="165" fontId="43" fillId="19" borderId="1" xfId="1" applyFont="1" applyFill="1" applyBorder="1" applyAlignment="1">
      <alignment horizontal="center" vertical="center"/>
    </xf>
    <xf numFmtId="0" fontId="45" fillId="19" borderId="1" xfId="0" applyFont="1" applyFill="1" applyBorder="1" applyAlignment="1">
      <alignment horizontal="center" vertical="center"/>
    </xf>
    <xf numFmtId="0" fontId="45" fillId="19" borderId="0" xfId="0" applyFont="1" applyFill="1" applyBorder="1" applyAlignment="1">
      <alignment horizontal="center" vertical="center"/>
    </xf>
    <xf numFmtId="165" fontId="43" fillId="19" borderId="0" xfId="1" applyFont="1" applyFill="1" applyBorder="1" applyAlignment="1">
      <alignment horizontal="center" vertical="center"/>
    </xf>
    <xf numFmtId="165" fontId="46" fillId="19" borderId="0" xfId="0" applyNumberFormat="1" applyFont="1" applyFill="1"/>
    <xf numFmtId="165" fontId="43" fillId="19" borderId="1" xfId="1" applyFont="1" applyFill="1" applyBorder="1" applyAlignment="1">
      <alignment horizontal="center" vertical="center" wrapText="1"/>
    </xf>
    <xf numFmtId="165" fontId="43" fillId="19" borderId="0" xfId="1" applyFont="1" applyFill="1" applyBorder="1" applyAlignment="1">
      <alignment horizontal="center" vertical="center" wrapText="1"/>
    </xf>
    <xf numFmtId="0" fontId="46" fillId="19" borderId="0" xfId="0" applyFont="1" applyFill="1" applyAlignment="1">
      <alignment horizontal="center" vertical="center"/>
    </xf>
    <xf numFmtId="0" fontId="43" fillId="19" borderId="49" xfId="0" applyFont="1" applyFill="1" applyBorder="1" applyAlignment="1">
      <alignment horizontal="center" vertical="center"/>
    </xf>
    <xf numFmtId="165" fontId="43" fillId="19" borderId="49" xfId="1" applyFont="1" applyFill="1" applyBorder="1" applyAlignment="1">
      <alignment horizontal="center" vertical="center"/>
    </xf>
    <xf numFmtId="0" fontId="43" fillId="19" borderId="4" xfId="0" applyFont="1" applyFill="1" applyBorder="1" applyAlignment="1">
      <alignment horizontal="center" vertical="center"/>
    </xf>
    <xf numFmtId="165" fontId="43" fillId="19" borderId="4" xfId="1" applyFont="1" applyFill="1" applyBorder="1" applyAlignment="1">
      <alignment horizontal="center" vertical="center"/>
    </xf>
    <xf numFmtId="0" fontId="43" fillId="19" borderId="53" xfId="0" applyFont="1" applyFill="1" applyBorder="1" applyAlignment="1">
      <alignment horizontal="center" vertical="center"/>
    </xf>
    <xf numFmtId="165" fontId="43" fillId="19" borderId="53" xfId="1" applyFont="1" applyFill="1" applyBorder="1" applyAlignment="1">
      <alignment horizontal="center" vertical="center"/>
    </xf>
    <xf numFmtId="165" fontId="43" fillId="19" borderId="4" xfId="1" applyFont="1" applyFill="1" applyBorder="1" applyAlignment="1">
      <alignment horizontal="center" vertical="center" wrapText="1"/>
    </xf>
    <xf numFmtId="165" fontId="43" fillId="19" borderId="1" xfId="1" applyFont="1" applyFill="1" applyBorder="1" applyAlignment="1">
      <alignment vertical="center"/>
    </xf>
    <xf numFmtId="165" fontId="46" fillId="19" borderId="1" xfId="0" applyNumberFormat="1" applyFont="1" applyFill="1" applyBorder="1"/>
    <xf numFmtId="44" fontId="46" fillId="19" borderId="0" xfId="0" applyNumberFormat="1" applyFont="1" applyFill="1"/>
    <xf numFmtId="44" fontId="45" fillId="19" borderId="0" xfId="0" applyNumberFormat="1" applyFont="1" applyFill="1"/>
    <xf numFmtId="44" fontId="47" fillId="19" borderId="0" xfId="0" applyNumberFormat="1" applyFont="1" applyFill="1"/>
    <xf numFmtId="0" fontId="54" fillId="19" borderId="0" xfId="0" applyFont="1" applyFill="1" applyAlignment="1">
      <alignment horizontal="center"/>
    </xf>
    <xf numFmtId="165" fontId="55" fillId="19" borderId="1" xfId="1" applyFont="1" applyFill="1" applyBorder="1" applyAlignment="1">
      <alignment horizontal="center" vertical="center"/>
    </xf>
    <xf numFmtId="165" fontId="56" fillId="19" borderId="1" xfId="1" applyFont="1" applyFill="1" applyBorder="1" applyAlignment="1">
      <alignment horizontal="center" vertical="center"/>
    </xf>
    <xf numFmtId="0" fontId="54" fillId="19" borderId="1" xfId="0" applyFont="1" applyFill="1" applyBorder="1" applyAlignment="1">
      <alignment horizontal="center" vertical="center"/>
    </xf>
    <xf numFmtId="0" fontId="54" fillId="19" borderId="0" xfId="0" applyFont="1" applyFill="1" applyBorder="1" applyAlignment="1">
      <alignment horizontal="center" vertical="center"/>
    </xf>
    <xf numFmtId="165" fontId="55" fillId="19" borderId="1" xfId="1" applyFont="1" applyFill="1" applyBorder="1" applyAlignment="1">
      <alignment horizontal="center" vertical="center" wrapText="1"/>
    </xf>
    <xf numFmtId="0" fontId="54" fillId="19" borderId="0" xfId="0" applyFont="1" applyFill="1" applyAlignment="1">
      <alignment horizontal="center" vertical="center" wrapText="1"/>
    </xf>
    <xf numFmtId="0" fontId="57" fillId="19" borderId="0" xfId="0" applyFont="1" applyFill="1" applyAlignment="1">
      <alignment horizontal="center"/>
    </xf>
    <xf numFmtId="165" fontId="56" fillId="19" borderId="49" xfId="1" applyFont="1" applyFill="1" applyBorder="1" applyAlignment="1">
      <alignment horizontal="center" vertical="center"/>
    </xf>
    <xf numFmtId="165" fontId="56" fillId="19" borderId="4" xfId="1" applyFont="1" applyFill="1" applyBorder="1" applyAlignment="1">
      <alignment horizontal="center" vertical="center"/>
    </xf>
    <xf numFmtId="165" fontId="56" fillId="19" borderId="53" xfId="1" applyFont="1" applyFill="1" applyBorder="1" applyAlignment="1">
      <alignment horizontal="center" vertical="center"/>
    </xf>
    <xf numFmtId="165" fontId="56" fillId="19" borderId="1" xfId="1" applyFont="1" applyFill="1" applyBorder="1" applyAlignment="1">
      <alignment horizontal="center" vertical="center" wrapText="1"/>
    </xf>
    <xf numFmtId="0" fontId="54" fillId="19" borderId="1" xfId="0" applyFont="1" applyFill="1" applyBorder="1" applyAlignment="1">
      <alignment horizontal="center" vertical="center" wrapText="1"/>
    </xf>
    <xf numFmtId="0" fontId="54" fillId="19" borderId="1" xfId="0" applyFont="1" applyFill="1" applyBorder="1" applyAlignment="1">
      <alignment horizontal="center"/>
    </xf>
    <xf numFmtId="165" fontId="58" fillId="19" borderId="1" xfId="1" applyFont="1" applyFill="1" applyBorder="1" applyAlignment="1">
      <alignment horizontal="center" vertical="center" wrapText="1"/>
    </xf>
    <xf numFmtId="0" fontId="39" fillId="19" borderId="0" xfId="0" applyFont="1" applyFill="1"/>
    <xf numFmtId="0" fontId="52" fillId="19" borderId="1" xfId="0" applyFont="1" applyFill="1" applyBorder="1" applyAlignment="1">
      <alignment horizontal="center" vertical="center"/>
    </xf>
    <xf numFmtId="0" fontId="53" fillId="19" borderId="1" xfId="0" applyFont="1" applyFill="1" applyBorder="1" applyAlignment="1">
      <alignment vertical="center"/>
    </xf>
    <xf numFmtId="0" fontId="53" fillId="19" borderId="1" xfId="0" applyFont="1" applyFill="1" applyBorder="1" applyAlignment="1">
      <alignment vertical="center" wrapText="1"/>
    </xf>
    <xf numFmtId="0" fontId="53" fillId="19" borderId="0" xfId="0" applyFont="1" applyFill="1" applyBorder="1" applyAlignment="1">
      <alignment vertical="center" wrapText="1"/>
    </xf>
    <xf numFmtId="0" fontId="44" fillId="19" borderId="0" xfId="0" applyFont="1" applyFill="1"/>
    <xf numFmtId="0" fontId="53" fillId="19" borderId="49" xfId="0" applyFont="1" applyFill="1" applyBorder="1" applyAlignment="1">
      <alignment vertical="center" wrapText="1"/>
    </xf>
    <xf numFmtId="0" fontId="53" fillId="19" borderId="4" xfId="0" applyFont="1" applyFill="1" applyBorder="1" applyAlignment="1">
      <alignment vertical="center"/>
    </xf>
    <xf numFmtId="0" fontId="53" fillId="19" borderId="53" xfId="0" applyFont="1" applyFill="1" applyBorder="1" applyAlignment="1">
      <alignment vertical="center"/>
    </xf>
    <xf numFmtId="0" fontId="53" fillId="19" borderId="4" xfId="0" applyFont="1" applyFill="1" applyBorder="1" applyAlignment="1">
      <alignment vertical="center" wrapText="1"/>
    </xf>
    <xf numFmtId="0" fontId="44" fillId="19" borderId="1" xfId="0" applyFont="1" applyFill="1" applyBorder="1"/>
    <xf numFmtId="165" fontId="1" fillId="0" borderId="52" xfId="0" applyNumberFormat="1" applyFont="1" applyFill="1" applyBorder="1"/>
    <xf numFmtId="0" fontId="59" fillId="0" borderId="1" xfId="0" applyFont="1" applyBorder="1" applyAlignment="1">
      <alignment horizontal="center" vertical="center"/>
    </xf>
    <xf numFmtId="165" fontId="60" fillId="2" borderId="1" xfId="0" applyNumberFormat="1" applyFont="1" applyFill="1" applyBorder="1" applyAlignment="1">
      <alignment horizontal="center" vertical="center"/>
    </xf>
    <xf numFmtId="165" fontId="59" fillId="0" borderId="1" xfId="0" applyNumberFormat="1" applyFont="1" applyBorder="1"/>
    <xf numFmtId="0" fontId="59" fillId="0" borderId="1" xfId="0" applyFont="1" applyBorder="1"/>
    <xf numFmtId="165" fontId="59" fillId="0" borderId="1" xfId="1" applyFont="1" applyBorder="1"/>
    <xf numFmtId="0" fontId="61" fillId="0" borderId="0" xfId="0" applyFont="1"/>
    <xf numFmtId="0" fontId="41" fillId="0" borderId="0" xfId="0" applyFont="1"/>
    <xf numFmtId="0" fontId="43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vertical="center" wrapText="1"/>
    </xf>
    <xf numFmtId="165" fontId="43" fillId="0" borderId="1" xfId="1" applyFont="1" applyFill="1" applyBorder="1" applyAlignment="1">
      <alignment horizontal="center" vertical="center" wrapText="1"/>
    </xf>
    <xf numFmtId="0" fontId="39" fillId="0" borderId="0" xfId="0" applyFont="1" applyFill="1" applyAlignment="1">
      <alignment vertical="center" wrapText="1"/>
    </xf>
    <xf numFmtId="0" fontId="39" fillId="0" borderId="0" xfId="0" applyFont="1" applyFill="1" applyAlignment="1">
      <alignment wrapText="1"/>
    </xf>
    <xf numFmtId="165" fontId="42" fillId="0" borderId="1" xfId="1" applyFont="1" applyFill="1" applyBorder="1" applyAlignment="1">
      <alignment horizontal="center" vertical="center" wrapText="1"/>
    </xf>
    <xf numFmtId="165" fontId="39" fillId="0" borderId="0" xfId="1" applyFont="1" applyFill="1" applyAlignment="1">
      <alignment wrapText="1"/>
    </xf>
    <xf numFmtId="0" fontId="50" fillId="22" borderId="1" xfId="0" applyFont="1" applyFill="1" applyBorder="1" applyAlignment="1">
      <alignment horizontal="left"/>
    </xf>
    <xf numFmtId="0" fontId="49" fillId="0" borderId="1" xfId="0" applyFont="1" applyBorder="1" applyAlignment="1">
      <alignment horizontal="left" vertical="center"/>
    </xf>
    <xf numFmtId="165" fontId="49" fillId="0" borderId="1" xfId="0" applyNumberFormat="1" applyFont="1" applyBorder="1" applyAlignment="1">
      <alignment horizontal="right" vertical="center"/>
    </xf>
    <xf numFmtId="0" fontId="49" fillId="0" borderId="1" xfId="0" applyFont="1" applyBorder="1"/>
    <xf numFmtId="0" fontId="49" fillId="0" borderId="0" xfId="0" applyFont="1"/>
    <xf numFmtId="0" fontId="50" fillId="22" borderId="1" xfId="0" applyFont="1" applyFill="1" applyBorder="1" applyAlignment="1">
      <alignment horizontal="left" vertical="center"/>
    </xf>
    <xf numFmtId="165" fontId="50" fillId="22" borderId="1" xfId="0" applyNumberFormat="1" applyFont="1" applyFill="1" applyBorder="1" applyAlignment="1">
      <alignment horizontal="right" vertical="center"/>
    </xf>
    <xf numFmtId="165" fontId="49" fillId="0" borderId="0" xfId="0" applyNumberFormat="1" applyFont="1" applyBorder="1" applyAlignment="1">
      <alignment horizontal="right" vertical="center" wrapText="1"/>
    </xf>
    <xf numFmtId="0" fontId="48" fillId="0" borderId="0" xfId="0" applyFont="1" applyBorder="1" applyAlignment="1">
      <alignment horizontal="left" vertical="center" wrapText="1"/>
    </xf>
    <xf numFmtId="0" fontId="49" fillId="20" borderId="1" xfId="0" applyFont="1" applyFill="1" applyBorder="1" applyAlignment="1">
      <alignment horizontal="left" wrapText="1"/>
    </xf>
    <xf numFmtId="165" fontId="49" fillId="20" borderId="1" xfId="0" applyNumberFormat="1" applyFont="1" applyFill="1" applyBorder="1" applyAlignment="1">
      <alignment horizontal="right" vertical="center" wrapText="1"/>
    </xf>
    <xf numFmtId="0" fontId="50" fillId="0" borderId="51" xfId="0" applyFont="1" applyBorder="1" applyAlignment="1">
      <alignment horizontal="center" wrapText="1"/>
    </xf>
    <xf numFmtId="0" fontId="50" fillId="0" borderId="0" xfId="0" applyFont="1" applyBorder="1" applyAlignment="1">
      <alignment horizontal="center" vertical="center" wrapText="1"/>
    </xf>
    <xf numFmtId="0" fontId="49" fillId="26" borderId="51" xfId="0" applyFont="1" applyFill="1" applyBorder="1" applyAlignment="1">
      <alignment horizontal="center" wrapText="1"/>
    </xf>
    <xf numFmtId="0" fontId="49" fillId="26" borderId="1" xfId="0" applyFont="1" applyFill="1" applyBorder="1" applyAlignment="1">
      <alignment horizontal="left" vertical="center" wrapText="1"/>
    </xf>
    <xf numFmtId="0" fontId="49" fillId="26" borderId="1" xfId="0" applyFont="1" applyFill="1" applyBorder="1" applyAlignment="1">
      <alignment horizontal="left" wrapText="1"/>
    </xf>
    <xf numFmtId="165" fontId="49" fillId="26" borderId="1" xfId="0" applyNumberFormat="1" applyFont="1" applyFill="1" applyBorder="1" applyAlignment="1">
      <alignment horizontal="right" vertical="center" wrapText="1"/>
    </xf>
    <xf numFmtId="0" fontId="49" fillId="27" borderId="1" xfId="0" applyFont="1" applyFill="1" applyBorder="1"/>
    <xf numFmtId="165" fontId="49" fillId="27" borderId="1" xfId="1" applyFont="1" applyFill="1" applyBorder="1"/>
    <xf numFmtId="0" fontId="50" fillId="28" borderId="1" xfId="0" applyFont="1" applyFill="1" applyBorder="1" applyAlignment="1">
      <alignment horizontal="left" vertical="center"/>
    </xf>
    <xf numFmtId="0" fontId="50" fillId="28" borderId="1" xfId="0" applyFont="1" applyFill="1" applyBorder="1" applyAlignment="1">
      <alignment horizontal="left"/>
    </xf>
    <xf numFmtId="165" fontId="50" fillId="28" borderId="1" xfId="0" applyNumberFormat="1" applyFont="1" applyFill="1" applyBorder="1" applyAlignment="1">
      <alignment horizontal="right" vertical="center"/>
    </xf>
    <xf numFmtId="0" fontId="49" fillId="29" borderId="1" xfId="0" applyFont="1" applyFill="1" applyBorder="1" applyAlignment="1">
      <alignment horizontal="left" vertical="center"/>
    </xf>
    <xf numFmtId="0" fontId="49" fillId="29" borderId="1" xfId="0" applyFont="1" applyFill="1" applyBorder="1" applyAlignment="1">
      <alignment horizontal="left"/>
    </xf>
    <xf numFmtId="165" fontId="49" fillId="29" borderId="1" xfId="0" applyNumberFormat="1" applyFont="1" applyFill="1" applyBorder="1" applyAlignment="1">
      <alignment horizontal="right" vertical="center"/>
    </xf>
    <xf numFmtId="0" fontId="49" fillId="29" borderId="1" xfId="0" applyFont="1" applyFill="1" applyBorder="1" applyAlignment="1">
      <alignment horizontal="left" wrapText="1"/>
    </xf>
    <xf numFmtId="0" fontId="49" fillId="0" borderId="0" xfId="0" applyFont="1" applyAlignment="1">
      <alignment horizontal="left" wrapText="1"/>
    </xf>
    <xf numFmtId="0" fontId="48" fillId="0" borderId="51" xfId="0" applyFont="1" applyBorder="1" applyAlignment="1">
      <alignment horizontal="center" wrapText="1"/>
    </xf>
    <xf numFmtId="0" fontId="49" fillId="0" borderId="51" xfId="0" applyFont="1" applyBorder="1" applyAlignment="1">
      <alignment horizontal="center" wrapText="1"/>
    </xf>
    <xf numFmtId="0" fontId="2" fillId="26" borderId="1" xfId="0" applyFont="1" applyFill="1" applyBorder="1"/>
    <xf numFmtId="165" fontId="0" fillId="26" borderId="1" xfId="0" applyNumberFormat="1" applyFill="1" applyBorder="1"/>
    <xf numFmtId="165" fontId="0" fillId="26" borderId="33" xfId="0" applyNumberFormat="1" applyFont="1" applyFill="1" applyBorder="1"/>
    <xf numFmtId="165" fontId="0" fillId="26" borderId="2" xfId="0" applyNumberFormat="1" applyFont="1" applyFill="1" applyBorder="1"/>
    <xf numFmtId="165" fontId="0" fillId="26" borderId="32" xfId="0" applyNumberFormat="1" applyFill="1" applyBorder="1"/>
    <xf numFmtId="165" fontId="1" fillId="26" borderId="34" xfId="0" applyNumberFormat="1" applyFont="1" applyFill="1" applyBorder="1"/>
    <xf numFmtId="0" fontId="2" fillId="26" borderId="32" xfId="0" applyFont="1" applyFill="1" applyBorder="1" applyAlignment="1">
      <alignment horizontal="left"/>
    </xf>
    <xf numFmtId="0" fontId="2" fillId="26" borderId="1" xfId="0" applyFont="1" applyFill="1" applyBorder="1" applyAlignment="1">
      <alignment horizontal="left"/>
    </xf>
    <xf numFmtId="165" fontId="0" fillId="26" borderId="33" xfId="0" applyNumberFormat="1" applyFill="1" applyBorder="1"/>
    <xf numFmtId="165" fontId="0" fillId="26" borderId="2" xfId="0" applyNumberFormat="1" applyFill="1" applyBorder="1"/>
    <xf numFmtId="165" fontId="2" fillId="26" borderId="1" xfId="0" applyNumberFormat="1" applyFont="1" applyFill="1" applyBorder="1"/>
    <xf numFmtId="165" fontId="0" fillId="26" borderId="1" xfId="1" applyFont="1" applyFill="1" applyBorder="1"/>
    <xf numFmtId="0" fontId="62" fillId="26" borderId="1" xfId="0" applyFont="1" applyFill="1" applyBorder="1" applyAlignment="1">
      <alignment horizontal="left"/>
    </xf>
    <xf numFmtId="0" fontId="62" fillId="26" borderId="1" xfId="0" applyFont="1" applyFill="1" applyBorder="1"/>
    <xf numFmtId="165" fontId="41" fillId="26" borderId="1" xfId="0" applyNumberFormat="1" applyFont="1" applyFill="1" applyBorder="1"/>
    <xf numFmtId="165" fontId="41" fillId="26" borderId="2" xfId="0" applyNumberFormat="1" applyFont="1" applyFill="1" applyBorder="1"/>
    <xf numFmtId="165" fontId="41" fillId="26" borderId="32" xfId="0" applyNumberFormat="1" applyFont="1" applyFill="1" applyBorder="1"/>
    <xf numFmtId="165" fontId="63" fillId="26" borderId="34" xfId="0" applyNumberFormat="1" applyFont="1" applyFill="1" applyBorder="1"/>
    <xf numFmtId="165" fontId="0" fillId="26" borderId="0" xfId="1" applyFont="1" applyFill="1"/>
    <xf numFmtId="165" fontId="2" fillId="26" borderId="1" xfId="1" applyFont="1" applyFill="1" applyBorder="1"/>
    <xf numFmtId="165" fontId="0" fillId="26" borderId="0" xfId="0" applyNumberFormat="1" applyFont="1" applyFill="1" applyBorder="1"/>
    <xf numFmtId="44" fontId="0" fillId="26" borderId="0" xfId="0" applyNumberFormat="1" applyFill="1"/>
    <xf numFmtId="0" fontId="0" fillId="26" borderId="0" xfId="0" applyFill="1"/>
    <xf numFmtId="0" fontId="50" fillId="19" borderId="0" xfId="0" applyFont="1" applyFill="1" applyAlignment="1">
      <alignment wrapText="1"/>
    </xf>
    <xf numFmtId="0" fontId="64" fillId="19" borderId="0" xfId="0" applyFont="1" applyFill="1" applyAlignment="1">
      <alignment wrapText="1"/>
    </xf>
    <xf numFmtId="165" fontId="48" fillId="19" borderId="0" xfId="0" applyNumberFormat="1" applyFont="1" applyFill="1" applyBorder="1" applyAlignment="1">
      <alignment horizontal="right" vertical="center"/>
    </xf>
    <xf numFmtId="0" fontId="48" fillId="19" borderId="0" xfId="0" applyFont="1" applyFill="1" applyBorder="1" applyAlignment="1">
      <alignment horizontal="left" vertical="center"/>
    </xf>
    <xf numFmtId="0" fontId="64" fillId="19" borderId="0" xfId="0" applyFont="1" applyFill="1" applyBorder="1" applyAlignment="1">
      <alignment horizontal="center" wrapText="1"/>
    </xf>
    <xf numFmtId="165" fontId="49" fillId="30" borderId="1" xfId="0" applyNumberFormat="1" applyFont="1" applyFill="1" applyBorder="1" applyAlignment="1">
      <alignment horizontal="left" wrapText="1"/>
    </xf>
    <xf numFmtId="165" fontId="50" fillId="30" borderId="1" xfId="0" applyNumberFormat="1" applyFont="1" applyFill="1" applyBorder="1" applyAlignment="1">
      <alignment horizontal="left" wrapText="1"/>
    </xf>
    <xf numFmtId="165" fontId="50" fillId="30" borderId="1" xfId="0" applyNumberFormat="1" applyFont="1" applyFill="1" applyBorder="1" applyAlignment="1">
      <alignment horizontal="right" vertical="center" wrapText="1"/>
    </xf>
    <xf numFmtId="165" fontId="49" fillId="30" borderId="1" xfId="0" applyNumberFormat="1" applyFont="1" applyFill="1" applyBorder="1" applyAlignment="1">
      <alignment horizontal="right" vertical="center"/>
    </xf>
    <xf numFmtId="0" fontId="49" fillId="30" borderId="1" xfId="0" applyFont="1" applyFill="1" applyBorder="1" applyAlignment="1">
      <alignment horizontal="left" wrapText="1"/>
    </xf>
    <xf numFmtId="0" fontId="49" fillId="30" borderId="1" xfId="0" applyFont="1" applyFill="1" applyBorder="1" applyAlignment="1">
      <alignment horizontal="left" vertical="center" wrapText="1"/>
    </xf>
    <xf numFmtId="165" fontId="49" fillId="31" borderId="1" xfId="0" applyNumberFormat="1" applyFont="1" applyFill="1" applyBorder="1" applyAlignment="1">
      <alignment horizontal="left" wrapText="1"/>
    </xf>
    <xf numFmtId="165" fontId="50" fillId="31" borderId="1" xfId="0" applyNumberFormat="1" applyFont="1" applyFill="1" applyBorder="1" applyAlignment="1">
      <alignment horizontal="left" wrapText="1"/>
    </xf>
    <xf numFmtId="165" fontId="49" fillId="19" borderId="4" xfId="0" applyNumberFormat="1" applyFont="1" applyFill="1" applyBorder="1" applyAlignment="1">
      <alignment horizontal="left" wrapText="1"/>
    </xf>
    <xf numFmtId="165" fontId="50" fillId="19" borderId="4" xfId="0" applyNumberFormat="1" applyFont="1" applyFill="1" applyBorder="1" applyAlignment="1">
      <alignment horizontal="left" wrapText="1"/>
    </xf>
    <xf numFmtId="165" fontId="49" fillId="19" borderId="4" xfId="0" applyNumberFormat="1" applyFont="1" applyFill="1" applyBorder="1" applyAlignment="1">
      <alignment horizontal="right" vertical="center" wrapText="1"/>
    </xf>
    <xf numFmtId="165" fontId="49" fillId="19" borderId="4" xfId="1" applyFont="1" applyFill="1" applyBorder="1"/>
    <xf numFmtId="0" fontId="49" fillId="19" borderId="4" xfId="0" applyFont="1" applyFill="1" applyBorder="1"/>
    <xf numFmtId="0" fontId="49" fillId="19" borderId="0" xfId="0" applyFont="1" applyFill="1" applyBorder="1" applyAlignment="1">
      <alignment wrapText="1"/>
    </xf>
    <xf numFmtId="165" fontId="50" fillId="19" borderId="0" xfId="0" applyNumberFormat="1" applyFont="1" applyFill="1" applyBorder="1" applyAlignment="1">
      <alignment horizontal="left" wrapText="1"/>
    </xf>
    <xf numFmtId="165" fontId="49" fillId="19" borderId="0" xfId="1" applyFont="1" applyFill="1" applyBorder="1"/>
    <xf numFmtId="0" fontId="49" fillId="19" borderId="0" xfId="0" applyFont="1" applyFill="1" applyBorder="1"/>
    <xf numFmtId="0" fontId="48" fillId="19" borderId="0" xfId="0" applyFont="1" applyFill="1" applyBorder="1"/>
    <xf numFmtId="165" fontId="64" fillId="19" borderId="0" xfId="0" applyNumberFormat="1" applyFont="1" applyFill="1" applyBorder="1" applyAlignment="1">
      <alignment horizontal="left" wrapText="1"/>
    </xf>
    <xf numFmtId="165" fontId="48" fillId="19" borderId="0" xfId="1" applyFont="1" applyFill="1" applyBorder="1"/>
    <xf numFmtId="165" fontId="48" fillId="19" borderId="53" xfId="0" applyNumberFormat="1" applyFont="1" applyFill="1" applyBorder="1" applyAlignment="1">
      <alignment horizontal="right" vertical="center" wrapText="1"/>
    </xf>
    <xf numFmtId="0" fontId="48" fillId="19" borderId="53" xfId="0" applyFont="1" applyFill="1" applyBorder="1" applyAlignment="1">
      <alignment horizontal="left" wrapText="1"/>
    </xf>
    <xf numFmtId="0" fontId="48" fillId="19" borderId="53" xfId="0" applyFont="1" applyFill="1" applyBorder="1" applyAlignment="1">
      <alignment horizontal="left" vertical="center" wrapText="1"/>
    </xf>
    <xf numFmtId="165" fontId="49" fillId="0" borderId="4" xfId="0" applyNumberFormat="1" applyFont="1" applyBorder="1" applyAlignment="1">
      <alignment horizontal="right" vertical="center" wrapText="1"/>
    </xf>
    <xf numFmtId="165" fontId="50" fillId="0" borderId="4" xfId="0" applyNumberFormat="1" applyFont="1" applyBorder="1" applyAlignment="1">
      <alignment horizontal="left" wrapText="1"/>
    </xf>
    <xf numFmtId="165" fontId="49" fillId="26" borderId="4" xfId="0" applyNumberFormat="1" applyFont="1" applyFill="1" applyBorder="1" applyAlignment="1">
      <alignment horizontal="right" vertical="center" wrapText="1"/>
    </xf>
    <xf numFmtId="0" fontId="49" fillId="26" borderId="4" xfId="0" applyFont="1" applyFill="1" applyBorder="1" applyAlignment="1">
      <alignment horizontal="left" wrapText="1"/>
    </xf>
    <xf numFmtId="0" fontId="49" fillId="26" borderId="4" xfId="0" applyFont="1" applyFill="1" applyBorder="1" applyAlignment="1">
      <alignment horizontal="left" vertical="center" wrapText="1"/>
    </xf>
    <xf numFmtId="0" fontId="49" fillId="26" borderId="0" xfId="0" applyFont="1" applyFill="1" applyBorder="1" applyAlignment="1">
      <alignment horizontal="center" wrapText="1"/>
    </xf>
    <xf numFmtId="165" fontId="48" fillId="19" borderId="53" xfId="1" applyFont="1" applyFill="1" applyBorder="1"/>
    <xf numFmtId="0" fontId="48" fillId="19" borderId="53" xfId="0" applyFont="1" applyFill="1" applyBorder="1"/>
    <xf numFmtId="165" fontId="49" fillId="0" borderId="4" xfId="0" applyNumberFormat="1" applyFont="1" applyBorder="1" applyAlignment="1">
      <alignment horizontal="left" wrapText="1"/>
    </xf>
    <xf numFmtId="165" fontId="49" fillId="27" borderId="4" xfId="0" applyNumberFormat="1" applyFont="1" applyFill="1" applyBorder="1" applyAlignment="1">
      <alignment horizontal="right" vertical="center"/>
    </xf>
    <xf numFmtId="0" fontId="49" fillId="27" borderId="4" xfId="0" applyFont="1" applyFill="1" applyBorder="1" applyAlignment="1">
      <alignment horizontal="left" wrapText="1"/>
    </xf>
    <xf numFmtId="0" fontId="49" fillId="27" borderId="4" xfId="0" applyFont="1" applyFill="1" applyBorder="1" applyAlignment="1">
      <alignment horizontal="left" vertical="center"/>
    </xf>
    <xf numFmtId="165" fontId="50" fillId="19" borderId="0" xfId="0" applyNumberFormat="1" applyFont="1" applyFill="1" applyBorder="1" applyAlignment="1">
      <alignment horizontal="right" vertical="center"/>
    </xf>
    <xf numFmtId="0" fontId="50" fillId="19" borderId="0" xfId="0" applyFont="1" applyFill="1" applyBorder="1" applyAlignment="1">
      <alignment horizontal="left"/>
    </xf>
    <xf numFmtId="0" fontId="50" fillId="19" borderId="0" xfId="0" applyFont="1" applyFill="1" applyBorder="1" applyAlignment="1">
      <alignment horizontal="left" vertical="center"/>
    </xf>
    <xf numFmtId="165" fontId="64" fillId="19" borderId="0" xfId="0" applyNumberFormat="1" applyFont="1" applyFill="1" applyBorder="1" applyAlignment="1">
      <alignment horizontal="right" vertical="center"/>
    </xf>
    <xf numFmtId="0" fontId="64" fillId="19" borderId="0" xfId="0" applyFont="1" applyFill="1" applyBorder="1" applyAlignment="1">
      <alignment horizontal="left"/>
    </xf>
    <xf numFmtId="0" fontId="64" fillId="19" borderId="0" xfId="0" applyFont="1" applyFill="1" applyBorder="1" applyAlignment="1">
      <alignment horizontal="left" vertical="center"/>
    </xf>
    <xf numFmtId="165" fontId="49" fillId="0" borderId="53" xfId="0" applyNumberFormat="1" applyFont="1" applyBorder="1" applyAlignment="1">
      <alignment horizontal="left" wrapText="1"/>
    </xf>
    <xf numFmtId="165" fontId="50" fillId="0" borderId="53" xfId="0" applyNumberFormat="1" applyFont="1" applyBorder="1" applyAlignment="1">
      <alignment horizontal="left" wrapText="1"/>
    </xf>
    <xf numFmtId="165" fontId="49" fillId="19" borderId="53" xfId="0" applyNumberFormat="1" applyFont="1" applyFill="1" applyBorder="1" applyAlignment="1">
      <alignment horizontal="right" vertical="center" wrapText="1"/>
    </xf>
    <xf numFmtId="165" fontId="50" fillId="2" borderId="53" xfId="0" applyNumberFormat="1" applyFont="1" applyFill="1" applyBorder="1" applyAlignment="1">
      <alignment horizontal="right" vertical="center"/>
    </xf>
    <xf numFmtId="0" fontId="50" fillId="2" borderId="53" xfId="0" applyFont="1" applyFill="1" applyBorder="1" applyAlignment="1">
      <alignment horizontal="left"/>
    </xf>
    <xf numFmtId="0" fontId="50" fillId="2" borderId="53" xfId="0" applyFont="1" applyFill="1" applyBorder="1" applyAlignment="1">
      <alignment horizontal="left" vertical="center"/>
    </xf>
    <xf numFmtId="165" fontId="48" fillId="19" borderId="0" xfId="0" applyNumberFormat="1" applyFont="1" applyFill="1" applyAlignment="1">
      <alignment wrapText="1"/>
    </xf>
    <xf numFmtId="0" fontId="48" fillId="19" borderId="0" xfId="0" applyFont="1" applyFill="1" applyAlignment="1">
      <alignment wrapText="1"/>
    </xf>
    <xf numFmtId="165" fontId="49" fillId="20" borderId="1" xfId="0" applyNumberFormat="1" applyFont="1" applyFill="1" applyBorder="1" applyAlignment="1">
      <alignment horizontal="left" wrapText="1"/>
    </xf>
    <xf numFmtId="165" fontId="50" fillId="20" borderId="1" xfId="0" applyNumberFormat="1" applyFont="1" applyFill="1" applyBorder="1" applyAlignment="1">
      <alignment horizontal="left" wrapText="1"/>
    </xf>
    <xf numFmtId="165" fontId="49" fillId="20" borderId="1" xfId="0" applyNumberFormat="1" applyFont="1" applyFill="1" applyBorder="1" applyAlignment="1">
      <alignment horizontal="right" vertical="center"/>
    </xf>
    <xf numFmtId="0" fontId="49" fillId="20" borderId="1" xfId="0" applyFont="1" applyFill="1" applyBorder="1" applyAlignment="1">
      <alignment horizontal="left" vertical="center"/>
    </xf>
    <xf numFmtId="0" fontId="49" fillId="20" borderId="1" xfId="0" applyFont="1" applyFill="1" applyBorder="1" applyAlignment="1">
      <alignment horizontal="left"/>
    </xf>
    <xf numFmtId="0" fontId="49" fillId="20" borderId="1" xfId="0" applyFont="1" applyFill="1" applyBorder="1" applyAlignment="1">
      <alignment horizontal="left" wrapText="1" shrinkToFit="1"/>
    </xf>
    <xf numFmtId="165" fontId="49" fillId="20" borderId="4" xfId="0" applyNumberFormat="1" applyFont="1" applyFill="1" applyBorder="1" applyAlignment="1">
      <alignment horizontal="left" wrapText="1"/>
    </xf>
    <xf numFmtId="165" fontId="50" fillId="20" borderId="4" xfId="0" applyNumberFormat="1" applyFont="1" applyFill="1" applyBorder="1" applyAlignment="1">
      <alignment horizontal="left" wrapText="1"/>
    </xf>
    <xf numFmtId="165" fontId="49" fillId="20" borderId="4" xfId="0" applyNumberFormat="1" applyFont="1" applyFill="1" applyBorder="1" applyAlignment="1">
      <alignment horizontal="right" vertical="center" wrapText="1"/>
    </xf>
    <xf numFmtId="165" fontId="49" fillId="20" borderId="4" xfId="0" applyNumberFormat="1" applyFont="1" applyFill="1" applyBorder="1" applyAlignment="1">
      <alignment horizontal="right" vertical="center"/>
    </xf>
    <xf numFmtId="0" fontId="49" fillId="20" borderId="4" xfId="0" applyFont="1" applyFill="1" applyBorder="1" applyAlignment="1">
      <alignment horizontal="left" wrapText="1"/>
    </xf>
    <xf numFmtId="0" fontId="49" fillId="20" borderId="4" xfId="0" applyFont="1" applyFill="1" applyBorder="1" applyAlignment="1">
      <alignment horizontal="left" vertical="center"/>
    </xf>
    <xf numFmtId="165" fontId="64" fillId="19" borderId="1" xfId="0" applyNumberFormat="1" applyFont="1" applyFill="1" applyBorder="1" applyAlignment="1">
      <alignment horizontal="right" vertical="center"/>
    </xf>
    <xf numFmtId="0" fontId="49" fillId="29" borderId="0" xfId="0" applyFont="1" applyFill="1" applyAlignment="1">
      <alignment wrapText="1"/>
    </xf>
    <xf numFmtId="0" fontId="49" fillId="29" borderId="0" xfId="0" applyFont="1" applyFill="1" applyBorder="1" applyAlignment="1">
      <alignment horizontal="center" vertical="center" wrapText="1"/>
    </xf>
    <xf numFmtId="165" fontId="49" fillId="29" borderId="1" xfId="0" applyNumberFormat="1" applyFont="1" applyFill="1" applyBorder="1" applyAlignment="1">
      <alignment horizontal="right" vertical="center" wrapText="1"/>
    </xf>
    <xf numFmtId="165" fontId="50" fillId="29" borderId="1" xfId="0" applyNumberFormat="1" applyFont="1" applyFill="1" applyBorder="1" applyAlignment="1">
      <alignment horizontal="right" vertical="center"/>
    </xf>
    <xf numFmtId="0" fontId="50" fillId="29" borderId="1" xfId="0" applyFont="1" applyFill="1" applyBorder="1" applyAlignment="1">
      <alignment horizontal="left" vertical="center" wrapText="1"/>
    </xf>
    <xf numFmtId="0" fontId="50" fillId="29" borderId="1" xfId="0" applyFont="1" applyFill="1" applyBorder="1" applyAlignment="1">
      <alignment horizontal="left"/>
    </xf>
    <xf numFmtId="0" fontId="50" fillId="29" borderId="51" xfId="0" applyFont="1" applyFill="1" applyBorder="1" applyAlignment="1">
      <alignment horizontal="center" wrapText="1"/>
    </xf>
    <xf numFmtId="165" fontId="49" fillId="31" borderId="1" xfId="0" applyNumberFormat="1" applyFont="1" applyFill="1" applyBorder="1" applyAlignment="1">
      <alignment horizontal="right" vertical="center" wrapText="1"/>
    </xf>
    <xf numFmtId="0" fontId="50" fillId="29" borderId="1" xfId="0" applyFont="1" applyFill="1" applyBorder="1" applyAlignment="1">
      <alignment horizontal="left" wrapText="1"/>
    </xf>
    <xf numFmtId="0" fontId="49" fillId="29" borderId="51" xfId="0" applyFont="1" applyFill="1" applyBorder="1" applyAlignment="1">
      <alignment horizontal="center" wrapText="1"/>
    </xf>
    <xf numFmtId="165" fontId="49" fillId="29" borderId="1" xfId="0" applyNumberFormat="1" applyFont="1" applyFill="1" applyBorder="1" applyAlignment="1">
      <alignment horizontal="left" wrapText="1"/>
    </xf>
    <xf numFmtId="165" fontId="50" fillId="29" borderId="1" xfId="0" applyNumberFormat="1" applyFont="1" applyFill="1" applyBorder="1" applyAlignment="1">
      <alignment horizontal="left" wrapText="1"/>
    </xf>
    <xf numFmtId="0" fontId="49" fillId="0" borderId="0" xfId="0" applyFont="1" applyBorder="1" applyAlignment="1">
      <alignment horizontal="center" wrapText="1"/>
    </xf>
    <xf numFmtId="0" fontId="48" fillId="0" borderId="0" xfId="0" applyFont="1" applyBorder="1" applyAlignment="1">
      <alignment horizontal="center" wrapText="1"/>
    </xf>
    <xf numFmtId="44" fontId="48" fillId="0" borderId="0" xfId="0" applyNumberFormat="1" applyFont="1" applyAlignment="1">
      <alignment wrapText="1"/>
    </xf>
    <xf numFmtId="165" fontId="34" fillId="26" borderId="1" xfId="0" applyNumberFormat="1" applyFont="1" applyFill="1" applyBorder="1"/>
    <xf numFmtId="165" fontId="34" fillId="26" borderId="32" xfId="0" applyNumberFormat="1" applyFont="1" applyFill="1" applyBorder="1"/>
    <xf numFmtId="4" fontId="0" fillId="0" borderId="0" xfId="0" applyNumberFormat="1"/>
    <xf numFmtId="0" fontId="49" fillId="32" borderId="1" xfId="0" applyFont="1" applyFill="1" applyBorder="1" applyAlignment="1">
      <alignment horizontal="left" vertical="center"/>
    </xf>
    <xf numFmtId="0" fontId="49" fillId="32" borderId="1" xfId="0" applyFont="1" applyFill="1" applyBorder="1" applyAlignment="1">
      <alignment horizontal="left" wrapText="1"/>
    </xf>
    <xf numFmtId="165" fontId="49" fillId="32" borderId="1" xfId="0" applyNumberFormat="1" applyFont="1" applyFill="1" applyBorder="1" applyAlignment="1">
      <alignment horizontal="right" vertical="center"/>
    </xf>
    <xf numFmtId="165" fontId="50" fillId="32" borderId="1" xfId="0" applyNumberFormat="1" applyFont="1" applyFill="1" applyBorder="1" applyAlignment="1">
      <alignment horizontal="right" vertical="center" wrapText="1"/>
    </xf>
    <xf numFmtId="165" fontId="50" fillId="32" borderId="1" xfId="0" applyNumberFormat="1" applyFont="1" applyFill="1" applyBorder="1" applyAlignment="1">
      <alignment horizontal="left" wrapText="1"/>
    </xf>
    <xf numFmtId="165" fontId="49" fillId="32" borderId="1" xfId="0" applyNumberFormat="1" applyFont="1" applyFill="1" applyBorder="1" applyAlignment="1">
      <alignment horizontal="right" vertical="center" wrapText="1"/>
    </xf>
    <xf numFmtId="165" fontId="49" fillId="32" borderId="1" xfId="0" applyNumberFormat="1" applyFont="1" applyFill="1" applyBorder="1" applyAlignment="1">
      <alignment horizontal="left" wrapText="1"/>
    </xf>
    <xf numFmtId="165" fontId="49" fillId="32" borderId="4" xfId="0" applyNumberFormat="1" applyFont="1" applyFill="1" applyBorder="1" applyAlignment="1">
      <alignment horizontal="right" vertical="center" wrapText="1"/>
    </xf>
    <xf numFmtId="165" fontId="48" fillId="32" borderId="53" xfId="0" applyNumberFormat="1" applyFont="1" applyFill="1" applyBorder="1" applyAlignment="1">
      <alignment horizontal="right" vertical="center" wrapText="1"/>
    </xf>
    <xf numFmtId="165" fontId="1" fillId="19" borderId="33" xfId="0" applyNumberFormat="1" applyFont="1" applyFill="1" applyBorder="1"/>
    <xf numFmtId="0" fontId="3" fillId="19" borderId="9" xfId="0" applyFont="1" applyFill="1" applyBorder="1" applyAlignment="1">
      <alignment horizontal="left"/>
    </xf>
    <xf numFmtId="0" fontId="3" fillId="19" borderId="4" xfId="0" applyFont="1" applyFill="1" applyBorder="1"/>
    <xf numFmtId="165" fontId="1" fillId="19" borderId="1" xfId="0" applyNumberFormat="1" applyFont="1" applyFill="1" applyBorder="1"/>
    <xf numFmtId="165" fontId="1" fillId="19" borderId="0" xfId="0" applyNumberFormat="1" applyFont="1" applyFill="1" applyBorder="1"/>
    <xf numFmtId="0" fontId="0" fillId="19" borderId="0" xfId="0" applyFill="1"/>
    <xf numFmtId="0" fontId="67" fillId="0" borderId="35" xfId="0" applyFont="1" applyBorder="1"/>
    <xf numFmtId="0" fontId="67" fillId="0" borderId="36" xfId="0" applyFont="1" applyBorder="1"/>
    <xf numFmtId="0" fontId="67" fillId="0" borderId="22" xfId="0" applyFont="1" applyBorder="1"/>
    <xf numFmtId="0" fontId="67" fillId="0" borderId="9" xfId="0" applyFont="1" applyBorder="1" applyAlignment="1">
      <alignment horizontal="center"/>
    </xf>
    <xf numFmtId="0" fontId="67" fillId="0" borderId="13" xfId="0" applyFont="1" applyBorder="1" applyAlignment="1">
      <alignment horizontal="center"/>
    </xf>
    <xf numFmtId="0" fontId="67" fillId="0" borderId="23" xfId="0" applyFont="1" applyBorder="1" applyAlignment="1">
      <alignment horizontal="center"/>
    </xf>
    <xf numFmtId="0" fontId="67" fillId="0" borderId="24" xfId="0" applyFont="1" applyBorder="1" applyAlignment="1">
      <alignment wrapText="1"/>
    </xf>
    <xf numFmtId="0" fontId="67" fillId="0" borderId="25" xfId="0" applyFont="1" applyBorder="1" applyAlignment="1">
      <alignment wrapText="1"/>
    </xf>
    <xf numFmtId="0" fontId="67" fillId="0" borderId="26" xfId="0" applyFont="1" applyBorder="1" applyAlignment="1">
      <alignment wrapText="1"/>
    </xf>
    <xf numFmtId="0" fontId="67" fillId="0" borderId="27" xfId="0" applyFont="1" applyBorder="1"/>
    <xf numFmtId="0" fontId="37" fillId="0" borderId="29" xfId="0" applyFont="1" applyBorder="1" applyAlignment="1">
      <alignment horizontal="center"/>
    </xf>
    <xf numFmtId="0" fontId="37" fillId="0" borderId="18" xfId="0" applyFont="1" applyBorder="1" applyAlignment="1">
      <alignment horizontal="center"/>
    </xf>
    <xf numFmtId="0" fontId="67" fillId="0" borderId="1" xfId="0" applyFont="1" applyBorder="1"/>
    <xf numFmtId="165" fontId="67" fillId="0" borderId="1" xfId="0" applyNumberFormat="1" applyFont="1" applyBorder="1"/>
    <xf numFmtId="165" fontId="67" fillId="0" borderId="2" xfId="0" applyNumberFormat="1" applyFont="1" applyBorder="1"/>
    <xf numFmtId="165" fontId="67" fillId="0" borderId="32" xfId="0" applyNumberFormat="1" applyFont="1" applyBorder="1"/>
    <xf numFmtId="165" fontId="67" fillId="0" borderId="33" xfId="0" applyNumberFormat="1" applyFont="1" applyBorder="1"/>
    <xf numFmtId="0" fontId="68" fillId="0" borderId="1" xfId="0" applyFont="1" applyBorder="1"/>
    <xf numFmtId="165" fontId="68" fillId="0" borderId="1" xfId="0" applyNumberFormat="1" applyFont="1" applyBorder="1"/>
    <xf numFmtId="165" fontId="68" fillId="0" borderId="2" xfId="0" applyNumberFormat="1" applyFont="1" applyBorder="1"/>
    <xf numFmtId="165" fontId="68" fillId="0" borderId="32" xfId="0" applyNumberFormat="1" applyFont="1" applyBorder="1"/>
    <xf numFmtId="165" fontId="68" fillId="0" borderId="33" xfId="0" applyNumberFormat="1" applyFont="1" applyBorder="1"/>
    <xf numFmtId="165" fontId="68" fillId="19" borderId="32" xfId="0" applyNumberFormat="1" applyFont="1" applyFill="1" applyBorder="1"/>
    <xf numFmtId="166" fontId="68" fillId="19" borderId="1" xfId="0" applyNumberFormat="1" applyFont="1" applyFill="1" applyBorder="1" applyAlignment="1">
      <alignment wrapText="1"/>
    </xf>
    <xf numFmtId="165" fontId="67" fillId="0" borderId="5" xfId="0" applyNumberFormat="1" applyFont="1" applyBorder="1"/>
    <xf numFmtId="165" fontId="67" fillId="0" borderId="6" xfId="0" applyNumberFormat="1" applyFont="1" applyBorder="1"/>
    <xf numFmtId="165" fontId="67" fillId="0" borderId="7" xfId="0" applyNumberFormat="1" applyFont="1" applyBorder="1"/>
    <xf numFmtId="0" fontId="2" fillId="0" borderId="43" xfId="0" applyFont="1" applyBorder="1" applyAlignment="1">
      <alignment wrapText="1"/>
    </xf>
    <xf numFmtId="165" fontId="1" fillId="0" borderId="3" xfId="0" applyNumberFormat="1" applyFont="1" applyBorder="1"/>
    <xf numFmtId="165" fontId="0" fillId="0" borderId="3" xfId="0" applyNumberFormat="1" applyBorder="1"/>
    <xf numFmtId="165" fontId="1" fillId="0" borderId="43" xfId="0" applyNumberFormat="1" applyFont="1" applyBorder="1"/>
    <xf numFmtId="0" fontId="3" fillId="0" borderId="9" xfId="0" applyFont="1" applyBorder="1" applyAlignment="1">
      <alignment horizontal="left"/>
    </xf>
    <xf numFmtId="0" fontId="67" fillId="0" borderId="32" xfId="0" applyFont="1" applyFill="1" applyBorder="1" applyAlignment="1">
      <alignment horizontal="left"/>
    </xf>
    <xf numFmtId="0" fontId="68" fillId="0" borderId="32" xfId="0" applyFont="1" applyFill="1" applyBorder="1" applyAlignment="1">
      <alignment horizontal="left"/>
    </xf>
    <xf numFmtId="0" fontId="67" fillId="0" borderId="32" xfId="0" applyFont="1" applyBorder="1" applyAlignment="1">
      <alignment horizontal="left"/>
    </xf>
    <xf numFmtId="0" fontId="67" fillId="0" borderId="42" xfId="0" applyFont="1" applyBorder="1"/>
    <xf numFmtId="0" fontId="67" fillId="0" borderId="43" xfId="0" applyFont="1" applyBorder="1"/>
    <xf numFmtId="165" fontId="67" fillId="0" borderId="54" xfId="0" applyNumberFormat="1" applyFont="1" applyBorder="1"/>
    <xf numFmtId="0" fontId="0" fillId="0" borderId="0" xfId="0" applyFont="1"/>
    <xf numFmtId="0" fontId="0" fillId="0" borderId="20" xfId="0" applyFont="1" applyBorder="1"/>
    <xf numFmtId="0" fontId="0" fillId="0" borderId="17" xfId="0" applyFont="1" applyBorder="1"/>
    <xf numFmtId="0" fontId="0" fillId="0" borderId="29" xfId="0" applyFont="1" applyBorder="1"/>
    <xf numFmtId="0" fontId="0" fillId="0" borderId="18" xfId="0" applyFont="1" applyBorder="1"/>
    <xf numFmtId="0" fontId="0" fillId="0" borderId="35" xfId="0" applyFont="1" applyBorder="1"/>
    <xf numFmtId="0" fontId="0" fillId="0" borderId="36" xfId="0" applyFont="1" applyBorder="1"/>
    <xf numFmtId="0" fontId="0" fillId="0" borderId="22" xfId="0" applyFont="1" applyBorder="1"/>
    <xf numFmtId="0" fontId="0" fillId="0" borderId="9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0" xfId="0" applyFont="1" applyBorder="1"/>
    <xf numFmtId="0" fontId="0" fillId="0" borderId="19" xfId="0" applyFont="1" applyBorder="1"/>
    <xf numFmtId="0" fontId="0" fillId="0" borderId="28" xfId="0" applyFont="1" applyBorder="1" applyAlignment="1">
      <alignment wrapText="1"/>
    </xf>
    <xf numFmtId="0" fontId="0" fillId="0" borderId="25" xfId="0" applyFont="1" applyBorder="1" applyAlignment="1">
      <alignment wrapText="1"/>
    </xf>
    <xf numFmtId="0" fontId="0" fillId="0" borderId="26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27" xfId="0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9" fillId="8" borderId="22" xfId="2" applyFont="1" applyFill="1" applyBorder="1" applyAlignment="1">
      <alignment horizontal="center" vertical="center" textRotation="90" wrapText="1"/>
    </xf>
    <xf numFmtId="0" fontId="19" fillId="8" borderId="23" xfId="2" applyFont="1" applyFill="1" applyBorder="1" applyAlignment="1">
      <alignment horizontal="center" vertical="center" textRotation="90" wrapText="1"/>
    </xf>
    <xf numFmtId="0" fontId="19" fillId="8" borderId="31" xfId="2" applyFont="1" applyFill="1" applyBorder="1" applyAlignment="1">
      <alignment horizontal="center" vertical="center" textRotation="90" wrapText="1"/>
    </xf>
    <xf numFmtId="0" fontId="19" fillId="7" borderId="17" xfId="2" applyFont="1" applyFill="1" applyBorder="1" applyAlignment="1" applyProtection="1">
      <alignment horizontal="center" vertical="center" textRotation="90" wrapText="1"/>
      <protection locked="0" hidden="1"/>
    </xf>
    <xf numFmtId="0" fontId="19" fillId="7" borderId="18" xfId="2" applyFont="1" applyFill="1" applyBorder="1" applyAlignment="1" applyProtection="1">
      <alignment horizontal="center" vertical="center" textRotation="90" wrapText="1"/>
      <protection locked="0" hidden="1"/>
    </xf>
    <xf numFmtId="0" fontId="19" fillId="7" borderId="19" xfId="2" applyFont="1" applyFill="1" applyBorder="1" applyAlignment="1" applyProtection="1">
      <alignment horizontal="center" vertical="center" textRotation="90" wrapText="1"/>
      <protection locked="0" hidden="1"/>
    </xf>
    <xf numFmtId="0" fontId="19" fillId="11" borderId="22" xfId="2" applyFont="1" applyFill="1" applyBorder="1" applyAlignment="1">
      <alignment horizontal="center" vertical="center" textRotation="90" wrapText="1"/>
    </xf>
    <xf numFmtId="0" fontId="19" fillId="11" borderId="23" xfId="2" applyFont="1" applyFill="1" applyBorder="1" applyAlignment="1">
      <alignment horizontal="center" vertical="center" textRotation="90" wrapText="1"/>
    </xf>
    <xf numFmtId="0" fontId="19" fillId="11" borderId="31" xfId="2" applyFont="1" applyFill="1" applyBorder="1" applyAlignment="1">
      <alignment horizontal="center" vertical="center" textRotation="90" wrapText="1"/>
    </xf>
    <xf numFmtId="0" fontId="19" fillId="10" borderId="22" xfId="2" applyFont="1" applyFill="1" applyBorder="1" applyAlignment="1">
      <alignment horizontal="center" vertical="center" textRotation="90" wrapText="1"/>
    </xf>
    <xf numFmtId="0" fontId="19" fillId="10" borderId="23" xfId="2" applyFont="1" applyFill="1" applyBorder="1" applyAlignment="1">
      <alignment horizontal="center" vertical="center" textRotation="90" wrapText="1"/>
    </xf>
    <xf numFmtId="0" fontId="19" fillId="10" borderId="31" xfId="2" applyFont="1" applyFill="1" applyBorder="1" applyAlignment="1">
      <alignment horizontal="center" vertical="center" textRotation="90" wrapText="1"/>
    </xf>
    <xf numFmtId="0" fontId="19" fillId="9" borderId="22" xfId="2" applyFont="1" applyFill="1" applyBorder="1" applyAlignment="1">
      <alignment horizontal="center" vertical="center" textRotation="90" wrapText="1"/>
    </xf>
    <xf numFmtId="0" fontId="19" fillId="9" borderId="23" xfId="2" applyFont="1" applyFill="1" applyBorder="1" applyAlignment="1">
      <alignment horizontal="center" vertical="center" textRotation="90" wrapText="1"/>
    </xf>
    <xf numFmtId="0" fontId="19" fillId="9" borderId="31" xfId="2" applyFont="1" applyFill="1" applyBorder="1" applyAlignment="1">
      <alignment horizontal="center" vertical="center" textRotation="90" wrapText="1"/>
    </xf>
    <xf numFmtId="0" fontId="19" fillId="15" borderId="22" xfId="2" applyFont="1" applyFill="1" applyBorder="1" applyAlignment="1">
      <alignment horizontal="center" vertical="center" wrapText="1"/>
    </xf>
    <xf numFmtId="0" fontId="19" fillId="15" borderId="23" xfId="2" applyFont="1" applyFill="1" applyBorder="1" applyAlignment="1">
      <alignment horizontal="center" vertical="center" wrapText="1"/>
    </xf>
    <xf numFmtId="0" fontId="19" fillId="15" borderId="0" xfId="2" applyFont="1" applyFill="1" applyBorder="1" applyAlignment="1">
      <alignment horizontal="center" vertical="center" wrapText="1"/>
    </xf>
    <xf numFmtId="49" fontId="16" fillId="3" borderId="0" xfId="2" applyNumberFormat="1" applyFont="1" applyFill="1" applyBorder="1" applyAlignment="1">
      <alignment horizontal="justify"/>
    </xf>
    <xf numFmtId="0" fontId="19" fillId="18" borderId="37" xfId="2" applyFont="1" applyFill="1" applyBorder="1" applyAlignment="1">
      <alignment horizontal="center"/>
    </xf>
    <xf numFmtId="0" fontId="19" fillId="18" borderId="38" xfId="2" applyFont="1" applyFill="1" applyBorder="1" applyAlignment="1">
      <alignment horizontal="center"/>
    </xf>
    <xf numFmtId="0" fontId="17" fillId="17" borderId="37" xfId="2" applyFont="1" applyFill="1" applyBorder="1" applyAlignment="1">
      <alignment horizontal="center"/>
    </xf>
    <xf numFmtId="0" fontId="17" fillId="17" borderId="3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0" xfId="2" applyFont="1" applyAlignment="1">
      <alignment horizontal="center"/>
    </xf>
    <xf numFmtId="0" fontId="24" fillId="3" borderId="0" xfId="2" applyFont="1" applyFill="1" applyAlignment="1">
      <alignment horizontal="center"/>
    </xf>
    <xf numFmtId="0" fontId="23" fillId="0" borderId="0" xfId="2" applyFont="1" applyAlignment="1">
      <alignment horizontal="center"/>
    </xf>
    <xf numFmtId="0" fontId="22" fillId="3" borderId="48" xfId="2" applyFont="1" applyFill="1" applyBorder="1" applyAlignment="1">
      <alignment horizontal="center"/>
    </xf>
    <xf numFmtId="0" fontId="21" fillId="0" borderId="48" xfId="2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9" fillId="0" borderId="0" xfId="0" applyFont="1" applyAlignment="1">
      <alignment horizontal="left" wrapText="1"/>
    </xf>
    <xf numFmtId="0" fontId="48" fillId="0" borderId="0" xfId="0" applyFont="1" applyAlignment="1">
      <alignment horizontal="center" wrapText="1"/>
    </xf>
    <xf numFmtId="0" fontId="48" fillId="0" borderId="51" xfId="0" applyFont="1" applyBorder="1" applyAlignment="1">
      <alignment horizontal="center" wrapText="1"/>
    </xf>
    <xf numFmtId="0" fontId="49" fillId="0" borderId="51" xfId="0" applyFont="1" applyBorder="1" applyAlignment="1">
      <alignment horizontal="center" wrapText="1"/>
    </xf>
    <xf numFmtId="0" fontId="48" fillId="0" borderId="0" xfId="0" applyFont="1" applyBorder="1" applyAlignment="1">
      <alignment horizontal="center" wrapText="1"/>
    </xf>
    <xf numFmtId="0" fontId="64" fillId="19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40" fillId="0" borderId="1" xfId="0" applyFont="1" applyBorder="1" applyAlignment="1">
      <alignment horizontal="center" vertical="center"/>
    </xf>
  </cellXfs>
  <cellStyles count="10">
    <cellStyle name="Euro" xfId="4"/>
    <cellStyle name="Millares 2" xfId="8"/>
    <cellStyle name="Millares 4" xfId="5"/>
    <cellStyle name="Moneda" xfId="1" builtinId="4"/>
    <cellStyle name="Moneda 2" xfId="3"/>
    <cellStyle name="Moneda 3" xfId="9"/>
    <cellStyle name="Normal" xfId="0" builtinId="0"/>
    <cellStyle name="Normal 2" xfId="2"/>
    <cellStyle name="Normal 4" xfId="6"/>
    <cellStyle name="Porcentaje" xfId="7" builtinId="5"/>
  </cellStyles>
  <dxfs count="0"/>
  <tableStyles count="0" defaultTableStyle="TableStyleMedium2" defaultPivotStyle="PivotStyleLight16"/>
  <colors>
    <mruColors>
      <color rgb="FFFF0066"/>
      <color rgb="FFFDC3F9"/>
      <color rgb="FFF178F4"/>
      <color rgb="FFBC8FDD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762000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762000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419099</xdr:colOff>
      <xdr:row>0</xdr:row>
      <xdr:rowOff>19050</xdr:rowOff>
    </xdr:from>
    <xdr:to>
      <xdr:col>11</xdr:col>
      <xdr:colOff>60299</xdr:colOff>
      <xdr:row>4</xdr:row>
      <xdr:rowOff>200025</xdr:rowOff>
    </xdr:to>
    <xdr:pic>
      <xdr:nvPicPr>
        <xdr:cNvPr id="4" name="Picture 6" descr="Escudo Mp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4" y="19050"/>
          <a:ext cx="10032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116415</xdr:colOff>
      <xdr:row>0</xdr:row>
      <xdr:rowOff>29309</xdr:rowOff>
    </xdr:from>
    <xdr:to>
      <xdr:col>6</xdr:col>
      <xdr:colOff>856988</xdr:colOff>
      <xdr:row>3</xdr:row>
      <xdr:rowOff>6747</xdr:rowOff>
    </xdr:to>
    <xdr:pic>
      <xdr:nvPicPr>
        <xdr:cNvPr id="2" name="Picture 6" descr="Escudo Mp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6957" y="29309"/>
          <a:ext cx="740573" cy="866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175846</xdr:colOff>
      <xdr:row>0</xdr:row>
      <xdr:rowOff>0</xdr:rowOff>
    </xdr:from>
    <xdr:to>
      <xdr:col>14</xdr:col>
      <xdr:colOff>0</xdr:colOff>
      <xdr:row>3</xdr:row>
      <xdr:rowOff>142874</xdr:rowOff>
    </xdr:to>
    <xdr:pic>
      <xdr:nvPicPr>
        <xdr:cNvPr id="2" name="Picture 6" descr="Escudo Mp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0"/>
          <a:ext cx="732692" cy="934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252132</xdr:colOff>
      <xdr:row>0</xdr:row>
      <xdr:rowOff>0</xdr:rowOff>
    </xdr:from>
    <xdr:to>
      <xdr:col>18</xdr:col>
      <xdr:colOff>839931</xdr:colOff>
      <xdr:row>2</xdr:row>
      <xdr:rowOff>100853</xdr:rowOff>
    </xdr:to>
    <xdr:pic>
      <xdr:nvPicPr>
        <xdr:cNvPr id="2" name="Picture 6" descr="Escudo Mp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6794" y="0"/>
          <a:ext cx="587799" cy="481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spaldo%20de%20auditoria\DETALLE%20DE%20PLAZAS%20CHIRILAGUA%20181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 CONTRATO"/>
      <sheetName val="Sueldos Total"/>
      <sheetName val="Hoja1"/>
      <sheetName val="Sueldos linea"/>
      <sheetName val="Hoja2"/>
      <sheetName val="Hoja3"/>
      <sheetName val="FODES"/>
      <sheetName val="INVERSION"/>
      <sheetName val="Becas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N56">
            <v>13407.7518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7"/>
  <sheetViews>
    <sheetView topLeftCell="C36" workbookViewId="0">
      <selection activeCell="N40" sqref="N40"/>
    </sheetView>
  </sheetViews>
  <sheetFormatPr baseColWidth="10" defaultRowHeight="15" x14ac:dyDescent="0.25"/>
  <cols>
    <col min="2" max="2" width="48.28515625" style="158" customWidth="1"/>
    <col min="3" max="3" width="25.42578125" style="175" customWidth="1"/>
    <col min="4" max="7" width="22.5703125" style="65" customWidth="1"/>
    <col min="8" max="8" width="22.5703125" style="180" hidden="1" customWidth="1"/>
    <col min="9" max="9" width="23.28515625" hidden="1" customWidth="1"/>
    <col min="10" max="10" width="21.28515625" hidden="1" customWidth="1"/>
    <col min="11" max="11" width="21.7109375" style="393" hidden="1" customWidth="1"/>
    <col min="12" max="12" width="21.28515625" hidden="1" customWidth="1"/>
    <col min="13" max="13" width="23.42578125" hidden="1" customWidth="1"/>
    <col min="14" max="15" width="20.7109375" customWidth="1"/>
    <col min="16" max="16" width="23.7109375" customWidth="1"/>
    <col min="17" max="17" width="16.140625" customWidth="1"/>
    <col min="19" max="19" width="17.140625" customWidth="1"/>
  </cols>
  <sheetData>
    <row r="1" spans="1:19" ht="93.75" x14ac:dyDescent="0.4">
      <c r="A1" s="91"/>
      <c r="B1" s="154"/>
      <c r="C1" s="171" t="s">
        <v>84</v>
      </c>
      <c r="D1" s="163" t="s">
        <v>524</v>
      </c>
      <c r="E1" s="163" t="s">
        <v>283</v>
      </c>
      <c r="F1" s="162" t="s">
        <v>521</v>
      </c>
      <c r="G1" s="162" t="s">
        <v>525</v>
      </c>
      <c r="H1" s="176" t="s">
        <v>280</v>
      </c>
      <c r="I1" s="160">
        <v>2015</v>
      </c>
      <c r="J1" s="159">
        <v>2014</v>
      </c>
      <c r="K1" s="387">
        <v>2016</v>
      </c>
      <c r="L1" s="159" t="s">
        <v>5</v>
      </c>
      <c r="M1" s="161" t="s">
        <v>143</v>
      </c>
      <c r="N1" s="181" t="s">
        <v>522</v>
      </c>
      <c r="O1" s="168" t="s">
        <v>279</v>
      </c>
      <c r="P1" s="168" t="s">
        <v>259</v>
      </c>
      <c r="S1" s="51">
        <f>N3+N10+N28+N33</f>
        <v>434063.78765999997</v>
      </c>
    </row>
    <row r="2" spans="1:19" ht="24" x14ac:dyDescent="0.4">
      <c r="A2" s="91"/>
      <c r="B2" s="154" t="s">
        <v>278</v>
      </c>
      <c r="C2" s="164">
        <f>C3+C10+C28+C33</f>
        <v>302522.73000000004</v>
      </c>
      <c r="D2" s="164">
        <f>D3+D10+D28+D33</f>
        <v>354530.02</v>
      </c>
      <c r="E2" s="164">
        <f>D2/10</f>
        <v>35453.002</v>
      </c>
      <c r="F2" s="164">
        <f>F3+F10+F28+F33</f>
        <v>70731.426999999996</v>
      </c>
      <c r="G2" s="164">
        <f>G3+G10+G28+G33</f>
        <v>425552.73299999995</v>
      </c>
      <c r="H2" s="177">
        <f>G2/C2</f>
        <v>1.4066801955674533</v>
      </c>
      <c r="I2" s="164">
        <f>I3+I10+I28+I33</f>
        <v>265329.73</v>
      </c>
      <c r="J2" s="164">
        <f>J3+J10+J28+J33</f>
        <v>277354.99200000003</v>
      </c>
      <c r="K2" s="388">
        <f>K3+K10+K28+K33</f>
        <v>406532.29</v>
      </c>
      <c r="L2" s="165">
        <f>I2+J2+K2</f>
        <v>949217.0120000001</v>
      </c>
      <c r="M2" s="166">
        <f>L2/3</f>
        <v>316405.6706666667</v>
      </c>
      <c r="N2" s="182">
        <f t="shared" ref="N2:N27" si="0">G2*1.02</f>
        <v>434063.78765999997</v>
      </c>
      <c r="O2" s="169">
        <f>G2*1.05</f>
        <v>446830.36964999995</v>
      </c>
      <c r="P2" s="167">
        <f>G2*1.15</f>
        <v>489385.64294999989</v>
      </c>
      <c r="Q2">
        <v>302522.73</v>
      </c>
      <c r="S2" s="51"/>
    </row>
    <row r="3" spans="1:19" s="67" customFormat="1" ht="24" x14ac:dyDescent="0.4">
      <c r="A3" s="92">
        <v>11</v>
      </c>
      <c r="B3" s="154" t="s">
        <v>144</v>
      </c>
      <c r="C3" s="93">
        <f>C4</f>
        <v>79337.64</v>
      </c>
      <c r="D3" s="93">
        <f>D4</f>
        <v>76130.36</v>
      </c>
      <c r="E3" s="93">
        <f>D3/10</f>
        <v>7613.0360000000001</v>
      </c>
      <c r="F3" s="93">
        <f>F4</f>
        <v>15226.071999999998</v>
      </c>
      <c r="G3" s="93">
        <f>G4</f>
        <v>91356.432000000001</v>
      </c>
      <c r="H3" s="177">
        <f>G3/C3</f>
        <v>1.1514891544543044</v>
      </c>
      <c r="I3" s="93">
        <f>I4</f>
        <v>68862.86</v>
      </c>
      <c r="J3" s="93">
        <f t="shared" ref="J3:K3" si="1">J4</f>
        <v>97787.5</v>
      </c>
      <c r="K3" s="389">
        <f t="shared" si="1"/>
        <v>79194.19</v>
      </c>
      <c r="L3" s="165">
        <f t="shared" ref="L3:L46" si="2">I3+J3+K3</f>
        <v>245844.55</v>
      </c>
      <c r="M3" s="166">
        <f t="shared" ref="M3:M46" si="3">L3/3</f>
        <v>81948.183333333334</v>
      </c>
      <c r="N3" s="182">
        <f t="shared" si="0"/>
        <v>93183.560639999996</v>
      </c>
      <c r="O3" s="169">
        <f>G3*1.05</f>
        <v>95924.253600000011</v>
      </c>
      <c r="P3" s="167">
        <f t="shared" ref="P3:P46" si="4">G3*1.15</f>
        <v>105059.89679999999</v>
      </c>
      <c r="Q3" s="170">
        <f>G2/I2</f>
        <v>1.6038637396570674</v>
      </c>
      <c r="S3" s="51">
        <f>S1*0.05</f>
        <v>21703.189383000001</v>
      </c>
    </row>
    <row r="4" spans="1:19" ht="24" x14ac:dyDescent="0.4">
      <c r="A4" s="92">
        <v>118</v>
      </c>
      <c r="B4" s="154" t="s">
        <v>145</v>
      </c>
      <c r="C4" s="93">
        <f>SUM(C5:C9)</f>
        <v>79337.64</v>
      </c>
      <c r="D4" s="93">
        <f>SUM(D5:D9)</f>
        <v>76130.36</v>
      </c>
      <c r="E4" s="93">
        <f>D4/10</f>
        <v>7613.0360000000001</v>
      </c>
      <c r="F4" s="93">
        <f>SUM(F5:F9)</f>
        <v>15226.071999999998</v>
      </c>
      <c r="G4" s="93">
        <f t="shared" ref="G4" si="5">SUM(G5:G9)</f>
        <v>91356.432000000001</v>
      </c>
      <c r="H4" s="177">
        <f>G4/C4</f>
        <v>1.1514891544543044</v>
      </c>
      <c r="I4" s="93">
        <f>SUM(I5:I9)</f>
        <v>68862.86</v>
      </c>
      <c r="J4" s="93">
        <f t="shared" ref="J4" si="6">SUM(J5:J9)</f>
        <v>97787.5</v>
      </c>
      <c r="K4" s="389">
        <f>SUM(K5:K9)</f>
        <v>79194.19</v>
      </c>
      <c r="L4" s="165">
        <f t="shared" si="2"/>
        <v>245844.55</v>
      </c>
      <c r="M4" s="166">
        <f t="shared" si="3"/>
        <v>81948.183333333334</v>
      </c>
      <c r="N4" s="182">
        <f t="shared" si="0"/>
        <v>93183.560639999996</v>
      </c>
      <c r="O4" s="169">
        <f>G4*1.05</f>
        <v>95924.253600000011</v>
      </c>
      <c r="P4" s="167">
        <f t="shared" si="4"/>
        <v>105059.89679999999</v>
      </c>
      <c r="S4" s="65">
        <f>S1-S3</f>
        <v>412360.59827699995</v>
      </c>
    </row>
    <row r="5" spans="1:19" ht="24" x14ac:dyDescent="0.4">
      <c r="A5" s="92">
        <v>11801</v>
      </c>
      <c r="B5" s="154" t="s">
        <v>146</v>
      </c>
      <c r="C5" s="172">
        <v>65044.54</v>
      </c>
      <c r="D5" s="93">
        <v>66180.929999999993</v>
      </c>
      <c r="E5" s="93">
        <f t="shared" ref="E5:E46" si="7">D5/10</f>
        <v>6618.0929999999989</v>
      </c>
      <c r="F5" s="93">
        <f>E5*2</f>
        <v>13236.185999999998</v>
      </c>
      <c r="G5" s="93">
        <f>D5+F5</f>
        <v>79417.115999999995</v>
      </c>
      <c r="H5" s="177">
        <f>G5/C5</f>
        <v>1.2209651417321115</v>
      </c>
      <c r="I5" s="93">
        <v>57070.3</v>
      </c>
      <c r="J5" s="91">
        <v>83270.899999999994</v>
      </c>
      <c r="K5" s="390">
        <v>71327.22</v>
      </c>
      <c r="L5" s="165">
        <f t="shared" si="2"/>
        <v>211668.42</v>
      </c>
      <c r="M5" s="166">
        <f t="shared" si="3"/>
        <v>70556.14</v>
      </c>
      <c r="N5" s="182">
        <f t="shared" si="0"/>
        <v>81005.458319999991</v>
      </c>
      <c r="O5" s="169">
        <f>G5*1.05</f>
        <v>83387.971799999999</v>
      </c>
      <c r="P5" s="167">
        <f t="shared" si="4"/>
        <v>91329.68339999998</v>
      </c>
    </row>
    <row r="6" spans="1:19" ht="24" x14ac:dyDescent="0.4">
      <c r="A6" s="92">
        <v>11803</v>
      </c>
      <c r="B6" s="154" t="s">
        <v>147</v>
      </c>
      <c r="C6" s="172"/>
      <c r="D6" s="93">
        <v>0</v>
      </c>
      <c r="E6" s="93">
        <f t="shared" si="7"/>
        <v>0</v>
      </c>
      <c r="F6" s="93">
        <f>E6*2</f>
        <v>0</v>
      </c>
      <c r="G6" s="93">
        <f>D6+F6</f>
        <v>0</v>
      </c>
      <c r="H6" s="177">
        <v>0</v>
      </c>
      <c r="I6" s="93">
        <v>0</v>
      </c>
      <c r="J6" s="91">
        <v>0</v>
      </c>
      <c r="K6" s="390">
        <v>0</v>
      </c>
      <c r="L6" s="165">
        <f t="shared" si="2"/>
        <v>0</v>
      </c>
      <c r="M6" s="166">
        <f>L6/3</f>
        <v>0</v>
      </c>
      <c r="N6" s="182">
        <f t="shared" si="0"/>
        <v>0</v>
      </c>
      <c r="O6" s="169">
        <f>G6*1.05</f>
        <v>0</v>
      </c>
      <c r="P6" s="167">
        <f t="shared" si="4"/>
        <v>0</v>
      </c>
    </row>
    <row r="7" spans="1:19" ht="24" x14ac:dyDescent="0.4">
      <c r="A7" s="92">
        <v>11804</v>
      </c>
      <c r="B7" s="154" t="s">
        <v>148</v>
      </c>
      <c r="C7" s="172">
        <v>13679.71</v>
      </c>
      <c r="D7" s="93">
        <v>8736.6200000000008</v>
      </c>
      <c r="E7" s="93">
        <f t="shared" si="7"/>
        <v>873.66200000000003</v>
      </c>
      <c r="F7" s="93">
        <f>E7*2</f>
        <v>1747.3240000000001</v>
      </c>
      <c r="G7" s="93">
        <f>D7+F7</f>
        <v>10483.944000000001</v>
      </c>
      <c r="H7" s="177">
        <f t="shared" ref="H7:H29" si="8">G7/C7</f>
        <v>0.76638642193438322</v>
      </c>
      <c r="I7" s="93">
        <v>11367.33</v>
      </c>
      <c r="J7" s="91">
        <v>14204.19</v>
      </c>
      <c r="K7" s="390">
        <v>6448.77</v>
      </c>
      <c r="L7" s="165">
        <f t="shared" si="2"/>
        <v>32020.29</v>
      </c>
      <c r="M7" s="166">
        <f t="shared" si="3"/>
        <v>10673.43</v>
      </c>
      <c r="N7" s="182">
        <f t="shared" si="0"/>
        <v>10693.622880000001</v>
      </c>
      <c r="O7" s="169">
        <f t="shared" ref="O7:O46" si="9">G7*1.1</f>
        <v>11532.338400000002</v>
      </c>
      <c r="P7" s="167">
        <f t="shared" si="4"/>
        <v>12056.535600000001</v>
      </c>
    </row>
    <row r="8" spans="1:19" ht="24" x14ac:dyDescent="0.4">
      <c r="A8" s="92">
        <v>11806</v>
      </c>
      <c r="B8" s="154" t="s">
        <v>149</v>
      </c>
      <c r="C8" s="172">
        <v>19.23</v>
      </c>
      <c r="D8" s="93">
        <v>958.99</v>
      </c>
      <c r="E8" s="93">
        <f t="shared" si="7"/>
        <v>95.899000000000001</v>
      </c>
      <c r="F8" s="93">
        <f>E8*2</f>
        <v>191.798</v>
      </c>
      <c r="G8" s="93">
        <f>D8+F8</f>
        <v>1150.788</v>
      </c>
      <c r="H8" s="177">
        <f t="shared" si="8"/>
        <v>59.843369734789391</v>
      </c>
      <c r="I8" s="93">
        <v>0</v>
      </c>
      <c r="J8" s="91">
        <v>0</v>
      </c>
      <c r="K8" s="390">
        <v>972.3</v>
      </c>
      <c r="L8" s="165">
        <f t="shared" si="2"/>
        <v>972.3</v>
      </c>
      <c r="M8" s="166">
        <f t="shared" si="3"/>
        <v>324.09999999999997</v>
      </c>
      <c r="N8" s="182">
        <f t="shared" si="0"/>
        <v>1173.80376</v>
      </c>
      <c r="O8" s="169">
        <f t="shared" si="9"/>
        <v>1265.8668</v>
      </c>
      <c r="P8" s="167">
        <f t="shared" si="4"/>
        <v>1323.4061999999999</v>
      </c>
    </row>
    <row r="9" spans="1:19" ht="24" x14ac:dyDescent="0.4">
      <c r="A9" s="92">
        <v>11818</v>
      </c>
      <c r="B9" s="154" t="s">
        <v>150</v>
      </c>
      <c r="C9" s="172">
        <v>594.16</v>
      </c>
      <c r="D9" s="93">
        <v>253.82</v>
      </c>
      <c r="E9" s="93">
        <f t="shared" si="7"/>
        <v>25.381999999999998</v>
      </c>
      <c r="F9" s="93">
        <f>E9*2</f>
        <v>50.763999999999996</v>
      </c>
      <c r="G9" s="93">
        <f>D9+F9</f>
        <v>304.584</v>
      </c>
      <c r="H9" s="177">
        <f t="shared" si="8"/>
        <v>0.51262959472196046</v>
      </c>
      <c r="I9" s="93">
        <v>425.23</v>
      </c>
      <c r="J9" s="91">
        <v>312.41000000000003</v>
      </c>
      <c r="K9" s="390">
        <v>445.9</v>
      </c>
      <c r="L9" s="165">
        <f t="shared" si="2"/>
        <v>1183.54</v>
      </c>
      <c r="M9" s="166">
        <f t="shared" si="3"/>
        <v>394.51333333333332</v>
      </c>
      <c r="N9" s="182">
        <f t="shared" si="0"/>
        <v>310.67568</v>
      </c>
      <c r="O9" s="169">
        <f t="shared" si="9"/>
        <v>335.04240000000004</v>
      </c>
      <c r="P9" s="167">
        <f t="shared" si="4"/>
        <v>350.27159999999998</v>
      </c>
    </row>
    <row r="10" spans="1:19" ht="24" x14ac:dyDescent="0.4">
      <c r="A10" s="92">
        <v>12</v>
      </c>
      <c r="B10" s="154" t="s">
        <v>151</v>
      </c>
      <c r="C10" s="93">
        <f>C11+C25</f>
        <v>195757.69</v>
      </c>
      <c r="D10" s="93">
        <f>D11+D25</f>
        <v>248789.48</v>
      </c>
      <c r="E10" s="93">
        <f t="shared" si="7"/>
        <v>24878.948</v>
      </c>
      <c r="F10" s="93">
        <f>F11+F25</f>
        <v>49757.896000000001</v>
      </c>
      <c r="G10" s="93">
        <f t="shared" ref="G10:K10" si="10">G11+G25</f>
        <v>298547.37599999999</v>
      </c>
      <c r="H10" s="177">
        <f t="shared" si="8"/>
        <v>1.5250863248335225</v>
      </c>
      <c r="I10" s="93">
        <f>I11+I25</f>
        <v>172251.31</v>
      </c>
      <c r="J10" s="93">
        <f t="shared" si="10"/>
        <v>149055.962</v>
      </c>
      <c r="K10" s="389">
        <f t="shared" si="10"/>
        <v>291248.31</v>
      </c>
      <c r="L10" s="165">
        <f t="shared" si="2"/>
        <v>612555.58199999994</v>
      </c>
      <c r="M10" s="166">
        <f t="shared" si="3"/>
        <v>204185.19399999999</v>
      </c>
      <c r="N10" s="182">
        <f t="shared" si="0"/>
        <v>304518.32351999998</v>
      </c>
      <c r="O10" s="169">
        <f t="shared" si="9"/>
        <v>328402.11360000004</v>
      </c>
      <c r="P10" s="167">
        <f t="shared" si="4"/>
        <v>343329.48239999998</v>
      </c>
    </row>
    <row r="11" spans="1:19" ht="24" x14ac:dyDescent="0.4">
      <c r="A11" s="92">
        <v>121</v>
      </c>
      <c r="B11" s="154" t="s">
        <v>152</v>
      </c>
      <c r="C11" s="93">
        <f>SUM(C12:C24)</f>
        <v>183052</v>
      </c>
      <c r="D11" s="93">
        <f>SUM(D12:D24)</f>
        <v>237958.95</v>
      </c>
      <c r="E11" s="93">
        <f t="shared" si="7"/>
        <v>23795.895</v>
      </c>
      <c r="F11" s="93">
        <f>SUM(F12:F24)</f>
        <v>47591.79</v>
      </c>
      <c r="G11" s="93">
        <f t="shared" ref="G11" si="11">SUM(G12:G24)</f>
        <v>285550.74</v>
      </c>
      <c r="H11" s="177">
        <f t="shared" si="8"/>
        <v>1.5599432948014771</v>
      </c>
      <c r="I11" s="93">
        <f>SUM(I12:I24)</f>
        <v>163631.06</v>
      </c>
      <c r="J11" s="93">
        <f t="shared" ref="J11" si="12">SUM(J12:J24)</f>
        <v>139902.75</v>
      </c>
      <c r="K11" s="389">
        <f>SUM(K12:K24)</f>
        <v>282656.84999999998</v>
      </c>
      <c r="L11" s="165">
        <f t="shared" si="2"/>
        <v>586190.65999999992</v>
      </c>
      <c r="M11" s="166">
        <f t="shared" si="3"/>
        <v>195396.88666666663</v>
      </c>
      <c r="N11" s="182">
        <f t="shared" si="0"/>
        <v>291261.7548</v>
      </c>
      <c r="O11" s="169">
        <f t="shared" si="9"/>
        <v>314105.81400000001</v>
      </c>
      <c r="P11" s="167">
        <f t="shared" si="4"/>
        <v>328383.35099999997</v>
      </c>
    </row>
    <row r="12" spans="1:19" ht="72" x14ac:dyDescent="0.4">
      <c r="A12" s="92">
        <v>12105</v>
      </c>
      <c r="B12" s="154" t="s">
        <v>153</v>
      </c>
      <c r="C12" s="172">
        <v>43502.9</v>
      </c>
      <c r="D12" s="93">
        <v>26812.22</v>
      </c>
      <c r="E12" s="93">
        <f t="shared" si="7"/>
        <v>2681.2220000000002</v>
      </c>
      <c r="F12" s="93">
        <f t="shared" ref="F12:F24" si="13">E12*2</f>
        <v>5362.4440000000004</v>
      </c>
      <c r="G12" s="93">
        <f t="shared" ref="G12:G24" si="14">D12+F12</f>
        <v>32174.664000000001</v>
      </c>
      <c r="H12" s="177">
        <f t="shared" si="8"/>
        <v>0.73959814173307981</v>
      </c>
      <c r="I12" s="93">
        <v>37349.33</v>
      </c>
      <c r="J12" s="93">
        <v>34177.83</v>
      </c>
      <c r="K12" s="389">
        <v>37879.46</v>
      </c>
      <c r="L12" s="165">
        <f t="shared" si="2"/>
        <v>109406.62</v>
      </c>
      <c r="M12" s="166">
        <f t="shared" si="3"/>
        <v>36468.873333333329</v>
      </c>
      <c r="N12" s="182">
        <f t="shared" si="0"/>
        <v>32818.157279999999</v>
      </c>
      <c r="O12" s="169">
        <f t="shared" si="9"/>
        <v>35392.130400000002</v>
      </c>
      <c r="P12" s="167">
        <f t="shared" si="4"/>
        <v>37000.863599999997</v>
      </c>
    </row>
    <row r="13" spans="1:19" ht="72" x14ac:dyDescent="0.4">
      <c r="A13" s="92">
        <v>12106</v>
      </c>
      <c r="B13" s="154" t="s">
        <v>154</v>
      </c>
      <c r="C13" s="172">
        <v>226.87</v>
      </c>
      <c r="D13" s="93">
        <v>95.69</v>
      </c>
      <c r="E13" s="93">
        <f t="shared" si="7"/>
        <v>9.5689999999999991</v>
      </c>
      <c r="F13" s="93">
        <f t="shared" si="13"/>
        <v>19.137999999999998</v>
      </c>
      <c r="G13" s="93">
        <f t="shared" si="14"/>
        <v>114.828</v>
      </c>
      <c r="H13" s="177">
        <f t="shared" si="8"/>
        <v>0.50614008022215362</v>
      </c>
      <c r="I13" s="93">
        <v>235.64</v>
      </c>
      <c r="J13" s="91">
        <v>176.7</v>
      </c>
      <c r="K13" s="390">
        <v>368.78</v>
      </c>
      <c r="L13" s="165">
        <f t="shared" si="2"/>
        <v>781.11999999999989</v>
      </c>
      <c r="M13" s="166">
        <f t="shared" si="3"/>
        <v>260.37333333333328</v>
      </c>
      <c r="N13" s="182">
        <f t="shared" si="0"/>
        <v>117.12456</v>
      </c>
      <c r="O13" s="169">
        <f t="shared" si="9"/>
        <v>126.31080000000001</v>
      </c>
      <c r="P13" s="167">
        <f t="shared" si="4"/>
        <v>132.0522</v>
      </c>
    </row>
    <row r="14" spans="1:19" ht="24" x14ac:dyDescent="0.4">
      <c r="A14" s="92">
        <v>12108</v>
      </c>
      <c r="B14" s="154" t="s">
        <v>70</v>
      </c>
      <c r="C14" s="172">
        <v>14846.89</v>
      </c>
      <c r="D14" s="93">
        <v>18206.48</v>
      </c>
      <c r="E14" s="93">
        <f t="shared" si="7"/>
        <v>1820.6479999999999</v>
      </c>
      <c r="F14" s="93">
        <f t="shared" si="13"/>
        <v>3641.2959999999998</v>
      </c>
      <c r="G14" s="93">
        <f t="shared" si="14"/>
        <v>21847.775999999998</v>
      </c>
      <c r="H14" s="177">
        <f t="shared" si="8"/>
        <v>1.4715388879421885</v>
      </c>
      <c r="I14" s="93">
        <v>11550.6</v>
      </c>
      <c r="J14" s="91">
        <v>11495.97</v>
      </c>
      <c r="K14" s="390">
        <v>21636.31</v>
      </c>
      <c r="L14" s="165">
        <f t="shared" si="2"/>
        <v>44682.880000000005</v>
      </c>
      <c r="M14" s="166">
        <f t="shared" si="3"/>
        <v>14894.293333333335</v>
      </c>
      <c r="N14" s="182">
        <f t="shared" si="0"/>
        <v>22284.731519999998</v>
      </c>
      <c r="O14" s="169">
        <f t="shared" si="9"/>
        <v>24032.553599999999</v>
      </c>
      <c r="P14" s="167">
        <f t="shared" si="4"/>
        <v>25124.942399999996</v>
      </c>
    </row>
    <row r="15" spans="1:19" ht="24" x14ac:dyDescent="0.4">
      <c r="A15" s="92">
        <v>12109</v>
      </c>
      <c r="B15" s="154" t="s">
        <v>155</v>
      </c>
      <c r="C15" s="172">
        <v>38134.04</v>
      </c>
      <c r="D15" s="93">
        <v>47519.99</v>
      </c>
      <c r="E15" s="93">
        <f t="shared" si="7"/>
        <v>4751.9989999999998</v>
      </c>
      <c r="F15" s="93">
        <f t="shared" si="13"/>
        <v>9503.9979999999996</v>
      </c>
      <c r="G15" s="93">
        <f t="shared" si="14"/>
        <v>57023.987999999998</v>
      </c>
      <c r="H15" s="177">
        <f t="shared" si="8"/>
        <v>1.4953565895457182</v>
      </c>
      <c r="I15" s="93">
        <v>28427.14</v>
      </c>
      <c r="J15" s="91">
        <v>27375.54</v>
      </c>
      <c r="K15" s="390">
        <v>53109.1</v>
      </c>
      <c r="L15" s="165">
        <f t="shared" si="2"/>
        <v>108911.78</v>
      </c>
      <c r="M15" s="166">
        <f t="shared" si="3"/>
        <v>36303.926666666666</v>
      </c>
      <c r="N15" s="182">
        <f t="shared" si="0"/>
        <v>58164.46776</v>
      </c>
      <c r="O15" s="169">
        <f t="shared" si="9"/>
        <v>62726.3868</v>
      </c>
      <c r="P15" s="167">
        <f t="shared" si="4"/>
        <v>65577.586199999991</v>
      </c>
    </row>
    <row r="16" spans="1:19" ht="48" x14ac:dyDescent="0.4">
      <c r="A16" s="92">
        <v>12111</v>
      </c>
      <c r="B16" s="154" t="s">
        <v>156</v>
      </c>
      <c r="C16" s="172">
        <v>4660.2700000000004</v>
      </c>
      <c r="D16" s="93">
        <v>2656.75</v>
      </c>
      <c r="E16" s="93">
        <f t="shared" si="7"/>
        <v>265.67500000000001</v>
      </c>
      <c r="F16" s="93">
        <f t="shared" si="13"/>
        <v>531.35</v>
      </c>
      <c r="G16" s="93">
        <f t="shared" si="14"/>
        <v>3188.1</v>
      </c>
      <c r="H16" s="177">
        <f t="shared" si="8"/>
        <v>0.68410199409047112</v>
      </c>
      <c r="I16" s="93">
        <v>3903.92</v>
      </c>
      <c r="J16" s="91">
        <v>4616.93</v>
      </c>
      <c r="K16" s="390">
        <v>4742.57</v>
      </c>
      <c r="L16" s="165">
        <f t="shared" si="2"/>
        <v>13263.42</v>
      </c>
      <c r="M16" s="166">
        <f t="shared" si="3"/>
        <v>4421.1400000000003</v>
      </c>
      <c r="N16" s="182">
        <f t="shared" si="0"/>
        <v>3251.8620000000001</v>
      </c>
      <c r="O16" s="169">
        <f t="shared" si="9"/>
        <v>3506.9100000000003</v>
      </c>
      <c r="P16" s="167">
        <f t="shared" si="4"/>
        <v>3666.3149999999996</v>
      </c>
    </row>
    <row r="17" spans="1:16" ht="24" x14ac:dyDescent="0.4">
      <c r="A17" s="92">
        <v>12112</v>
      </c>
      <c r="B17" s="154" t="s">
        <v>157</v>
      </c>
      <c r="C17" s="172">
        <v>5716.62</v>
      </c>
      <c r="D17" s="93">
        <v>5484.2</v>
      </c>
      <c r="E17" s="93">
        <f t="shared" si="7"/>
        <v>548.41999999999996</v>
      </c>
      <c r="F17" s="93">
        <f t="shared" si="13"/>
        <v>1096.8399999999999</v>
      </c>
      <c r="G17" s="93">
        <f t="shared" si="14"/>
        <v>6581.04</v>
      </c>
      <c r="H17" s="177">
        <f t="shared" si="8"/>
        <v>1.1512117300082916</v>
      </c>
      <c r="I17" s="93">
        <v>2444.0700000000002</v>
      </c>
      <c r="J17" s="91">
        <v>2404.04</v>
      </c>
      <c r="K17" s="390">
        <v>6880.54</v>
      </c>
      <c r="L17" s="165">
        <f t="shared" si="2"/>
        <v>11728.650000000001</v>
      </c>
      <c r="M17" s="166">
        <f t="shared" si="3"/>
        <v>3909.5500000000006</v>
      </c>
      <c r="N17" s="182">
        <f t="shared" si="0"/>
        <v>6712.6607999999997</v>
      </c>
      <c r="O17" s="169">
        <f t="shared" si="9"/>
        <v>7239.1440000000002</v>
      </c>
      <c r="P17" s="167">
        <f t="shared" si="4"/>
        <v>7568.195999999999</v>
      </c>
    </row>
    <row r="18" spans="1:16" ht="24" x14ac:dyDescent="0.4">
      <c r="A18" s="92">
        <v>12114</v>
      </c>
      <c r="B18" s="154" t="s">
        <v>158</v>
      </c>
      <c r="C18" s="172">
        <v>11500.78</v>
      </c>
      <c r="D18" s="93">
        <v>12460.99</v>
      </c>
      <c r="E18" s="93">
        <f t="shared" si="7"/>
        <v>1246.0989999999999</v>
      </c>
      <c r="F18" s="93">
        <f t="shared" si="13"/>
        <v>2492.1979999999999</v>
      </c>
      <c r="G18" s="93">
        <f t="shared" si="14"/>
        <v>14953.188</v>
      </c>
      <c r="H18" s="177">
        <f t="shared" si="8"/>
        <v>1.3001890306570509</v>
      </c>
      <c r="I18" s="93">
        <v>10039.58</v>
      </c>
      <c r="J18" s="91">
        <v>8885.34</v>
      </c>
      <c r="K18" s="390">
        <v>14295.12</v>
      </c>
      <c r="L18" s="165">
        <f t="shared" si="2"/>
        <v>33220.04</v>
      </c>
      <c r="M18" s="166">
        <f t="shared" si="3"/>
        <v>11073.346666666666</v>
      </c>
      <c r="N18" s="182">
        <f t="shared" si="0"/>
        <v>15252.251760000001</v>
      </c>
      <c r="O18" s="169">
        <f t="shared" si="9"/>
        <v>16448.506800000003</v>
      </c>
      <c r="P18" s="167">
        <f t="shared" si="4"/>
        <v>17196.1662</v>
      </c>
    </row>
    <row r="19" spans="1:16" ht="24" x14ac:dyDescent="0.4">
      <c r="A19" s="92">
        <v>12115</v>
      </c>
      <c r="B19" s="154" t="s">
        <v>159</v>
      </c>
      <c r="C19" s="172">
        <v>11237.09</v>
      </c>
      <c r="D19" s="93">
        <v>7160.14</v>
      </c>
      <c r="E19" s="93">
        <f t="shared" si="7"/>
        <v>716.01400000000001</v>
      </c>
      <c r="F19" s="93">
        <f t="shared" si="13"/>
        <v>1432.028</v>
      </c>
      <c r="G19" s="93">
        <f t="shared" si="14"/>
        <v>8592.1679999999997</v>
      </c>
      <c r="H19" s="177">
        <f t="shared" si="8"/>
        <v>0.76462571715631</v>
      </c>
      <c r="I19" s="93">
        <v>9682.19</v>
      </c>
      <c r="J19" s="91">
        <v>6724.04</v>
      </c>
      <c r="K19" s="390">
        <v>11209.25</v>
      </c>
      <c r="L19" s="165">
        <f t="shared" si="2"/>
        <v>27615.48</v>
      </c>
      <c r="M19" s="166">
        <f t="shared" si="3"/>
        <v>9205.16</v>
      </c>
      <c r="N19" s="182">
        <f t="shared" si="0"/>
        <v>8764.0113600000004</v>
      </c>
      <c r="O19" s="169">
        <f t="shared" si="9"/>
        <v>9451.3847999999998</v>
      </c>
      <c r="P19" s="167">
        <f t="shared" si="4"/>
        <v>9880.993199999999</v>
      </c>
    </row>
    <row r="20" spans="1:16" ht="24" x14ac:dyDescent="0.4">
      <c r="A20" s="92">
        <v>12117</v>
      </c>
      <c r="B20" s="154" t="s">
        <v>160</v>
      </c>
      <c r="C20" s="172">
        <v>18428.189999999999</v>
      </c>
      <c r="D20" s="93">
        <v>19324.18</v>
      </c>
      <c r="E20" s="93">
        <f t="shared" si="7"/>
        <v>1932.4180000000001</v>
      </c>
      <c r="F20" s="93">
        <f t="shared" si="13"/>
        <v>3864.8360000000002</v>
      </c>
      <c r="G20" s="93">
        <f t="shared" si="14"/>
        <v>23189.016</v>
      </c>
      <c r="H20" s="177">
        <f t="shared" si="8"/>
        <v>1.2583447424842049</v>
      </c>
      <c r="I20" s="93">
        <v>13474.8</v>
      </c>
      <c r="J20" s="91">
        <v>12727.82</v>
      </c>
      <c r="K20" s="390">
        <v>26683.22</v>
      </c>
      <c r="L20" s="165">
        <f t="shared" si="2"/>
        <v>52885.84</v>
      </c>
      <c r="M20" s="166">
        <f t="shared" si="3"/>
        <v>17628.613333333331</v>
      </c>
      <c r="N20" s="182">
        <f t="shared" si="0"/>
        <v>23652.796320000001</v>
      </c>
      <c r="O20" s="169">
        <f t="shared" si="9"/>
        <v>25507.917600000001</v>
      </c>
      <c r="P20" s="167">
        <f t="shared" si="4"/>
        <v>26667.368399999996</v>
      </c>
    </row>
    <row r="21" spans="1:16" ht="48" x14ac:dyDescent="0.4">
      <c r="A21" s="92">
        <v>12118</v>
      </c>
      <c r="B21" s="154" t="s">
        <v>161</v>
      </c>
      <c r="C21" s="172">
        <v>18353.09</v>
      </c>
      <c r="D21" s="93">
        <v>82515.75</v>
      </c>
      <c r="E21" s="93">
        <f t="shared" si="7"/>
        <v>8251.5750000000007</v>
      </c>
      <c r="F21" s="93">
        <f t="shared" si="13"/>
        <v>16503.150000000001</v>
      </c>
      <c r="G21" s="93">
        <f t="shared" si="14"/>
        <v>99018.9</v>
      </c>
      <c r="H21" s="177">
        <f t="shared" si="8"/>
        <v>5.3952168272481629</v>
      </c>
      <c r="I21" s="93">
        <v>32181.57</v>
      </c>
      <c r="J21" s="91">
        <v>15002.75</v>
      </c>
      <c r="K21" s="390">
        <v>89741.01</v>
      </c>
      <c r="L21" s="165">
        <f t="shared" si="2"/>
        <v>136925.32999999999</v>
      </c>
      <c r="M21" s="166">
        <f t="shared" si="3"/>
        <v>45641.776666666665</v>
      </c>
      <c r="N21" s="182">
        <f t="shared" si="0"/>
        <v>100999.27799999999</v>
      </c>
      <c r="O21" s="169">
        <f t="shared" si="9"/>
        <v>108920.79000000001</v>
      </c>
      <c r="P21" s="167">
        <f t="shared" si="4"/>
        <v>113871.73499999999</v>
      </c>
    </row>
    <row r="22" spans="1:16" ht="24" x14ac:dyDescent="0.4">
      <c r="A22" s="92">
        <v>12119</v>
      </c>
      <c r="B22" s="154" t="s">
        <v>162</v>
      </c>
      <c r="C22" s="172">
        <v>2355.96</v>
      </c>
      <c r="D22" s="93">
        <v>1231.5999999999999</v>
      </c>
      <c r="E22" s="93">
        <f t="shared" si="7"/>
        <v>123.16</v>
      </c>
      <c r="F22" s="93">
        <f t="shared" si="13"/>
        <v>246.32</v>
      </c>
      <c r="G22" s="93">
        <f t="shared" si="14"/>
        <v>1477.9199999999998</v>
      </c>
      <c r="H22" s="177">
        <f t="shared" si="8"/>
        <v>0.62731115978199958</v>
      </c>
      <c r="I22" s="93">
        <v>1865.81</v>
      </c>
      <c r="J22" s="91">
        <v>2118.6999999999998</v>
      </c>
      <c r="K22" s="390">
        <v>1282.55</v>
      </c>
      <c r="L22" s="165">
        <f t="shared" si="2"/>
        <v>5267.0599999999995</v>
      </c>
      <c r="M22" s="166">
        <f t="shared" si="3"/>
        <v>1755.6866666666665</v>
      </c>
      <c r="N22" s="182">
        <f t="shared" si="0"/>
        <v>1507.4784</v>
      </c>
      <c r="O22" s="169">
        <f t="shared" si="9"/>
        <v>1625.712</v>
      </c>
      <c r="P22" s="167">
        <f t="shared" si="4"/>
        <v>1699.6079999999997</v>
      </c>
    </row>
    <row r="23" spans="1:16" ht="48" x14ac:dyDescent="0.4">
      <c r="A23" s="92">
        <v>12123</v>
      </c>
      <c r="B23" s="154" t="s">
        <v>163</v>
      </c>
      <c r="C23" s="172">
        <v>11685.04</v>
      </c>
      <c r="D23" s="93">
        <v>11784.5</v>
      </c>
      <c r="E23" s="93">
        <f t="shared" si="7"/>
        <v>1178.45</v>
      </c>
      <c r="F23" s="93">
        <f t="shared" si="13"/>
        <v>2356.9</v>
      </c>
      <c r="G23" s="93">
        <f t="shared" si="14"/>
        <v>14141.4</v>
      </c>
      <c r="H23" s="177">
        <f t="shared" si="8"/>
        <v>1.2102140857027446</v>
      </c>
      <c r="I23" s="93">
        <v>10414.91</v>
      </c>
      <c r="J23" s="91">
        <v>10067.959999999999</v>
      </c>
      <c r="K23" s="390">
        <v>11767.84</v>
      </c>
      <c r="L23" s="165">
        <f t="shared" si="2"/>
        <v>32250.71</v>
      </c>
      <c r="M23" s="166">
        <f t="shared" si="3"/>
        <v>10750.236666666666</v>
      </c>
      <c r="N23" s="182">
        <f t="shared" si="0"/>
        <v>14424.227999999999</v>
      </c>
      <c r="O23" s="169">
        <f t="shared" si="9"/>
        <v>15555.54</v>
      </c>
      <c r="P23" s="167">
        <f t="shared" si="4"/>
        <v>16262.609999999999</v>
      </c>
    </row>
    <row r="24" spans="1:16" ht="24" x14ac:dyDescent="0.4">
      <c r="A24" s="92">
        <v>12199</v>
      </c>
      <c r="B24" s="154" t="s">
        <v>164</v>
      </c>
      <c r="C24" s="172">
        <v>2404.2600000000002</v>
      </c>
      <c r="D24" s="93">
        <v>2706.46</v>
      </c>
      <c r="E24" s="93">
        <f t="shared" si="7"/>
        <v>270.64600000000002</v>
      </c>
      <c r="F24" s="93">
        <f t="shared" si="13"/>
        <v>541.29200000000003</v>
      </c>
      <c r="G24" s="93">
        <f t="shared" si="14"/>
        <v>3247.752</v>
      </c>
      <c r="H24" s="177">
        <f t="shared" si="8"/>
        <v>1.350832272715929</v>
      </c>
      <c r="I24" s="93">
        <v>2061.5</v>
      </c>
      <c r="J24" s="91">
        <v>4129.13</v>
      </c>
      <c r="K24" s="390">
        <v>3061.1</v>
      </c>
      <c r="L24" s="165">
        <f t="shared" si="2"/>
        <v>9251.73</v>
      </c>
      <c r="M24" s="166">
        <f t="shared" si="3"/>
        <v>3083.91</v>
      </c>
      <c r="N24" s="182">
        <f t="shared" si="0"/>
        <v>3312.7070400000002</v>
      </c>
      <c r="O24" s="169">
        <f t="shared" si="9"/>
        <v>3572.5272000000004</v>
      </c>
      <c r="P24" s="167">
        <f t="shared" si="4"/>
        <v>3734.9147999999996</v>
      </c>
    </row>
    <row r="25" spans="1:16" ht="24" x14ac:dyDescent="0.4">
      <c r="A25" s="92">
        <v>122</v>
      </c>
      <c r="B25" s="154" t="s">
        <v>165</v>
      </c>
      <c r="C25" s="93">
        <f>SUM(C26:C27)</f>
        <v>12705.689999999999</v>
      </c>
      <c r="D25" s="93">
        <f>SUM(D26:D27)</f>
        <v>10830.529999999999</v>
      </c>
      <c r="E25" s="93">
        <f t="shared" si="7"/>
        <v>1083.0529999999999</v>
      </c>
      <c r="F25" s="93">
        <f>SUM(F26:F27)</f>
        <v>2166.1059999999998</v>
      </c>
      <c r="G25" s="93">
        <f>SUM(G26:G27)</f>
        <v>12996.636</v>
      </c>
      <c r="H25" s="177">
        <f t="shared" si="8"/>
        <v>1.0228988744412937</v>
      </c>
      <c r="I25" s="93">
        <f>SUM(I26:I27)</f>
        <v>8620.25</v>
      </c>
      <c r="J25" s="93">
        <f t="shared" ref="J25:K25" si="15">SUM(J26:J27)</f>
        <v>9153.2119999999995</v>
      </c>
      <c r="K25" s="389">
        <f t="shared" si="15"/>
        <v>8591.4599999999991</v>
      </c>
      <c r="L25" s="165">
        <f t="shared" si="2"/>
        <v>26364.921999999999</v>
      </c>
      <c r="M25" s="166">
        <f t="shared" si="3"/>
        <v>8788.3073333333323</v>
      </c>
      <c r="N25" s="182">
        <f t="shared" si="0"/>
        <v>13256.568720000001</v>
      </c>
      <c r="O25" s="169">
        <f t="shared" si="9"/>
        <v>14296.299600000002</v>
      </c>
      <c r="P25" s="167">
        <f t="shared" si="4"/>
        <v>14946.1314</v>
      </c>
    </row>
    <row r="26" spans="1:16" ht="48" x14ac:dyDescent="0.4">
      <c r="A26" s="92">
        <v>12210</v>
      </c>
      <c r="B26" s="154" t="s">
        <v>166</v>
      </c>
      <c r="C26" s="172">
        <v>12020.22</v>
      </c>
      <c r="D26" s="93">
        <v>10650.82</v>
      </c>
      <c r="E26" s="93">
        <f t="shared" si="7"/>
        <v>1065.0819999999999</v>
      </c>
      <c r="F26" s="93">
        <f>E26*2</f>
        <v>2130.1639999999998</v>
      </c>
      <c r="G26" s="93">
        <f>D26+F26</f>
        <v>12780.984</v>
      </c>
      <c r="H26" s="177">
        <f t="shared" si="8"/>
        <v>1.0632903557505604</v>
      </c>
      <c r="I26" s="93">
        <v>8331.5</v>
      </c>
      <c r="J26" s="91">
        <v>8648.81</v>
      </c>
      <c r="K26" s="390">
        <v>8401.7099999999991</v>
      </c>
      <c r="L26" s="165">
        <f t="shared" si="2"/>
        <v>25382.019999999997</v>
      </c>
      <c r="M26" s="166">
        <f t="shared" si="3"/>
        <v>8460.6733333333323</v>
      </c>
      <c r="N26" s="182">
        <f t="shared" si="0"/>
        <v>13036.60368</v>
      </c>
      <c r="O26" s="169">
        <f t="shared" si="9"/>
        <v>14059.082400000001</v>
      </c>
      <c r="P26" s="167">
        <f t="shared" si="4"/>
        <v>14698.131599999999</v>
      </c>
    </row>
    <row r="27" spans="1:16" ht="24" x14ac:dyDescent="0.4">
      <c r="A27" s="92">
        <v>12211</v>
      </c>
      <c r="B27" s="154" t="s">
        <v>167</v>
      </c>
      <c r="C27" s="172">
        <v>685.47</v>
      </c>
      <c r="D27" s="93">
        <v>179.71</v>
      </c>
      <c r="E27" s="93">
        <f t="shared" si="7"/>
        <v>17.971</v>
      </c>
      <c r="F27" s="93">
        <f>E27*2</f>
        <v>35.942</v>
      </c>
      <c r="G27" s="93">
        <f>D27+F27</f>
        <v>215.65200000000002</v>
      </c>
      <c r="H27" s="177">
        <f t="shared" si="8"/>
        <v>0.3146045778808701</v>
      </c>
      <c r="I27" s="93">
        <v>288.75</v>
      </c>
      <c r="J27" s="93">
        <f>G27+I27</f>
        <v>504.40200000000004</v>
      </c>
      <c r="K27" s="390">
        <v>189.75</v>
      </c>
      <c r="L27" s="165">
        <f t="shared" si="2"/>
        <v>982.90200000000004</v>
      </c>
      <c r="M27" s="166">
        <f t="shared" si="3"/>
        <v>327.63400000000001</v>
      </c>
      <c r="N27" s="182">
        <f t="shared" si="0"/>
        <v>219.96504000000002</v>
      </c>
      <c r="O27" s="169">
        <f t="shared" si="9"/>
        <v>237.21720000000005</v>
      </c>
      <c r="P27" s="167">
        <f t="shared" si="4"/>
        <v>247.99979999999999</v>
      </c>
    </row>
    <row r="28" spans="1:16" ht="48" x14ac:dyDescent="0.4">
      <c r="A28" s="92">
        <v>14</v>
      </c>
      <c r="B28" s="154" t="s">
        <v>168</v>
      </c>
      <c r="C28" s="93">
        <f>C29</f>
        <v>2192.39</v>
      </c>
      <c r="D28" s="93">
        <f>D29</f>
        <v>2216.0500000000002</v>
      </c>
      <c r="E28" s="93">
        <f t="shared" si="7"/>
        <v>221.60500000000002</v>
      </c>
      <c r="F28" s="93">
        <f>F29</f>
        <v>443.21000000000004</v>
      </c>
      <c r="G28" s="93">
        <f t="shared" ref="G28" si="16">G29</f>
        <v>2659.26</v>
      </c>
      <c r="H28" s="177">
        <f t="shared" si="8"/>
        <v>1.212950250639713</v>
      </c>
      <c r="I28" s="93">
        <f>I29</f>
        <v>2268.86</v>
      </c>
      <c r="J28" s="93">
        <f t="shared" ref="J28:K28" si="17">J29</f>
        <v>2945.26</v>
      </c>
      <c r="K28" s="389">
        <f t="shared" si="17"/>
        <v>2880.41</v>
      </c>
      <c r="L28" s="165">
        <f t="shared" si="2"/>
        <v>8094.5300000000007</v>
      </c>
      <c r="M28" s="166">
        <f t="shared" si="3"/>
        <v>2698.1766666666667</v>
      </c>
      <c r="N28" s="182">
        <f>G28*1.02</f>
        <v>2712.4452000000001</v>
      </c>
      <c r="O28" s="169">
        <f t="shared" si="9"/>
        <v>2925.1860000000006</v>
      </c>
      <c r="P28" s="167">
        <f t="shared" si="4"/>
        <v>3058.1489999999999</v>
      </c>
    </row>
    <row r="29" spans="1:16" ht="72" x14ac:dyDescent="0.4">
      <c r="A29" s="92">
        <v>142</v>
      </c>
      <c r="B29" s="154" t="s">
        <v>169</v>
      </c>
      <c r="C29" s="93">
        <f>SUM(C31:C32)</f>
        <v>2192.39</v>
      </c>
      <c r="D29" s="93">
        <f>SUM(D30:D32)</f>
        <v>2216.0500000000002</v>
      </c>
      <c r="E29" s="93">
        <f t="shared" si="7"/>
        <v>221.60500000000002</v>
      </c>
      <c r="F29" s="93">
        <f>E29*2</f>
        <v>443.21000000000004</v>
      </c>
      <c r="G29" s="93">
        <f>SUM(G30:G32)</f>
        <v>2659.26</v>
      </c>
      <c r="H29" s="177">
        <f t="shared" si="8"/>
        <v>1.212950250639713</v>
      </c>
      <c r="I29" s="93">
        <f>SUM(I31:I32)</f>
        <v>2268.86</v>
      </c>
      <c r="J29" s="93">
        <f t="shared" ref="J29" si="18">SUM(J31:J32)</f>
        <v>2945.26</v>
      </c>
      <c r="K29" s="389">
        <f>SUM(K30:K32)</f>
        <v>2880.41</v>
      </c>
      <c r="L29" s="165">
        <f t="shared" si="2"/>
        <v>8094.5300000000007</v>
      </c>
      <c r="M29" s="166">
        <f t="shared" si="3"/>
        <v>2698.1766666666667</v>
      </c>
      <c r="N29" s="182">
        <f>G29*1.02</f>
        <v>2712.4452000000001</v>
      </c>
      <c r="O29" s="169">
        <f t="shared" si="9"/>
        <v>2925.1860000000006</v>
      </c>
      <c r="P29" s="167">
        <f t="shared" si="4"/>
        <v>3058.1489999999999</v>
      </c>
    </row>
    <row r="30" spans="1:16" ht="48" x14ac:dyDescent="0.4">
      <c r="A30" s="92">
        <v>14201</v>
      </c>
      <c r="B30" s="154" t="s">
        <v>282</v>
      </c>
      <c r="C30" s="93"/>
      <c r="D30" s="93">
        <v>1043.94</v>
      </c>
      <c r="E30" s="93">
        <f t="shared" si="7"/>
        <v>104.39400000000001</v>
      </c>
      <c r="F30" s="93">
        <f>E30*2</f>
        <v>208.78800000000001</v>
      </c>
      <c r="G30" s="93">
        <f>D30+F30</f>
        <v>1252.7280000000001</v>
      </c>
      <c r="H30" s="177"/>
      <c r="I30" s="93"/>
      <c r="J30" s="93"/>
      <c r="K30" s="389">
        <v>914.4</v>
      </c>
      <c r="L30" s="165"/>
      <c r="M30" s="166"/>
      <c r="N30" s="182">
        <f>G30*1.02</f>
        <v>1277.7825600000001</v>
      </c>
      <c r="O30" s="169"/>
      <c r="P30" s="167"/>
    </row>
    <row r="31" spans="1:16" ht="24" x14ac:dyDescent="0.4">
      <c r="A31" s="92">
        <v>14299</v>
      </c>
      <c r="B31" s="154" t="s">
        <v>170</v>
      </c>
      <c r="C31" s="172">
        <v>2192.39</v>
      </c>
      <c r="D31" s="93">
        <v>1172.1099999999999</v>
      </c>
      <c r="E31" s="93">
        <f t="shared" si="7"/>
        <v>117.21099999999998</v>
      </c>
      <c r="F31" s="93">
        <f>E31*2</f>
        <v>234.42199999999997</v>
      </c>
      <c r="G31" s="93">
        <f>D31+F31</f>
        <v>1406.5319999999999</v>
      </c>
      <c r="H31" s="177">
        <f>G31/C31</f>
        <v>0.64155191366499575</v>
      </c>
      <c r="I31" s="93">
        <v>2268.86</v>
      </c>
      <c r="J31" s="91">
        <v>2945.26</v>
      </c>
      <c r="K31" s="390">
        <v>1966.01</v>
      </c>
      <c r="L31" s="165">
        <f t="shared" si="2"/>
        <v>7180.130000000001</v>
      </c>
      <c r="M31" s="166">
        <f t="shared" si="3"/>
        <v>2393.376666666667</v>
      </c>
      <c r="N31" s="182">
        <f t="shared" ref="N31:N39" si="19">G31*1.02</f>
        <v>1434.66264</v>
      </c>
      <c r="O31" s="169">
        <f t="shared" si="9"/>
        <v>1547.1852000000001</v>
      </c>
      <c r="P31" s="167">
        <f t="shared" si="4"/>
        <v>1617.5117999999998</v>
      </c>
    </row>
    <row r="32" spans="1:16" ht="48" x14ac:dyDescent="0.4">
      <c r="A32" s="92">
        <v>14399</v>
      </c>
      <c r="B32" s="154" t="s">
        <v>171</v>
      </c>
      <c r="C32" s="93">
        <v>0</v>
      </c>
      <c r="D32" s="93">
        <v>0</v>
      </c>
      <c r="E32" s="93">
        <f t="shared" si="7"/>
        <v>0</v>
      </c>
      <c r="F32" s="93">
        <f>E32*2</f>
        <v>0</v>
      </c>
      <c r="G32" s="93">
        <f>D32+F32</f>
        <v>0</v>
      </c>
      <c r="H32" s="177">
        <v>0</v>
      </c>
      <c r="I32" s="93">
        <v>0</v>
      </c>
      <c r="J32" s="91"/>
      <c r="K32" s="390"/>
      <c r="L32" s="165">
        <f t="shared" si="2"/>
        <v>0</v>
      </c>
      <c r="M32" s="166">
        <f t="shared" si="3"/>
        <v>0</v>
      </c>
      <c r="N32" s="182">
        <f t="shared" si="19"/>
        <v>0</v>
      </c>
      <c r="O32" s="169">
        <f t="shared" si="9"/>
        <v>0</v>
      </c>
      <c r="P32" s="167">
        <f t="shared" si="4"/>
        <v>0</v>
      </c>
    </row>
    <row r="33" spans="1:16" ht="48" x14ac:dyDescent="0.4">
      <c r="A33" s="92">
        <v>15</v>
      </c>
      <c r="B33" s="154" t="s">
        <v>281</v>
      </c>
      <c r="C33" s="93">
        <f>C34+C39+C44</f>
        <v>25235.01</v>
      </c>
      <c r="D33" s="93">
        <f>D34+D39+D44</f>
        <v>27394.13</v>
      </c>
      <c r="E33" s="93">
        <f t="shared" si="7"/>
        <v>2739.413</v>
      </c>
      <c r="F33" s="93">
        <f>F34+F39+F44</f>
        <v>5304.2489999999998</v>
      </c>
      <c r="G33" s="93">
        <f>G34+G39+G44</f>
        <v>32989.665000000001</v>
      </c>
      <c r="H33" s="177">
        <f t="shared" ref="H33:H39" si="20">G33/C33</f>
        <v>1.3072974807618465</v>
      </c>
      <c r="I33" s="93">
        <f t="shared" ref="I33:L33" si="21">I34+I39+I44</f>
        <v>21946.7</v>
      </c>
      <c r="J33" s="93">
        <f t="shared" si="21"/>
        <v>27566.27</v>
      </c>
      <c r="K33" s="389">
        <f>K34+K39+K44+K42</f>
        <v>33209.379999999997</v>
      </c>
      <c r="L33" s="93">
        <f t="shared" si="21"/>
        <v>82322.349999999991</v>
      </c>
      <c r="M33" s="166">
        <f t="shared" si="3"/>
        <v>27440.783333333329</v>
      </c>
      <c r="N33" s="182">
        <f t="shared" si="19"/>
        <v>33649.458299999998</v>
      </c>
      <c r="O33" s="169">
        <f t="shared" si="9"/>
        <v>36288.631500000003</v>
      </c>
      <c r="P33" s="167">
        <f t="shared" si="4"/>
        <v>37938.114750000001</v>
      </c>
    </row>
    <row r="34" spans="1:16" ht="48" x14ac:dyDescent="0.4">
      <c r="A34" s="92">
        <v>153</v>
      </c>
      <c r="B34" s="154" t="s">
        <v>172</v>
      </c>
      <c r="C34" s="93">
        <f>SUM(C35:C38)</f>
        <v>6537.2599999999993</v>
      </c>
      <c r="D34" s="93">
        <f>SUM(D35:D38)</f>
        <v>7244.6100000000006</v>
      </c>
      <c r="E34" s="93">
        <f t="shared" si="7"/>
        <v>724.46100000000001</v>
      </c>
      <c r="F34" s="93">
        <f>SUM(F35:F38)</f>
        <v>1448.9219999999998</v>
      </c>
      <c r="G34" s="93">
        <f>SUM(G35:G38)</f>
        <v>8693.5320000000029</v>
      </c>
      <c r="H34" s="177">
        <f t="shared" si="20"/>
        <v>1.3298433900441475</v>
      </c>
      <c r="I34" s="93">
        <f>SUM(I35:I38)</f>
        <v>4306.34</v>
      </c>
      <c r="J34" s="93">
        <f t="shared" ref="J34" si="22">SUM(J35:J38)</f>
        <v>17863.560000000001</v>
      </c>
      <c r="K34" s="389">
        <f>SUM(K35:K38)</f>
        <v>9413.57</v>
      </c>
      <c r="L34" s="165">
        <f t="shared" si="2"/>
        <v>31583.47</v>
      </c>
      <c r="M34" s="166">
        <f t="shared" si="3"/>
        <v>10527.823333333334</v>
      </c>
      <c r="N34" s="182">
        <f t="shared" si="19"/>
        <v>8867.4026400000039</v>
      </c>
      <c r="O34" s="169">
        <f t="shared" si="9"/>
        <v>9562.8852000000043</v>
      </c>
      <c r="P34" s="167">
        <f t="shared" si="4"/>
        <v>9997.5618000000031</v>
      </c>
    </row>
    <row r="35" spans="1:16" ht="48" x14ac:dyDescent="0.4">
      <c r="A35" s="92">
        <v>15301</v>
      </c>
      <c r="B35" s="154" t="s">
        <v>173</v>
      </c>
      <c r="C35" s="172">
        <v>4052.43</v>
      </c>
      <c r="D35" s="93">
        <v>3204.28</v>
      </c>
      <c r="E35" s="93">
        <f t="shared" si="7"/>
        <v>320.428</v>
      </c>
      <c r="F35" s="93">
        <f>E35*2</f>
        <v>640.85599999999999</v>
      </c>
      <c r="G35" s="93">
        <f>D35+F35</f>
        <v>3845.1360000000004</v>
      </c>
      <c r="H35" s="177">
        <f t="shared" si="20"/>
        <v>0.94884698810343437</v>
      </c>
      <c r="I35" s="93">
        <v>2642.89</v>
      </c>
      <c r="J35" s="91">
        <v>8296.94</v>
      </c>
      <c r="K35" s="391">
        <v>4639.1099999999997</v>
      </c>
      <c r="L35" s="165">
        <f t="shared" si="2"/>
        <v>15578.939999999999</v>
      </c>
      <c r="M35" s="166">
        <f t="shared" si="3"/>
        <v>5192.9799999999996</v>
      </c>
      <c r="N35" s="182">
        <f t="shared" si="19"/>
        <v>3922.0387200000005</v>
      </c>
      <c r="O35" s="169">
        <f t="shared" si="9"/>
        <v>4229.6496000000006</v>
      </c>
      <c r="P35" s="167">
        <f t="shared" si="4"/>
        <v>4421.9063999999998</v>
      </c>
    </row>
    <row r="36" spans="1:16" ht="48" x14ac:dyDescent="0.4">
      <c r="A36" s="92">
        <v>15302</v>
      </c>
      <c r="B36" s="154" t="s">
        <v>174</v>
      </c>
      <c r="C36" s="172">
        <v>2361.87</v>
      </c>
      <c r="D36" s="93">
        <v>3825.83</v>
      </c>
      <c r="E36" s="93">
        <f t="shared" si="7"/>
        <v>382.58299999999997</v>
      </c>
      <c r="F36" s="93">
        <f>E36*2</f>
        <v>765.16599999999994</v>
      </c>
      <c r="G36" s="93">
        <f>D36+F36</f>
        <v>4590.9960000000001</v>
      </c>
      <c r="H36" s="177">
        <f t="shared" si="20"/>
        <v>1.9437970760456758</v>
      </c>
      <c r="I36" s="93">
        <v>1540.35</v>
      </c>
      <c r="J36" s="91">
        <v>9363.89</v>
      </c>
      <c r="K36" s="391">
        <v>3734.48</v>
      </c>
      <c r="L36" s="165">
        <f t="shared" si="2"/>
        <v>14638.72</v>
      </c>
      <c r="M36" s="166">
        <f t="shared" si="3"/>
        <v>4879.5733333333328</v>
      </c>
      <c r="N36" s="182">
        <f t="shared" si="19"/>
        <v>4682.81592</v>
      </c>
      <c r="O36" s="169">
        <f t="shared" si="9"/>
        <v>5050.0956000000006</v>
      </c>
      <c r="P36" s="167">
        <f t="shared" si="4"/>
        <v>5279.6453999999994</v>
      </c>
    </row>
    <row r="37" spans="1:16" ht="48" x14ac:dyDescent="0.4">
      <c r="A37" s="92">
        <v>15312</v>
      </c>
      <c r="B37" s="154" t="s">
        <v>175</v>
      </c>
      <c r="C37" s="172">
        <v>118.58</v>
      </c>
      <c r="D37" s="93">
        <v>211.64</v>
      </c>
      <c r="E37" s="93">
        <f t="shared" si="7"/>
        <v>21.163999999999998</v>
      </c>
      <c r="F37" s="93">
        <f>E37*2</f>
        <v>42.327999999999996</v>
      </c>
      <c r="G37" s="93">
        <f>D37+F37</f>
        <v>253.96799999999999</v>
      </c>
      <c r="H37" s="177">
        <f t="shared" si="20"/>
        <v>2.1417439703153986</v>
      </c>
      <c r="I37" s="93">
        <v>117.38</v>
      </c>
      <c r="J37" s="91">
        <v>148.44999999999999</v>
      </c>
      <c r="K37" s="391">
        <v>122.98</v>
      </c>
      <c r="L37" s="165">
        <f t="shared" si="2"/>
        <v>388.81</v>
      </c>
      <c r="M37" s="166">
        <f t="shared" si="3"/>
        <v>129.60333333333332</v>
      </c>
      <c r="N37" s="182">
        <f t="shared" si="19"/>
        <v>259.04735999999997</v>
      </c>
      <c r="O37" s="169">
        <f t="shared" si="9"/>
        <v>279.3648</v>
      </c>
      <c r="P37" s="167">
        <f t="shared" si="4"/>
        <v>292.06319999999994</v>
      </c>
    </row>
    <row r="38" spans="1:16" ht="48" x14ac:dyDescent="0.4">
      <c r="A38" s="92">
        <v>15399</v>
      </c>
      <c r="B38" s="154" t="s">
        <v>176</v>
      </c>
      <c r="C38" s="172">
        <v>4.38</v>
      </c>
      <c r="D38" s="93">
        <v>2.86</v>
      </c>
      <c r="E38" s="93">
        <f t="shared" si="7"/>
        <v>0.28599999999999998</v>
      </c>
      <c r="F38" s="93">
        <f>E38*2</f>
        <v>0.57199999999999995</v>
      </c>
      <c r="G38" s="93">
        <f>D38+F38</f>
        <v>3.4319999999999999</v>
      </c>
      <c r="H38" s="177">
        <f t="shared" si="20"/>
        <v>0.78356164383561644</v>
      </c>
      <c r="I38" s="93">
        <v>5.72</v>
      </c>
      <c r="J38" s="91">
        <v>54.28</v>
      </c>
      <c r="K38" s="391">
        <v>917</v>
      </c>
      <c r="L38" s="165">
        <f t="shared" si="2"/>
        <v>977</v>
      </c>
      <c r="M38" s="166">
        <f t="shared" si="3"/>
        <v>325.66666666666669</v>
      </c>
      <c r="N38" s="182">
        <f t="shared" si="19"/>
        <v>3.5006400000000002</v>
      </c>
      <c r="O38" s="169">
        <f t="shared" si="9"/>
        <v>3.7752000000000003</v>
      </c>
      <c r="P38" s="167">
        <f t="shared" si="4"/>
        <v>3.9467999999999996</v>
      </c>
    </row>
    <row r="39" spans="1:16" ht="48" x14ac:dyDescent="0.4">
      <c r="A39" s="92">
        <v>154</v>
      </c>
      <c r="B39" s="154" t="s">
        <v>177</v>
      </c>
      <c r="C39" s="93">
        <f>C41</f>
        <v>15189.07</v>
      </c>
      <c r="D39" s="93">
        <f>SUM(D40:D41)</f>
        <v>18982.43</v>
      </c>
      <c r="E39" s="93">
        <f t="shared" si="7"/>
        <v>1898.2429999999999</v>
      </c>
      <c r="F39" s="93">
        <f>F41</f>
        <v>3505.2</v>
      </c>
      <c r="G39" s="93">
        <f>G41+G40</f>
        <v>22778.916000000001</v>
      </c>
      <c r="H39" s="177">
        <f t="shared" si="20"/>
        <v>1.4996912911718756</v>
      </c>
      <c r="I39" s="93">
        <f>I41</f>
        <v>14685.92</v>
      </c>
      <c r="J39" s="93">
        <f t="shared" ref="J39" si="23">J41</f>
        <v>8211.75</v>
      </c>
      <c r="K39" s="389">
        <f>K41+K40</f>
        <v>21228.92</v>
      </c>
      <c r="L39" s="165">
        <f t="shared" si="2"/>
        <v>44126.59</v>
      </c>
      <c r="M39" s="166">
        <f t="shared" si="3"/>
        <v>14708.863333333333</v>
      </c>
      <c r="N39" s="182">
        <f t="shared" si="19"/>
        <v>23234.494320000002</v>
      </c>
      <c r="O39" s="169">
        <f t="shared" si="9"/>
        <v>25056.807600000004</v>
      </c>
      <c r="P39" s="167">
        <f t="shared" si="4"/>
        <v>26195.753399999998</v>
      </c>
    </row>
    <row r="40" spans="1:16" ht="48" x14ac:dyDescent="0.4">
      <c r="A40" s="92">
        <v>15401</v>
      </c>
      <c r="B40" s="154" t="s">
        <v>136</v>
      </c>
      <c r="C40" s="93"/>
      <c r="D40" s="93">
        <v>1456.43</v>
      </c>
      <c r="E40" s="93">
        <f t="shared" si="7"/>
        <v>145.643</v>
      </c>
      <c r="F40" s="93">
        <f>E40*2</f>
        <v>291.286</v>
      </c>
      <c r="G40" s="93">
        <f>D40+F40</f>
        <v>1747.7160000000001</v>
      </c>
      <c r="H40" s="177"/>
      <c r="I40" s="93"/>
      <c r="J40" s="93"/>
      <c r="K40" s="389">
        <v>1095</v>
      </c>
      <c r="L40" s="165"/>
      <c r="M40" s="166"/>
      <c r="N40" s="182">
        <f>G40*1.02</f>
        <v>1782.6703200000002</v>
      </c>
      <c r="O40" s="169"/>
      <c r="P40" s="167"/>
    </row>
    <row r="41" spans="1:16" ht="48" x14ac:dyDescent="0.4">
      <c r="A41" s="92">
        <v>15499</v>
      </c>
      <c r="B41" s="154" t="s">
        <v>178</v>
      </c>
      <c r="C41" s="172">
        <v>15189.07</v>
      </c>
      <c r="D41" s="93">
        <v>17526</v>
      </c>
      <c r="E41" s="93">
        <f t="shared" si="7"/>
        <v>1752.6</v>
      </c>
      <c r="F41" s="93">
        <f>E41*2</f>
        <v>3505.2</v>
      </c>
      <c r="G41" s="93">
        <f>D41+F41</f>
        <v>21031.200000000001</v>
      </c>
      <c r="H41" s="177">
        <f>G41/C41</f>
        <v>1.384627235242184</v>
      </c>
      <c r="I41" s="93">
        <v>14685.92</v>
      </c>
      <c r="J41" s="91">
        <v>8211.75</v>
      </c>
      <c r="K41" s="391">
        <v>20133.919999999998</v>
      </c>
      <c r="L41" s="165">
        <f t="shared" si="2"/>
        <v>43031.59</v>
      </c>
      <c r="M41" s="166">
        <f t="shared" si="3"/>
        <v>14343.863333333333</v>
      </c>
      <c r="N41" s="182">
        <f>G41*1.02</f>
        <v>21451.824000000001</v>
      </c>
      <c r="O41" s="169">
        <f t="shared" si="9"/>
        <v>23134.320000000003</v>
      </c>
      <c r="P41" s="167">
        <f t="shared" si="4"/>
        <v>24185.879999999997</v>
      </c>
    </row>
    <row r="42" spans="1:16" ht="24" x14ac:dyDescent="0.4">
      <c r="A42" s="92">
        <v>155</v>
      </c>
      <c r="B42" s="154"/>
      <c r="C42" s="172"/>
      <c r="D42" s="93"/>
      <c r="E42" s="93">
        <f t="shared" si="7"/>
        <v>0</v>
      </c>
      <c r="F42" s="93"/>
      <c r="G42" s="93"/>
      <c r="H42" s="177"/>
      <c r="I42" s="93"/>
      <c r="J42" s="91"/>
      <c r="K42" s="391">
        <f>K43</f>
        <v>400</v>
      </c>
      <c r="L42" s="165"/>
      <c r="M42" s="166"/>
      <c r="N42" s="182"/>
      <c r="O42" s="169"/>
      <c r="P42" s="167"/>
    </row>
    <row r="43" spans="1:16" ht="24" x14ac:dyDescent="0.4">
      <c r="A43" s="92">
        <v>15503</v>
      </c>
      <c r="B43" s="154" t="s">
        <v>523</v>
      </c>
      <c r="C43" s="172"/>
      <c r="D43" s="93"/>
      <c r="E43" s="93">
        <f t="shared" si="7"/>
        <v>0</v>
      </c>
      <c r="F43" s="93"/>
      <c r="G43" s="93"/>
      <c r="H43" s="177"/>
      <c r="I43" s="93"/>
      <c r="J43" s="91"/>
      <c r="K43" s="391">
        <v>400</v>
      </c>
      <c r="L43" s="165"/>
      <c r="M43" s="166"/>
      <c r="N43" s="182"/>
      <c r="O43" s="169"/>
      <c r="P43" s="167"/>
    </row>
    <row r="44" spans="1:16" ht="48" x14ac:dyDescent="0.4">
      <c r="A44" s="92">
        <v>157</v>
      </c>
      <c r="B44" s="154" t="s">
        <v>179</v>
      </c>
      <c r="C44" s="93">
        <f>SUM(C45:C46)</f>
        <v>3508.68</v>
      </c>
      <c r="D44" s="93">
        <f>SUM(D45:D46)</f>
        <v>1167.0899999999999</v>
      </c>
      <c r="E44" s="93">
        <f t="shared" si="7"/>
        <v>116.70899999999999</v>
      </c>
      <c r="F44" s="93">
        <f>SUM(F45:F46)</f>
        <v>350.12699999999995</v>
      </c>
      <c r="G44" s="93">
        <f t="shared" ref="G44" si="24">SUM(G45:G46)</f>
        <v>1517.2169999999999</v>
      </c>
      <c r="H44" s="177">
        <f>G44/C44</f>
        <v>0.43241817435616814</v>
      </c>
      <c r="I44" s="93">
        <f>SUM(I45:I46)</f>
        <v>2954.44</v>
      </c>
      <c r="J44" s="93">
        <f t="shared" ref="J44:K44" si="25">SUM(J45:J46)</f>
        <v>1490.96</v>
      </c>
      <c r="K44" s="389">
        <f t="shared" si="25"/>
        <v>2166.89</v>
      </c>
      <c r="L44" s="165">
        <f t="shared" si="2"/>
        <v>6612.2899999999991</v>
      </c>
      <c r="M44" s="166">
        <f t="shared" si="3"/>
        <v>2204.0966666666664</v>
      </c>
      <c r="N44" s="182">
        <f>G44*1.02</f>
        <v>1547.56134</v>
      </c>
      <c r="O44" s="169">
        <f t="shared" si="9"/>
        <v>1668.9386999999999</v>
      </c>
      <c r="P44" s="167">
        <f t="shared" si="4"/>
        <v>1744.7995499999997</v>
      </c>
    </row>
    <row r="45" spans="1:16" ht="48" x14ac:dyDescent="0.4">
      <c r="A45" s="92">
        <v>15703</v>
      </c>
      <c r="B45" s="154" t="s">
        <v>180</v>
      </c>
      <c r="C45" s="93">
        <v>0</v>
      </c>
      <c r="D45" s="93">
        <v>0</v>
      </c>
      <c r="E45" s="93">
        <f t="shared" si="7"/>
        <v>0</v>
      </c>
      <c r="F45" s="93">
        <f t="shared" ref="F45:F46" si="26">E45*3</f>
        <v>0</v>
      </c>
      <c r="G45" s="93">
        <f>D45+F45</f>
        <v>0</v>
      </c>
      <c r="H45" s="177">
        <v>0</v>
      </c>
      <c r="I45" s="93">
        <v>606.16999999999996</v>
      </c>
      <c r="J45" s="93">
        <v>1058.58</v>
      </c>
      <c r="K45" s="390">
        <v>0</v>
      </c>
      <c r="L45" s="165">
        <f t="shared" si="2"/>
        <v>1664.75</v>
      </c>
      <c r="M45" s="166">
        <f t="shared" si="3"/>
        <v>554.91666666666663</v>
      </c>
      <c r="N45" s="182">
        <f>G45*1.02</f>
        <v>0</v>
      </c>
      <c r="O45" s="169">
        <f t="shared" si="9"/>
        <v>0</v>
      </c>
      <c r="P45" s="167">
        <f t="shared" si="4"/>
        <v>0</v>
      </c>
    </row>
    <row r="46" spans="1:16" ht="24" x14ac:dyDescent="0.4">
      <c r="A46" s="92">
        <v>15799</v>
      </c>
      <c r="B46" s="154" t="s">
        <v>181</v>
      </c>
      <c r="C46" s="172">
        <v>3508.68</v>
      </c>
      <c r="D46" s="93">
        <v>1167.0899999999999</v>
      </c>
      <c r="E46" s="93">
        <f t="shared" si="7"/>
        <v>116.70899999999999</v>
      </c>
      <c r="F46" s="93">
        <f t="shared" si="26"/>
        <v>350.12699999999995</v>
      </c>
      <c r="G46" s="93">
        <f>D46+F46</f>
        <v>1517.2169999999999</v>
      </c>
      <c r="H46" s="177">
        <f>G46/C46</f>
        <v>0.43241817435616814</v>
      </c>
      <c r="I46" s="93">
        <v>2348.27</v>
      </c>
      <c r="J46" s="91">
        <v>432.38</v>
      </c>
      <c r="K46" s="390">
        <v>2166.89</v>
      </c>
      <c r="L46" s="165">
        <f t="shared" si="2"/>
        <v>4947.54</v>
      </c>
      <c r="M46" s="166">
        <f t="shared" si="3"/>
        <v>1649.18</v>
      </c>
      <c r="N46" s="182">
        <f>G46*1.02</f>
        <v>1547.56134</v>
      </c>
      <c r="O46" s="169">
        <f t="shared" si="9"/>
        <v>1668.9386999999999</v>
      </c>
      <c r="P46" s="167">
        <f t="shared" si="4"/>
        <v>1744.7995499999997</v>
      </c>
    </row>
    <row r="47" spans="1:16" ht="18.75" x14ac:dyDescent="0.3">
      <c r="A47" s="88">
        <v>16</v>
      </c>
      <c r="B47" s="155" t="s">
        <v>109</v>
      </c>
      <c r="C47" s="173"/>
      <c r="D47" s="89"/>
      <c r="E47" s="89"/>
      <c r="F47" s="89"/>
      <c r="G47" s="89"/>
      <c r="H47" s="178"/>
      <c r="I47" s="90" t="e">
        <f>#REF!*12</f>
        <v>#REF!</v>
      </c>
      <c r="J47" s="87"/>
      <c r="K47" s="392"/>
      <c r="L47" s="90" t="e">
        <f t="shared" ref="L47:L52" si="27">I47+J47+K47</f>
        <v>#REF!</v>
      </c>
      <c r="M47" s="90" t="e">
        <f t="shared" ref="M47:M52" si="28">L47/3</f>
        <v>#REF!</v>
      </c>
      <c r="N47" s="90" t="e">
        <f t="shared" ref="N47:N52" si="29">I47*1.1</f>
        <v>#REF!</v>
      </c>
      <c r="O47" s="90"/>
    </row>
    <row r="48" spans="1:16" ht="37.5" x14ac:dyDescent="0.3">
      <c r="A48" s="88">
        <v>162</v>
      </c>
      <c r="B48" s="155" t="s">
        <v>182</v>
      </c>
      <c r="C48" s="173">
        <f>2599053.7-508715.28-1526145.83-92650.25-169019.61</f>
        <v>302522.7300000001</v>
      </c>
      <c r="D48" s="89"/>
      <c r="E48" s="89"/>
      <c r="F48" s="89"/>
      <c r="G48" s="89"/>
      <c r="H48" s="178"/>
      <c r="I48" s="90" t="e">
        <f>#REF!*12</f>
        <v>#REF!</v>
      </c>
      <c r="J48" s="87"/>
      <c r="K48" s="392"/>
      <c r="L48" s="90" t="e">
        <f t="shared" si="27"/>
        <v>#REF!</v>
      </c>
      <c r="M48" s="90" t="e">
        <f t="shared" si="28"/>
        <v>#REF!</v>
      </c>
      <c r="N48" s="90" t="e">
        <f t="shared" si="29"/>
        <v>#REF!</v>
      </c>
      <c r="O48" s="90"/>
    </row>
    <row r="49" spans="1:15" ht="37.5" x14ac:dyDescent="0.3">
      <c r="A49" s="88">
        <v>16201</v>
      </c>
      <c r="B49" s="155" t="s">
        <v>182</v>
      </c>
      <c r="C49" s="173">
        <f>C48-C2</f>
        <v>0</v>
      </c>
      <c r="D49" s="89"/>
      <c r="E49" s="89"/>
      <c r="F49" s="89"/>
      <c r="G49" s="89"/>
      <c r="H49" s="178"/>
      <c r="I49" s="90" t="e">
        <f>#REF!*12</f>
        <v>#REF!</v>
      </c>
      <c r="J49" s="87"/>
      <c r="K49" s="392"/>
      <c r="L49" s="90" t="e">
        <f t="shared" si="27"/>
        <v>#REF!</v>
      </c>
      <c r="M49" s="90" t="e">
        <f t="shared" si="28"/>
        <v>#REF!</v>
      </c>
      <c r="N49" s="90" t="e">
        <f t="shared" si="29"/>
        <v>#REF!</v>
      </c>
      <c r="O49" s="90"/>
    </row>
    <row r="50" spans="1:15" ht="18.75" x14ac:dyDescent="0.3">
      <c r="A50" s="88">
        <v>22</v>
      </c>
      <c r="B50" s="155" t="s">
        <v>183</v>
      </c>
      <c r="C50" s="173"/>
      <c r="D50" s="89"/>
      <c r="E50" s="89"/>
      <c r="F50" s="89"/>
      <c r="G50" s="89"/>
      <c r="H50" s="178"/>
      <c r="I50" s="90" t="e">
        <f>#REF!*12</f>
        <v>#REF!</v>
      </c>
      <c r="J50" s="87"/>
      <c r="K50" s="392"/>
      <c r="L50" s="90" t="e">
        <f t="shared" si="27"/>
        <v>#REF!</v>
      </c>
      <c r="M50" s="90" t="e">
        <f t="shared" si="28"/>
        <v>#REF!</v>
      </c>
      <c r="N50" s="90" t="e">
        <f t="shared" si="29"/>
        <v>#REF!</v>
      </c>
      <c r="O50" s="90"/>
    </row>
    <row r="51" spans="1:15" ht="37.5" x14ac:dyDescent="0.3">
      <c r="A51" s="88">
        <v>222</v>
      </c>
      <c r="B51" s="155" t="s">
        <v>184</v>
      </c>
      <c r="C51" s="173"/>
      <c r="D51" s="89"/>
      <c r="E51" s="89"/>
      <c r="F51" s="89"/>
      <c r="G51" s="89"/>
      <c r="H51" s="178"/>
      <c r="I51" s="90" t="e">
        <f>#REF!*12</f>
        <v>#REF!</v>
      </c>
      <c r="J51" s="87"/>
      <c r="K51" s="392"/>
      <c r="L51" s="90" t="e">
        <f t="shared" si="27"/>
        <v>#REF!</v>
      </c>
      <c r="M51" s="90" t="e">
        <f t="shared" si="28"/>
        <v>#REF!</v>
      </c>
      <c r="N51" s="90" t="e">
        <f t="shared" si="29"/>
        <v>#REF!</v>
      </c>
      <c r="O51" s="90"/>
    </row>
    <row r="52" spans="1:15" ht="37.5" x14ac:dyDescent="0.3">
      <c r="A52" s="88">
        <v>22201</v>
      </c>
      <c r="B52" s="155" t="s">
        <v>185</v>
      </c>
      <c r="C52" s="173"/>
      <c r="D52" s="89"/>
      <c r="E52" s="89"/>
      <c r="F52" s="89"/>
      <c r="G52" s="89"/>
      <c r="H52" s="178"/>
      <c r="I52" s="90" t="e">
        <f>#REF!*12</f>
        <v>#REF!</v>
      </c>
      <c r="J52" s="87"/>
      <c r="K52" s="392"/>
      <c r="L52" s="90" t="e">
        <f t="shared" si="27"/>
        <v>#REF!</v>
      </c>
      <c r="M52" s="90" t="e">
        <f t="shared" si="28"/>
        <v>#REF!</v>
      </c>
      <c r="N52" s="90" t="e">
        <f t="shared" si="29"/>
        <v>#REF!</v>
      </c>
      <c r="O52" s="90"/>
    </row>
    <row r="53" spans="1:15" ht="18.75" x14ac:dyDescent="0.3">
      <c r="A53" s="88">
        <v>32</v>
      </c>
      <c r="B53" s="155" t="s">
        <v>186</v>
      </c>
      <c r="C53" s="173"/>
      <c r="D53" s="89"/>
      <c r="E53" s="89"/>
      <c r="F53" s="89"/>
      <c r="G53" s="89"/>
      <c r="H53" s="178"/>
      <c r="I53" s="90" t="e">
        <f>#REF!*12</f>
        <v>#REF!</v>
      </c>
      <c r="J53" s="87"/>
      <c r="K53" s="392"/>
      <c r="L53" s="87"/>
      <c r="M53" s="87"/>
      <c r="N53" s="87"/>
      <c r="O53" s="87"/>
    </row>
    <row r="54" spans="1:15" ht="37.5" x14ac:dyDescent="0.3">
      <c r="A54" s="88">
        <v>321</v>
      </c>
      <c r="B54" s="155" t="s">
        <v>187</v>
      </c>
      <c r="C54" s="173"/>
      <c r="D54" s="89"/>
      <c r="E54" s="89"/>
      <c r="F54" s="89"/>
      <c r="G54" s="89"/>
      <c r="H54" s="178"/>
      <c r="I54" s="90" t="e">
        <f>#REF!*12</f>
        <v>#REF!</v>
      </c>
      <c r="J54" s="87"/>
      <c r="K54" s="392"/>
      <c r="L54" s="87"/>
      <c r="M54" s="87"/>
      <c r="N54" s="87"/>
      <c r="O54" s="87"/>
    </row>
    <row r="55" spans="1:15" ht="18.75" x14ac:dyDescent="0.3">
      <c r="A55" s="88">
        <v>32102</v>
      </c>
      <c r="B55" s="155" t="s">
        <v>188</v>
      </c>
      <c r="C55" s="173"/>
      <c r="D55" s="89"/>
      <c r="E55" s="89"/>
      <c r="F55" s="89"/>
      <c r="G55" s="89"/>
      <c r="H55" s="178"/>
      <c r="I55" s="90" t="e">
        <f>#REF!*12</f>
        <v>#REF!</v>
      </c>
      <c r="J55" s="87"/>
      <c r="K55" s="392"/>
      <c r="L55" s="87"/>
      <c r="M55" s="87"/>
      <c r="N55" s="87"/>
      <c r="O55" s="87"/>
    </row>
    <row r="56" spans="1:15" ht="15.75" x14ac:dyDescent="0.25">
      <c r="B56" s="156" t="s">
        <v>189</v>
      </c>
      <c r="C56" s="174"/>
      <c r="D56" s="66"/>
      <c r="E56" s="66"/>
      <c r="F56" s="66"/>
      <c r="G56" s="66"/>
      <c r="H56" s="179"/>
    </row>
    <row r="57" spans="1:15" x14ac:dyDescent="0.25">
      <c r="B57" s="157"/>
    </row>
    <row r="58" spans="1:15" x14ac:dyDescent="0.25">
      <c r="B58" s="157"/>
    </row>
    <row r="59" spans="1:15" x14ac:dyDescent="0.25">
      <c r="B59" s="157"/>
    </row>
    <row r="60" spans="1:15" x14ac:dyDescent="0.25">
      <c r="B60" s="157"/>
    </row>
    <row r="61" spans="1:15" x14ac:dyDescent="0.25">
      <c r="B61" s="157"/>
    </row>
    <row r="62" spans="1:15" x14ac:dyDescent="0.25">
      <c r="B62" s="157"/>
    </row>
    <row r="63" spans="1:15" x14ac:dyDescent="0.25">
      <c r="B63" s="157"/>
    </row>
    <row r="64" spans="1:15" x14ac:dyDescent="0.25">
      <c r="B64" s="157"/>
    </row>
    <row r="66" spans="2:2" x14ac:dyDescent="0.25">
      <c r="B66" s="157"/>
    </row>
    <row r="67" spans="2:2" x14ac:dyDescent="0.25">
      <c r="B67" s="157"/>
    </row>
  </sheetData>
  <pageMargins left="0.70866141732283472" right="0.70866141732283472" top="0.74803149606299213" bottom="0.74803149606299213" header="0.31496062992125984" footer="0.31496062992125984"/>
  <pageSetup scale="57" orientation="portrait" horizontalDpi="4294967294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10" workbookViewId="0">
      <selection activeCell="C12" sqref="C12"/>
    </sheetView>
  </sheetViews>
  <sheetFormatPr baseColWidth="10" defaultRowHeight="14.25" x14ac:dyDescent="0.2"/>
  <cols>
    <col min="1" max="1" width="11.42578125" style="213"/>
    <col min="2" max="2" width="84" style="213" customWidth="1"/>
    <col min="3" max="3" width="26.5703125" style="214" customWidth="1"/>
    <col min="4" max="5" width="33.28515625" style="214" customWidth="1"/>
    <col min="6" max="6" width="35.85546875" style="213" customWidth="1"/>
    <col min="7" max="16384" width="11.42578125" style="213"/>
  </cols>
  <sheetData>
    <row r="1" spans="1:6" ht="81" x14ac:dyDescent="0.2">
      <c r="A1" s="217" t="s">
        <v>296</v>
      </c>
      <c r="B1" s="217" t="s">
        <v>297</v>
      </c>
      <c r="C1" s="218" t="s">
        <v>298</v>
      </c>
      <c r="D1" s="218" t="s">
        <v>354</v>
      </c>
      <c r="E1" s="218" t="s">
        <v>360</v>
      </c>
      <c r="F1" s="217" t="s">
        <v>299</v>
      </c>
    </row>
    <row r="2" spans="1:6" ht="26.1" customHeight="1" x14ac:dyDescent="0.2">
      <c r="A2" s="225">
        <v>1</v>
      </c>
      <c r="B2" s="219" t="s">
        <v>300</v>
      </c>
      <c r="C2" s="220">
        <v>26000</v>
      </c>
      <c r="D2" s="235" t="s">
        <v>355</v>
      </c>
      <c r="E2" s="235"/>
      <c r="F2" s="667" t="s">
        <v>301</v>
      </c>
    </row>
    <row r="3" spans="1:6" ht="26.1" customHeight="1" x14ac:dyDescent="0.2">
      <c r="A3" s="225">
        <v>2</v>
      </c>
      <c r="B3" s="221" t="s">
        <v>302</v>
      </c>
      <c r="C3" s="222">
        <v>6000</v>
      </c>
      <c r="D3" s="236" t="s">
        <v>356</v>
      </c>
      <c r="E3" s="236"/>
      <c r="F3" s="667"/>
    </row>
    <row r="4" spans="1:6" ht="26.1" customHeight="1" x14ac:dyDescent="0.2">
      <c r="A4" s="225">
        <v>3</v>
      </c>
      <c r="B4" s="221" t="s">
        <v>303</v>
      </c>
      <c r="C4" s="222">
        <v>15000</v>
      </c>
      <c r="D4" s="236" t="s">
        <v>357</v>
      </c>
      <c r="E4" s="236"/>
      <c r="F4" s="667"/>
    </row>
    <row r="5" spans="1:6" ht="26.1" customHeight="1" x14ac:dyDescent="0.2">
      <c r="A5" s="225">
        <v>4</v>
      </c>
      <c r="B5" s="221" t="s">
        <v>304</v>
      </c>
      <c r="C5" s="222">
        <v>3000</v>
      </c>
      <c r="D5" s="236" t="s">
        <v>355</v>
      </c>
      <c r="E5" s="236"/>
      <c r="F5" s="667"/>
    </row>
    <row r="6" spans="1:6" ht="26.1" customHeight="1" x14ac:dyDescent="0.2">
      <c r="A6" s="225">
        <v>5</v>
      </c>
      <c r="B6" s="221" t="s">
        <v>305</v>
      </c>
      <c r="C6" s="222">
        <v>30000</v>
      </c>
      <c r="D6" s="236" t="s">
        <v>359</v>
      </c>
      <c r="E6" s="236"/>
      <c r="F6" s="667" t="s">
        <v>306</v>
      </c>
    </row>
    <row r="7" spans="1:6" ht="26.1" customHeight="1" x14ac:dyDescent="0.2">
      <c r="A7" s="225">
        <v>6</v>
      </c>
      <c r="B7" s="221" t="s">
        <v>307</v>
      </c>
      <c r="C7" s="222">
        <v>15000</v>
      </c>
      <c r="D7" s="236" t="s">
        <v>357</v>
      </c>
      <c r="E7" s="236"/>
      <c r="F7" s="667"/>
    </row>
    <row r="8" spans="1:6" ht="26.1" customHeight="1" x14ac:dyDescent="0.2">
      <c r="A8" s="225">
        <v>7</v>
      </c>
      <c r="B8" s="221" t="s">
        <v>308</v>
      </c>
      <c r="C8" s="222">
        <v>7000</v>
      </c>
      <c r="D8" s="236" t="s">
        <v>355</v>
      </c>
      <c r="E8" s="236"/>
      <c r="F8" s="667"/>
    </row>
    <row r="9" spans="1:6" ht="26.1" customHeight="1" x14ac:dyDescent="0.2">
      <c r="A9" s="225">
        <v>8</v>
      </c>
      <c r="B9" s="221" t="s">
        <v>309</v>
      </c>
      <c r="C9" s="222">
        <v>10000</v>
      </c>
      <c r="D9" s="236" t="s">
        <v>358</v>
      </c>
      <c r="E9" s="236"/>
      <c r="F9" s="667"/>
    </row>
    <row r="10" spans="1:6" ht="26.1" customHeight="1" x14ac:dyDescent="0.2">
      <c r="A10" s="225">
        <v>9</v>
      </c>
      <c r="B10" s="221" t="s">
        <v>310</v>
      </c>
      <c r="C10" s="222">
        <v>8000</v>
      </c>
      <c r="D10" s="236" t="s">
        <v>358</v>
      </c>
      <c r="E10" s="236"/>
      <c r="F10" s="667"/>
    </row>
    <row r="11" spans="1:6" ht="26.1" customHeight="1" x14ac:dyDescent="0.2">
      <c r="A11" s="225">
        <v>10</v>
      </c>
      <c r="B11" s="221" t="s">
        <v>311</v>
      </c>
      <c r="C11" s="222">
        <v>10000</v>
      </c>
      <c r="D11" s="236" t="s">
        <v>357</v>
      </c>
      <c r="E11" s="236"/>
      <c r="F11" s="667" t="s">
        <v>312</v>
      </c>
    </row>
    <row r="12" spans="1:6" ht="26.1" customHeight="1" x14ac:dyDescent="0.2">
      <c r="A12" s="225">
        <v>11</v>
      </c>
      <c r="B12" s="221" t="s">
        <v>313</v>
      </c>
      <c r="C12" s="222">
        <v>55000</v>
      </c>
      <c r="D12" s="236" t="s">
        <v>359</v>
      </c>
      <c r="E12" s="236"/>
      <c r="F12" s="667"/>
    </row>
    <row r="13" spans="1:6" ht="26.1" customHeight="1" x14ac:dyDescent="0.2">
      <c r="A13" s="225">
        <v>12</v>
      </c>
      <c r="B13" s="221" t="s">
        <v>314</v>
      </c>
      <c r="C13" s="222">
        <v>10000</v>
      </c>
      <c r="D13" s="236" t="s">
        <v>357</v>
      </c>
      <c r="E13" s="236"/>
      <c r="F13" s="667"/>
    </row>
    <row r="14" spans="1:6" ht="26.1" customHeight="1" x14ac:dyDescent="0.2">
      <c r="A14" s="225">
        <v>13</v>
      </c>
      <c r="B14" s="221" t="s">
        <v>315</v>
      </c>
      <c r="C14" s="222">
        <v>25000</v>
      </c>
      <c r="D14" s="236" t="s">
        <v>358</v>
      </c>
      <c r="E14" s="236"/>
      <c r="F14" s="667" t="s">
        <v>316</v>
      </c>
    </row>
    <row r="15" spans="1:6" ht="26.1" customHeight="1" x14ac:dyDescent="0.2">
      <c r="A15" s="225">
        <v>14</v>
      </c>
      <c r="B15" s="221" t="s">
        <v>317</v>
      </c>
      <c r="C15" s="222">
        <v>15000</v>
      </c>
      <c r="D15" s="236" t="s">
        <v>357</v>
      </c>
      <c r="E15" s="236"/>
      <c r="F15" s="667"/>
    </row>
    <row r="16" spans="1:6" ht="26.1" customHeight="1" x14ac:dyDescent="0.2">
      <c r="A16" s="225">
        <v>15</v>
      </c>
      <c r="B16" s="221" t="s">
        <v>318</v>
      </c>
      <c r="C16" s="222">
        <v>10000</v>
      </c>
      <c r="D16" s="236" t="s">
        <v>357</v>
      </c>
      <c r="E16" s="236"/>
      <c r="F16" s="667"/>
    </row>
    <row r="17" spans="1:6" ht="26.1" customHeight="1" x14ac:dyDescent="0.2">
      <c r="A17" s="225">
        <v>16</v>
      </c>
      <c r="B17" s="221" t="s">
        <v>319</v>
      </c>
      <c r="C17" s="222">
        <v>30000</v>
      </c>
      <c r="D17" s="236" t="s">
        <v>357</v>
      </c>
      <c r="E17" s="236"/>
      <c r="F17" s="667"/>
    </row>
    <row r="18" spans="1:6" ht="26.1" customHeight="1" x14ac:dyDescent="0.2">
      <c r="A18" s="225">
        <v>17</v>
      </c>
      <c r="B18" s="221" t="s">
        <v>320</v>
      </c>
      <c r="C18" s="222">
        <v>8000</v>
      </c>
      <c r="D18" s="236" t="s">
        <v>358</v>
      </c>
      <c r="E18" s="236"/>
      <c r="F18" s="667"/>
    </row>
    <row r="19" spans="1:6" ht="26.1" customHeight="1" x14ac:dyDescent="0.2">
      <c r="A19" s="225">
        <v>18</v>
      </c>
      <c r="B19" s="221" t="s">
        <v>321</v>
      </c>
      <c r="C19" s="222">
        <v>5000</v>
      </c>
      <c r="D19" s="236" t="s">
        <v>359</v>
      </c>
      <c r="E19" s="236"/>
      <c r="F19" s="667" t="s">
        <v>322</v>
      </c>
    </row>
    <row r="20" spans="1:6" ht="26.1" customHeight="1" x14ac:dyDescent="0.2">
      <c r="A20" s="225">
        <v>19</v>
      </c>
      <c r="B20" s="221" t="s">
        <v>323</v>
      </c>
      <c r="C20" s="222">
        <v>5000</v>
      </c>
      <c r="D20" s="236" t="s">
        <v>358</v>
      </c>
      <c r="E20" s="236"/>
      <c r="F20" s="667"/>
    </row>
    <row r="21" spans="1:6" ht="26.1" customHeight="1" x14ac:dyDescent="0.2">
      <c r="A21" s="225">
        <v>20</v>
      </c>
      <c r="B21" s="221" t="s">
        <v>324</v>
      </c>
      <c r="C21" s="222">
        <v>10000</v>
      </c>
      <c r="D21" s="236" t="s">
        <v>357</v>
      </c>
      <c r="E21" s="236"/>
      <c r="F21" s="667"/>
    </row>
    <row r="22" spans="1:6" ht="26.1" customHeight="1" x14ac:dyDescent="0.2">
      <c r="A22" s="225">
        <v>21</v>
      </c>
      <c r="B22" s="221" t="s">
        <v>325</v>
      </c>
      <c r="C22" s="222">
        <v>20000</v>
      </c>
      <c r="D22" s="236" t="s">
        <v>358</v>
      </c>
      <c r="E22" s="236"/>
      <c r="F22" s="667" t="s">
        <v>326</v>
      </c>
    </row>
    <row r="23" spans="1:6" ht="26.1" customHeight="1" x14ac:dyDescent="0.2">
      <c r="A23" s="225">
        <v>22</v>
      </c>
      <c r="B23" s="221" t="s">
        <v>327</v>
      </c>
      <c r="C23" s="222">
        <v>10000</v>
      </c>
      <c r="D23" s="236" t="s">
        <v>359</v>
      </c>
      <c r="E23" s="236"/>
      <c r="F23" s="667"/>
    </row>
    <row r="24" spans="1:6" ht="26.1" customHeight="1" x14ac:dyDescent="0.2">
      <c r="A24" s="225">
        <v>23</v>
      </c>
      <c r="B24" s="221" t="s">
        <v>328</v>
      </c>
      <c r="C24" s="222">
        <v>40000</v>
      </c>
      <c r="D24" s="236" t="s">
        <v>359</v>
      </c>
      <c r="E24" s="236"/>
      <c r="F24" s="667"/>
    </row>
    <row r="25" spans="1:6" ht="26.1" customHeight="1" x14ac:dyDescent="0.2">
      <c r="A25" s="225">
        <v>24</v>
      </c>
      <c r="B25" s="221" t="s">
        <v>329</v>
      </c>
      <c r="C25" s="222">
        <v>8000</v>
      </c>
      <c r="D25" s="236" t="s">
        <v>358</v>
      </c>
      <c r="E25" s="236"/>
      <c r="F25" s="667"/>
    </row>
    <row r="26" spans="1:6" ht="26.1" customHeight="1" x14ac:dyDescent="0.2">
      <c r="A26" s="225">
        <v>25</v>
      </c>
      <c r="B26" s="221" t="s">
        <v>330</v>
      </c>
      <c r="C26" s="222">
        <v>20000</v>
      </c>
      <c r="D26" s="236" t="s">
        <v>359</v>
      </c>
      <c r="E26" s="236"/>
      <c r="F26" s="667"/>
    </row>
    <row r="27" spans="1:6" ht="26.1" customHeight="1" x14ac:dyDescent="0.2">
      <c r="A27" s="225">
        <v>26</v>
      </c>
      <c r="B27" s="221" t="s">
        <v>331</v>
      </c>
      <c r="C27" s="222">
        <v>10000</v>
      </c>
      <c r="D27" s="236" t="s">
        <v>357</v>
      </c>
      <c r="E27" s="236"/>
      <c r="F27" s="667"/>
    </row>
    <row r="28" spans="1:6" ht="26.1" customHeight="1" x14ac:dyDescent="0.2">
      <c r="A28" s="225">
        <v>27</v>
      </c>
      <c r="B28" s="221" t="s">
        <v>332</v>
      </c>
      <c r="C28" s="222">
        <v>10000</v>
      </c>
      <c r="D28" s="236" t="s">
        <v>359</v>
      </c>
      <c r="E28" s="236"/>
      <c r="F28" s="667"/>
    </row>
    <row r="29" spans="1:6" ht="26.1" customHeight="1" x14ac:dyDescent="0.2">
      <c r="A29" s="225">
        <v>28</v>
      </c>
      <c r="B29" s="221" t="s">
        <v>333</v>
      </c>
      <c r="C29" s="222">
        <v>40000</v>
      </c>
      <c r="D29" s="236" t="s">
        <v>357</v>
      </c>
      <c r="E29" s="236"/>
      <c r="F29" s="667" t="s">
        <v>334</v>
      </c>
    </row>
    <row r="30" spans="1:6" ht="26.1" customHeight="1" x14ac:dyDescent="0.2">
      <c r="A30" s="225">
        <v>29</v>
      </c>
      <c r="B30" s="221" t="s">
        <v>335</v>
      </c>
      <c r="C30" s="222">
        <v>20000</v>
      </c>
      <c r="D30" s="236" t="s">
        <v>357</v>
      </c>
      <c r="E30" s="236"/>
      <c r="F30" s="667"/>
    </row>
    <row r="31" spans="1:6" ht="26.1" customHeight="1" x14ac:dyDescent="0.2">
      <c r="A31" s="225">
        <v>30</v>
      </c>
      <c r="B31" s="221" t="s">
        <v>336</v>
      </c>
      <c r="C31" s="222">
        <v>20000</v>
      </c>
      <c r="D31" s="236" t="s">
        <v>359</v>
      </c>
      <c r="E31" s="236"/>
      <c r="F31" s="667"/>
    </row>
    <row r="32" spans="1:6" ht="26.1" customHeight="1" x14ac:dyDescent="0.2">
      <c r="A32" s="225">
        <v>31</v>
      </c>
      <c r="B32" s="221" t="s">
        <v>337</v>
      </c>
      <c r="C32" s="222">
        <v>90000</v>
      </c>
      <c r="D32" s="236" t="s">
        <v>357</v>
      </c>
      <c r="E32" s="236"/>
      <c r="F32" s="225" t="s">
        <v>338</v>
      </c>
    </row>
    <row r="33" spans="1:6" ht="26.1" customHeight="1" x14ac:dyDescent="0.2">
      <c r="A33" s="225">
        <v>32</v>
      </c>
      <c r="B33" s="221" t="s">
        <v>339</v>
      </c>
      <c r="C33" s="222">
        <v>25000</v>
      </c>
      <c r="D33" s="236" t="s">
        <v>358</v>
      </c>
      <c r="E33" s="236"/>
      <c r="F33" s="225" t="s">
        <v>340</v>
      </c>
    </row>
    <row r="34" spans="1:6" ht="26.1" customHeight="1" x14ac:dyDescent="0.2">
      <c r="A34" s="225">
        <v>33</v>
      </c>
      <c r="B34" s="221" t="s">
        <v>341</v>
      </c>
      <c r="C34" s="233">
        <v>100000</v>
      </c>
      <c r="D34" s="237" t="s">
        <v>355</v>
      </c>
      <c r="E34" s="237"/>
      <c r="F34" s="223"/>
    </row>
    <row r="35" spans="1:6" ht="15" x14ac:dyDescent="0.2">
      <c r="B35" s="229" t="s">
        <v>342</v>
      </c>
      <c r="C35" s="231">
        <v>120000</v>
      </c>
      <c r="D35" s="227" t="s">
        <v>355</v>
      </c>
      <c r="E35" s="227"/>
    </row>
    <row r="36" spans="1:6" ht="15" x14ac:dyDescent="0.2">
      <c r="B36" s="229" t="s">
        <v>343</v>
      </c>
      <c r="C36" s="231">
        <v>15200</v>
      </c>
      <c r="D36" s="227" t="s">
        <v>356</v>
      </c>
      <c r="E36" s="227"/>
    </row>
    <row r="37" spans="1:6" ht="15" x14ac:dyDescent="0.2">
      <c r="B37" s="229" t="s">
        <v>344</v>
      </c>
      <c r="C37" s="231">
        <v>41000</v>
      </c>
      <c r="D37" s="227" t="s">
        <v>355</v>
      </c>
      <c r="E37" s="227"/>
    </row>
    <row r="38" spans="1:6" ht="15" x14ac:dyDescent="0.2">
      <c r="B38" s="229" t="s">
        <v>345</v>
      </c>
      <c r="C38" s="231">
        <v>60000</v>
      </c>
      <c r="D38" s="227" t="s">
        <v>357</v>
      </c>
      <c r="E38" s="227"/>
    </row>
    <row r="39" spans="1:6" ht="15" x14ac:dyDescent="0.2">
      <c r="B39" s="229" t="s">
        <v>346</v>
      </c>
      <c r="C39" s="231">
        <v>60000</v>
      </c>
      <c r="D39" s="227" t="s">
        <v>355</v>
      </c>
      <c r="E39" s="227"/>
    </row>
    <row r="40" spans="1:6" ht="30" x14ac:dyDescent="0.2">
      <c r="B40" s="229" t="s">
        <v>347</v>
      </c>
      <c r="C40" s="231">
        <v>50000</v>
      </c>
      <c r="D40" s="227" t="s">
        <v>355</v>
      </c>
      <c r="E40" s="227"/>
    </row>
    <row r="41" spans="1:6" ht="15" x14ac:dyDescent="0.2">
      <c r="B41" s="229" t="s">
        <v>348</v>
      </c>
      <c r="C41" s="231">
        <v>40000</v>
      </c>
      <c r="D41" s="227" t="s">
        <v>358</v>
      </c>
      <c r="E41" s="227"/>
    </row>
    <row r="42" spans="1:6" ht="15" x14ac:dyDescent="0.2">
      <c r="B42" s="229" t="s">
        <v>349</v>
      </c>
      <c r="C42" s="231">
        <v>30000</v>
      </c>
      <c r="D42" s="227" t="s">
        <v>358</v>
      </c>
      <c r="E42" s="227"/>
    </row>
    <row r="43" spans="1:6" ht="15" x14ac:dyDescent="0.2">
      <c r="B43" s="229" t="s">
        <v>350</v>
      </c>
      <c r="C43" s="231">
        <v>60000</v>
      </c>
      <c r="D43" s="227" t="s">
        <v>359</v>
      </c>
      <c r="E43" s="227"/>
    </row>
    <row r="44" spans="1:6" ht="15" x14ac:dyDescent="0.2">
      <c r="B44" s="229" t="s">
        <v>351</v>
      </c>
      <c r="C44" s="231">
        <v>8000</v>
      </c>
      <c r="D44" s="227" t="s">
        <v>355</v>
      </c>
      <c r="E44" s="227"/>
    </row>
  </sheetData>
  <mergeCells count="7">
    <mergeCell ref="F29:F31"/>
    <mergeCell ref="F2:F5"/>
    <mergeCell ref="F6:F10"/>
    <mergeCell ref="F11:F13"/>
    <mergeCell ref="F14:F18"/>
    <mergeCell ref="F19:F21"/>
    <mergeCell ref="F22:F28"/>
  </mergeCells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zoomScale="110" zoomScaleNormal="110" workbookViewId="0"/>
  </sheetViews>
  <sheetFormatPr baseColWidth="10" defaultRowHeight="15" x14ac:dyDescent="0.2"/>
  <cols>
    <col min="1" max="1" width="4.5703125" style="335" customWidth="1"/>
    <col min="2" max="2" width="50.7109375" style="375" customWidth="1"/>
    <col min="3" max="3" width="19.42578125" style="336" customWidth="1"/>
    <col min="4" max="4" width="20.85546875" style="336" hidden="1" customWidth="1"/>
    <col min="5" max="5" width="22.85546875" style="360" customWidth="1"/>
    <col min="6" max="16384" width="11.42578125" style="336"/>
  </cols>
  <sheetData>
    <row r="1" spans="1:5" ht="25.5" customHeight="1" x14ac:dyDescent="0.2"/>
    <row r="2" spans="1:5" ht="23.25" customHeight="1" x14ac:dyDescent="0.2">
      <c r="A2" s="337" t="s">
        <v>296</v>
      </c>
      <c r="B2" s="376" t="s">
        <v>297</v>
      </c>
      <c r="C2" s="374" t="s">
        <v>520</v>
      </c>
      <c r="D2" s="338"/>
      <c r="E2" s="361" t="s">
        <v>354</v>
      </c>
    </row>
    <row r="3" spans="1:5" x14ac:dyDescent="0.2">
      <c r="A3" s="339">
        <v>1</v>
      </c>
      <c r="B3" s="377" t="s">
        <v>309</v>
      </c>
      <c r="C3" s="340">
        <v>10000</v>
      </c>
      <c r="D3" s="340"/>
      <c r="E3" s="362" t="s">
        <v>358</v>
      </c>
    </row>
    <row r="4" spans="1:5" x14ac:dyDescent="0.2">
      <c r="A4" s="339">
        <v>2</v>
      </c>
      <c r="B4" s="377" t="s">
        <v>315</v>
      </c>
      <c r="C4" s="340">
        <v>25000</v>
      </c>
      <c r="D4" s="340"/>
      <c r="E4" s="362" t="s">
        <v>358</v>
      </c>
    </row>
    <row r="5" spans="1:5" x14ac:dyDescent="0.2">
      <c r="A5" s="339">
        <v>3</v>
      </c>
      <c r="B5" s="377" t="s">
        <v>361</v>
      </c>
      <c r="C5" s="340">
        <v>8000</v>
      </c>
      <c r="D5" s="340"/>
      <c r="E5" s="362" t="s">
        <v>358</v>
      </c>
    </row>
    <row r="6" spans="1:5" x14ac:dyDescent="0.2">
      <c r="A6" s="339">
        <v>4</v>
      </c>
      <c r="B6" s="377" t="s">
        <v>323</v>
      </c>
      <c r="C6" s="340">
        <v>5000</v>
      </c>
      <c r="D6" s="340"/>
      <c r="E6" s="362" t="s">
        <v>358</v>
      </c>
    </row>
    <row r="7" spans="1:5" x14ac:dyDescent="0.2">
      <c r="A7" s="339">
        <v>5</v>
      </c>
      <c r="B7" s="377" t="s">
        <v>325</v>
      </c>
      <c r="C7" s="340">
        <v>20000</v>
      </c>
      <c r="D7" s="340"/>
      <c r="E7" s="362" t="s">
        <v>358</v>
      </c>
    </row>
    <row r="8" spans="1:5" ht="28.5" x14ac:dyDescent="0.2">
      <c r="A8" s="339">
        <v>6</v>
      </c>
      <c r="B8" s="378" t="s">
        <v>329</v>
      </c>
      <c r="C8" s="340">
        <v>8000</v>
      </c>
      <c r="D8" s="340"/>
      <c r="E8" s="362" t="s">
        <v>358</v>
      </c>
    </row>
    <row r="9" spans="1:5" x14ac:dyDescent="0.2">
      <c r="A9" s="339">
        <v>7</v>
      </c>
      <c r="B9" s="377" t="s">
        <v>339</v>
      </c>
      <c r="C9" s="340">
        <v>25000</v>
      </c>
      <c r="D9" s="340"/>
      <c r="E9" s="362" t="s">
        <v>358</v>
      </c>
    </row>
    <row r="10" spans="1:5" x14ac:dyDescent="0.2">
      <c r="A10" s="341">
        <v>8</v>
      </c>
      <c r="B10" s="377" t="s">
        <v>348</v>
      </c>
      <c r="C10" s="340">
        <v>40000</v>
      </c>
      <c r="D10" s="340"/>
      <c r="E10" s="363" t="s">
        <v>358</v>
      </c>
    </row>
    <row r="11" spans="1:5" x14ac:dyDescent="0.2">
      <c r="A11" s="341">
        <v>9</v>
      </c>
      <c r="B11" s="377" t="s">
        <v>349</v>
      </c>
      <c r="C11" s="340">
        <v>30000</v>
      </c>
      <c r="D11" s="340"/>
      <c r="E11" s="363" t="s">
        <v>358</v>
      </c>
    </row>
    <row r="12" spans="1:5" ht="28.5" x14ac:dyDescent="0.2">
      <c r="A12" s="342">
        <v>10</v>
      </c>
      <c r="B12" s="379" t="s">
        <v>377</v>
      </c>
      <c r="C12" s="343">
        <v>30000</v>
      </c>
      <c r="D12" s="343"/>
      <c r="E12" s="364"/>
    </row>
    <row r="13" spans="1:5" ht="15.75" x14ac:dyDescent="0.25">
      <c r="B13" s="380" t="s">
        <v>5</v>
      </c>
      <c r="C13" s="344">
        <f>SUM(C3:C12)</f>
        <v>201000</v>
      </c>
      <c r="D13" s="344"/>
    </row>
    <row r="15" spans="1:5" ht="22.5" x14ac:dyDescent="0.2">
      <c r="A15" s="337" t="s">
        <v>296</v>
      </c>
      <c r="B15" s="376" t="s">
        <v>297</v>
      </c>
      <c r="C15" s="374" t="s">
        <v>298</v>
      </c>
      <c r="D15" s="338"/>
      <c r="E15" s="365" t="s">
        <v>354</v>
      </c>
    </row>
    <row r="16" spans="1:5" x14ac:dyDescent="0.2">
      <c r="A16" s="339">
        <v>1</v>
      </c>
      <c r="B16" s="377" t="s">
        <v>362</v>
      </c>
      <c r="C16" s="340">
        <v>6000</v>
      </c>
      <c r="D16" s="340"/>
      <c r="E16" s="362" t="s">
        <v>356</v>
      </c>
    </row>
    <row r="17" spans="1:5" ht="28.5" x14ac:dyDescent="0.2">
      <c r="A17" s="335">
        <v>2</v>
      </c>
      <c r="B17" s="378" t="s">
        <v>343</v>
      </c>
      <c r="C17" s="345">
        <v>15200</v>
      </c>
      <c r="D17" s="346"/>
      <c r="E17" s="366" t="s">
        <v>356</v>
      </c>
    </row>
    <row r="18" spans="1:5" ht="15.75" x14ac:dyDescent="0.25">
      <c r="A18" s="347"/>
      <c r="B18" s="380" t="s">
        <v>5</v>
      </c>
      <c r="C18" s="344">
        <f>SUM(C16:C17)</f>
        <v>21200</v>
      </c>
      <c r="D18" s="344"/>
      <c r="E18" s="367"/>
    </row>
    <row r="20" spans="1:5" ht="22.5" x14ac:dyDescent="0.2">
      <c r="A20" s="337" t="s">
        <v>296</v>
      </c>
      <c r="B20" s="376" t="s">
        <v>297</v>
      </c>
      <c r="C20" s="374" t="s">
        <v>298</v>
      </c>
      <c r="D20" s="338" t="s">
        <v>380</v>
      </c>
      <c r="E20" s="365" t="s">
        <v>354</v>
      </c>
    </row>
    <row r="21" spans="1:5" x14ac:dyDescent="0.2">
      <c r="A21" s="339">
        <v>1</v>
      </c>
      <c r="B21" s="377" t="s">
        <v>363</v>
      </c>
      <c r="C21" s="340">
        <v>30000</v>
      </c>
      <c r="D21" s="340"/>
      <c r="E21" s="362" t="s">
        <v>359</v>
      </c>
    </row>
    <row r="22" spans="1:5" ht="28.5" x14ac:dyDescent="0.2">
      <c r="A22" s="339">
        <v>2</v>
      </c>
      <c r="B22" s="378" t="s">
        <v>364</v>
      </c>
      <c r="C22" s="340">
        <v>55000</v>
      </c>
      <c r="D22" s="340"/>
      <c r="E22" s="362" t="s">
        <v>359</v>
      </c>
    </row>
    <row r="23" spans="1:5" ht="28.5" x14ac:dyDescent="0.2">
      <c r="A23" s="348">
        <v>3</v>
      </c>
      <c r="B23" s="381" t="s">
        <v>365</v>
      </c>
      <c r="C23" s="349">
        <v>5000</v>
      </c>
      <c r="D23" s="349"/>
      <c r="E23" s="368" t="s">
        <v>359</v>
      </c>
    </row>
    <row r="24" spans="1:5" x14ac:dyDescent="0.2">
      <c r="A24" s="350">
        <v>4</v>
      </c>
      <c r="B24" s="382" t="s">
        <v>366</v>
      </c>
      <c r="C24" s="351">
        <v>10000</v>
      </c>
      <c r="D24" s="351"/>
      <c r="E24" s="369" t="s">
        <v>359</v>
      </c>
    </row>
    <row r="25" spans="1:5" x14ac:dyDescent="0.2">
      <c r="A25" s="352">
        <v>5</v>
      </c>
      <c r="B25" s="383" t="s">
        <v>367</v>
      </c>
      <c r="C25" s="353">
        <v>40000</v>
      </c>
      <c r="D25" s="353"/>
      <c r="E25" s="370" t="s">
        <v>359</v>
      </c>
    </row>
    <row r="26" spans="1:5" ht="28.5" x14ac:dyDescent="0.2">
      <c r="A26" s="350">
        <v>6</v>
      </c>
      <c r="B26" s="384" t="s">
        <v>368</v>
      </c>
      <c r="C26" s="351">
        <v>20000</v>
      </c>
      <c r="D26" s="351"/>
      <c r="E26" s="369" t="s">
        <v>359</v>
      </c>
    </row>
    <row r="27" spans="1:5" x14ac:dyDescent="0.2">
      <c r="A27" s="339">
        <v>7</v>
      </c>
      <c r="B27" s="377" t="s">
        <v>332</v>
      </c>
      <c r="C27" s="340">
        <v>10000</v>
      </c>
      <c r="D27" s="340"/>
      <c r="E27" s="362" t="s">
        <v>359</v>
      </c>
    </row>
    <row r="28" spans="1:5" ht="28.5" x14ac:dyDescent="0.2">
      <c r="A28" s="339">
        <v>8</v>
      </c>
      <c r="B28" s="378" t="s">
        <v>369</v>
      </c>
      <c r="C28" s="340">
        <v>20000</v>
      </c>
      <c r="D28" s="340"/>
      <c r="E28" s="362" t="s">
        <v>359</v>
      </c>
    </row>
    <row r="29" spans="1:5" x14ac:dyDescent="0.2">
      <c r="A29" s="335">
        <v>9</v>
      </c>
      <c r="B29" s="384" t="s">
        <v>350</v>
      </c>
      <c r="C29" s="354">
        <v>60000</v>
      </c>
      <c r="D29" s="346"/>
      <c r="E29" s="366" t="s">
        <v>359</v>
      </c>
    </row>
    <row r="30" spans="1:5" ht="15.75" x14ac:dyDescent="0.25">
      <c r="B30" s="380" t="s">
        <v>5</v>
      </c>
      <c r="C30" s="344">
        <f>SUM(C21:C29)</f>
        <v>250000</v>
      </c>
      <c r="D30" s="344"/>
    </row>
    <row r="31" spans="1:5" ht="22.5" x14ac:dyDescent="0.2">
      <c r="A31" s="337" t="s">
        <v>296</v>
      </c>
      <c r="B31" s="376" t="s">
        <v>297</v>
      </c>
      <c r="C31" s="374" t="s">
        <v>298</v>
      </c>
      <c r="D31" s="338"/>
      <c r="E31" s="365" t="s">
        <v>354</v>
      </c>
    </row>
    <row r="32" spans="1:5" ht="28.5" x14ac:dyDescent="0.2">
      <c r="A32" s="339">
        <v>1</v>
      </c>
      <c r="B32" s="378" t="s">
        <v>370</v>
      </c>
      <c r="C32" s="345">
        <v>26000</v>
      </c>
      <c r="D32" s="345"/>
      <c r="E32" s="371" t="s">
        <v>355</v>
      </c>
    </row>
    <row r="33" spans="1:5" ht="28.5" x14ac:dyDescent="0.2">
      <c r="A33" s="339">
        <v>2</v>
      </c>
      <c r="B33" s="378" t="s">
        <v>371</v>
      </c>
      <c r="C33" s="340">
        <v>3000</v>
      </c>
      <c r="D33" s="340"/>
      <c r="E33" s="362" t="s">
        <v>355</v>
      </c>
    </row>
    <row r="34" spans="1:5" x14ac:dyDescent="0.2">
      <c r="A34" s="339">
        <v>3</v>
      </c>
      <c r="B34" s="377" t="s">
        <v>308</v>
      </c>
      <c r="C34" s="340">
        <v>7000</v>
      </c>
      <c r="D34" s="340"/>
      <c r="E34" s="362" t="s">
        <v>355</v>
      </c>
    </row>
    <row r="35" spans="1:5" ht="28.5" x14ac:dyDescent="0.2">
      <c r="A35" s="339">
        <v>4</v>
      </c>
      <c r="B35" s="378" t="s">
        <v>372</v>
      </c>
      <c r="C35" s="355">
        <v>100000</v>
      </c>
      <c r="D35" s="355"/>
      <c r="E35" s="362" t="s">
        <v>355</v>
      </c>
    </row>
    <row r="36" spans="1:5" ht="28.5" x14ac:dyDescent="0.2">
      <c r="A36" s="341">
        <v>5</v>
      </c>
      <c r="B36" s="378" t="s">
        <v>342</v>
      </c>
      <c r="C36" s="345">
        <v>120000</v>
      </c>
      <c r="D36" s="345"/>
      <c r="E36" s="372" t="s">
        <v>355</v>
      </c>
    </row>
    <row r="37" spans="1:5" ht="28.5" x14ac:dyDescent="0.2">
      <c r="A37" s="341">
        <v>6</v>
      </c>
      <c r="B37" s="378" t="s">
        <v>344</v>
      </c>
      <c r="C37" s="345">
        <v>41000</v>
      </c>
      <c r="D37" s="345"/>
      <c r="E37" s="372" t="s">
        <v>355</v>
      </c>
    </row>
    <row r="38" spans="1:5" ht="24" x14ac:dyDescent="0.2">
      <c r="A38" s="341">
        <v>7</v>
      </c>
      <c r="B38" s="378" t="s">
        <v>346</v>
      </c>
      <c r="C38" s="345">
        <v>60000</v>
      </c>
      <c r="D38" s="345"/>
      <c r="E38" s="372" t="s">
        <v>355</v>
      </c>
    </row>
    <row r="39" spans="1:5" ht="42.75" x14ac:dyDescent="0.2">
      <c r="A39" s="341">
        <v>8</v>
      </c>
      <c r="B39" s="378" t="s">
        <v>347</v>
      </c>
      <c r="C39" s="345">
        <v>50000</v>
      </c>
      <c r="D39" s="345"/>
      <c r="E39" s="372" t="s">
        <v>355</v>
      </c>
    </row>
    <row r="40" spans="1:5" ht="24" x14ac:dyDescent="0.2">
      <c r="A40" s="341">
        <v>9</v>
      </c>
      <c r="B40" s="378" t="s">
        <v>351</v>
      </c>
      <c r="C40" s="345">
        <v>8000</v>
      </c>
      <c r="D40" s="345"/>
      <c r="E40" s="372" t="s">
        <v>355</v>
      </c>
    </row>
    <row r="41" spans="1:5" ht="15.75" x14ac:dyDescent="0.25">
      <c r="A41" s="341"/>
      <c r="B41" s="385" t="s">
        <v>5</v>
      </c>
      <c r="C41" s="356">
        <f>SUM(C32:C40)</f>
        <v>415000</v>
      </c>
      <c r="D41" s="356"/>
      <c r="E41" s="373"/>
    </row>
    <row r="44" spans="1:5" ht="22.5" x14ac:dyDescent="0.2">
      <c r="A44" s="337" t="s">
        <v>296</v>
      </c>
      <c r="B44" s="376" t="s">
        <v>297</v>
      </c>
      <c r="C44" s="374" t="s">
        <v>298</v>
      </c>
      <c r="D44" s="338"/>
      <c r="E44" s="365" t="s">
        <v>354</v>
      </c>
    </row>
    <row r="45" spans="1:5" ht="28.5" x14ac:dyDescent="0.2">
      <c r="A45" s="339">
        <v>1</v>
      </c>
      <c r="B45" s="378" t="s">
        <v>381</v>
      </c>
      <c r="C45" s="340">
        <v>15000</v>
      </c>
      <c r="D45" s="340"/>
      <c r="E45" s="362" t="s">
        <v>357</v>
      </c>
    </row>
    <row r="46" spans="1:5" ht="28.5" x14ac:dyDescent="0.2">
      <c r="A46" s="339">
        <v>2</v>
      </c>
      <c r="B46" s="378" t="s">
        <v>373</v>
      </c>
      <c r="C46" s="340">
        <v>15000</v>
      </c>
      <c r="D46" s="340"/>
      <c r="E46" s="362" t="s">
        <v>357</v>
      </c>
    </row>
    <row r="47" spans="1:5" x14ac:dyDescent="0.2">
      <c r="A47" s="339">
        <v>3</v>
      </c>
      <c r="B47" s="377" t="s">
        <v>374</v>
      </c>
      <c r="C47" s="340">
        <v>10000</v>
      </c>
      <c r="D47" s="340"/>
      <c r="E47" s="362" t="s">
        <v>357</v>
      </c>
    </row>
    <row r="48" spans="1:5" x14ac:dyDescent="0.2">
      <c r="A48" s="339">
        <v>4</v>
      </c>
      <c r="B48" s="377" t="s">
        <v>375</v>
      </c>
      <c r="C48" s="340">
        <v>10000</v>
      </c>
      <c r="D48" s="340"/>
      <c r="E48" s="362" t="s">
        <v>357</v>
      </c>
    </row>
    <row r="49" spans="1:5" x14ac:dyDescent="0.2">
      <c r="A49" s="339">
        <v>5</v>
      </c>
      <c r="B49" s="377" t="s">
        <v>376</v>
      </c>
      <c r="C49" s="340">
        <v>15000</v>
      </c>
      <c r="D49" s="340"/>
      <c r="E49" s="362" t="s">
        <v>357</v>
      </c>
    </row>
    <row r="50" spans="1:5" x14ac:dyDescent="0.2">
      <c r="A50" s="339">
        <v>6</v>
      </c>
      <c r="B50" s="377" t="s">
        <v>318</v>
      </c>
      <c r="C50" s="340">
        <v>10000</v>
      </c>
      <c r="D50" s="340"/>
      <c r="E50" s="362" t="s">
        <v>357</v>
      </c>
    </row>
    <row r="51" spans="1:5" x14ac:dyDescent="0.2">
      <c r="A51" s="339">
        <v>7</v>
      </c>
      <c r="B51" s="377" t="s">
        <v>319</v>
      </c>
      <c r="C51" s="340">
        <v>20210.64</v>
      </c>
      <c r="D51" s="340">
        <f>C51-30000</f>
        <v>-9789.36</v>
      </c>
      <c r="E51" s="362" t="s">
        <v>357</v>
      </c>
    </row>
    <row r="52" spans="1:5" x14ac:dyDescent="0.2">
      <c r="A52" s="339">
        <v>8</v>
      </c>
      <c r="B52" s="377" t="s">
        <v>324</v>
      </c>
      <c r="C52" s="340">
        <v>10000</v>
      </c>
      <c r="D52" s="340"/>
      <c r="E52" s="362" t="s">
        <v>357</v>
      </c>
    </row>
    <row r="53" spans="1:5" x14ac:dyDescent="0.2">
      <c r="A53" s="339">
        <v>9</v>
      </c>
      <c r="B53" s="377" t="s">
        <v>331</v>
      </c>
      <c r="C53" s="340">
        <v>10000</v>
      </c>
      <c r="D53" s="340"/>
      <c r="E53" s="362" t="s">
        <v>357</v>
      </c>
    </row>
    <row r="54" spans="1:5" ht="28.5" x14ac:dyDescent="0.2">
      <c r="A54" s="339">
        <v>10</v>
      </c>
      <c r="B54" s="378" t="s">
        <v>378</v>
      </c>
      <c r="C54" s="340">
        <v>10000</v>
      </c>
      <c r="D54" s="340"/>
      <c r="E54" s="362" t="s">
        <v>357</v>
      </c>
    </row>
    <row r="55" spans="1:5" ht="46.5" customHeight="1" x14ac:dyDescent="0.2">
      <c r="A55" s="339">
        <v>11</v>
      </c>
      <c r="B55" s="378" t="s">
        <v>379</v>
      </c>
      <c r="C55" s="340">
        <v>20000</v>
      </c>
      <c r="D55" s="340"/>
      <c r="E55" s="362" t="s">
        <v>357</v>
      </c>
    </row>
    <row r="56" spans="1:5" ht="28.5" x14ac:dyDescent="0.2">
      <c r="A56" s="339">
        <v>12</v>
      </c>
      <c r="B56" s="378" t="s">
        <v>382</v>
      </c>
      <c r="C56" s="340">
        <v>45000</v>
      </c>
      <c r="D56" s="340">
        <v>45000</v>
      </c>
      <c r="E56" s="362" t="s">
        <v>357</v>
      </c>
    </row>
    <row r="57" spans="1:5" ht="28.5" x14ac:dyDescent="0.2">
      <c r="A57" s="339">
        <v>13</v>
      </c>
      <c r="B57" s="378" t="s">
        <v>345</v>
      </c>
      <c r="C57" s="345">
        <v>60000</v>
      </c>
      <c r="D57" s="345"/>
      <c r="E57" s="372" t="s">
        <v>357</v>
      </c>
    </row>
    <row r="58" spans="1:5" ht="15.75" x14ac:dyDescent="0.25">
      <c r="A58" s="341"/>
      <c r="B58" s="385" t="s">
        <v>5</v>
      </c>
      <c r="C58" s="356">
        <f>SUM(C45:C57)</f>
        <v>250210.64</v>
      </c>
      <c r="D58" s="356"/>
      <c r="E58" s="373"/>
    </row>
    <row r="62" spans="1:5" ht="15.75" x14ac:dyDescent="0.25">
      <c r="C62" s="357">
        <f>C58+C41+C30+C18+C13</f>
        <v>1137410.6400000001</v>
      </c>
      <c r="D62" s="357"/>
    </row>
    <row r="63" spans="1:5" x14ac:dyDescent="0.2">
      <c r="C63" s="336">
        <v>1137410.6399999999</v>
      </c>
      <c r="D63" s="358">
        <f>D64-C63</f>
        <v>365780.40000000014</v>
      </c>
    </row>
    <row r="64" spans="1:5" x14ac:dyDescent="0.2">
      <c r="C64" s="359">
        <f>C62-C63</f>
        <v>0</v>
      </c>
      <c r="D64" s="359">
        <v>1503191.04</v>
      </c>
    </row>
  </sheetData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L69"/>
  <sheetViews>
    <sheetView zoomScale="110" zoomScaleNormal="110" workbookViewId="0">
      <selection activeCell="L8" sqref="L8"/>
    </sheetView>
  </sheetViews>
  <sheetFormatPr baseColWidth="10" defaultRowHeight="15" x14ac:dyDescent="0.3"/>
  <cols>
    <col min="1" max="1" width="8.140625" style="72" customWidth="1"/>
    <col min="2" max="2" width="37.42578125" style="95" customWidth="1"/>
    <col min="3" max="3" width="17.7109375" style="71" customWidth="1"/>
    <col min="4" max="4" width="19.28515625" style="71" customWidth="1"/>
    <col min="5" max="5" width="6.85546875" style="71" customWidth="1"/>
    <col min="6" max="6" width="16.140625" style="71" customWidth="1"/>
    <col min="7" max="7" width="7.85546875" style="71" customWidth="1"/>
    <col min="8" max="8" width="10.42578125" style="71" customWidth="1"/>
    <col min="9" max="9" width="9" style="71" customWidth="1"/>
    <col min="10" max="10" width="19.5703125" style="70" customWidth="1"/>
    <col min="11" max="11" width="0.85546875" style="69" customWidth="1"/>
    <col min="12" max="12" width="17.42578125" style="68" customWidth="1"/>
    <col min="13" max="16384" width="11.42578125" style="68"/>
  </cols>
  <sheetData>
    <row r="1" spans="1:12" ht="21" x14ac:dyDescent="0.35">
      <c r="A1" s="635" t="s">
        <v>222</v>
      </c>
      <c r="B1" s="636"/>
      <c r="C1" s="636"/>
      <c r="D1" s="636"/>
      <c r="E1" s="636"/>
      <c r="F1" s="636"/>
      <c r="G1" s="636"/>
      <c r="H1" s="636"/>
      <c r="I1" s="636"/>
      <c r="J1" s="636"/>
    </row>
    <row r="2" spans="1:12" ht="18.75" x14ac:dyDescent="0.3">
      <c r="A2" s="637" t="s">
        <v>139</v>
      </c>
      <c r="B2" s="638"/>
      <c r="C2" s="638"/>
      <c r="D2" s="638"/>
      <c r="E2" s="638"/>
      <c r="F2" s="638"/>
      <c r="G2" s="638"/>
      <c r="H2" s="638"/>
      <c r="I2" s="638"/>
      <c r="J2" s="638"/>
    </row>
    <row r="3" spans="1:12" ht="18.75" x14ac:dyDescent="0.3">
      <c r="A3" s="637" t="s">
        <v>639</v>
      </c>
      <c r="B3" s="637"/>
      <c r="C3" s="637"/>
      <c r="D3" s="637"/>
      <c r="E3" s="637"/>
      <c r="F3" s="637"/>
      <c r="G3" s="637"/>
      <c r="H3" s="637"/>
      <c r="I3" s="637"/>
      <c r="J3" s="637"/>
    </row>
    <row r="4" spans="1:12" ht="18.75" x14ac:dyDescent="0.3">
      <c r="A4" s="637" t="s">
        <v>221</v>
      </c>
      <c r="B4" s="638"/>
      <c r="C4" s="638"/>
      <c r="D4" s="638"/>
      <c r="E4" s="638"/>
      <c r="F4" s="638"/>
      <c r="G4" s="638"/>
      <c r="H4" s="638"/>
      <c r="I4" s="638"/>
      <c r="J4" s="638"/>
    </row>
    <row r="5" spans="1:12" ht="19.5" thickBot="1" x14ac:dyDescent="0.35">
      <c r="A5" s="639" t="s">
        <v>220</v>
      </c>
      <c r="B5" s="640"/>
      <c r="C5" s="640"/>
      <c r="D5" s="640"/>
      <c r="E5" s="640"/>
      <c r="F5" s="640"/>
      <c r="G5" s="640"/>
      <c r="H5" s="640"/>
      <c r="I5" s="640"/>
      <c r="J5" s="640"/>
    </row>
    <row r="6" spans="1:12" ht="15.75" customHeight="1" thickBot="1" x14ac:dyDescent="0.4">
      <c r="A6" s="86"/>
      <c r="B6" s="627" t="s">
        <v>219</v>
      </c>
      <c r="C6" s="631" t="s">
        <v>218</v>
      </c>
      <c r="D6" s="632"/>
      <c r="E6" s="632"/>
      <c r="F6" s="618" t="s">
        <v>217</v>
      </c>
      <c r="G6" s="621" t="s">
        <v>216</v>
      </c>
      <c r="H6" s="624" t="s">
        <v>215</v>
      </c>
      <c r="I6" s="612" t="s">
        <v>214</v>
      </c>
      <c r="J6" s="615" t="s">
        <v>213</v>
      </c>
    </row>
    <row r="7" spans="1:12" ht="18" customHeight="1" thickBot="1" x14ac:dyDescent="0.35">
      <c r="A7" s="85"/>
      <c r="B7" s="628"/>
      <c r="C7" s="633" t="s">
        <v>212</v>
      </c>
      <c r="D7" s="634"/>
      <c r="E7" s="84" t="s">
        <v>211</v>
      </c>
      <c r="F7" s="619"/>
      <c r="G7" s="622"/>
      <c r="H7" s="625"/>
      <c r="I7" s="613"/>
      <c r="J7" s="616"/>
    </row>
    <row r="8" spans="1:12" s="80" customFormat="1" ht="108.75" customHeight="1" thickBot="1" x14ac:dyDescent="0.25">
      <c r="A8" s="83"/>
      <c r="B8" s="629"/>
      <c r="C8" s="105" t="s">
        <v>210</v>
      </c>
      <c r="D8" s="82" t="s">
        <v>209</v>
      </c>
      <c r="E8" s="81" t="s">
        <v>208</v>
      </c>
      <c r="F8" s="620"/>
      <c r="G8" s="623"/>
      <c r="H8" s="626"/>
      <c r="I8" s="614"/>
      <c r="J8" s="617"/>
      <c r="K8" s="69"/>
    </row>
    <row r="9" spans="1:12" s="73" customFormat="1" ht="18" customHeight="1" x14ac:dyDescent="0.25">
      <c r="A9" s="110">
        <v>11</v>
      </c>
      <c r="B9" s="111" t="s">
        <v>224</v>
      </c>
      <c r="C9" s="112"/>
      <c r="D9" s="112"/>
      <c r="E9" s="113"/>
      <c r="F9" s="97">
        <f>F10</f>
        <v>93183.56</v>
      </c>
      <c r="G9" s="112"/>
      <c r="H9" s="112"/>
      <c r="I9" s="112"/>
      <c r="J9" s="112">
        <f>SUM(C9:I9)</f>
        <v>93183.56</v>
      </c>
      <c r="K9" s="102"/>
      <c r="L9" s="103"/>
    </row>
    <row r="10" spans="1:12" ht="18" customHeight="1" x14ac:dyDescent="0.25">
      <c r="A10" s="114">
        <v>118</v>
      </c>
      <c r="B10" s="115" t="s">
        <v>225</v>
      </c>
      <c r="C10" s="116"/>
      <c r="D10" s="116"/>
      <c r="E10" s="116"/>
      <c r="F10" s="97">
        <f>SUM(F11:F15)</f>
        <v>93183.56</v>
      </c>
      <c r="G10" s="116"/>
      <c r="H10" s="116"/>
      <c r="I10" s="116"/>
      <c r="J10" s="116">
        <f>C10+D10+E10+F10+G10+H10+I10</f>
        <v>93183.56</v>
      </c>
      <c r="K10" s="100"/>
      <c r="L10" s="101"/>
    </row>
    <row r="11" spans="1:12" ht="18" hidden="1" customHeight="1" x14ac:dyDescent="0.25">
      <c r="A11" s="114">
        <v>11801</v>
      </c>
      <c r="B11" s="115" t="s">
        <v>226</v>
      </c>
      <c r="C11" s="116"/>
      <c r="D11" s="116"/>
      <c r="E11" s="116"/>
      <c r="F11" s="96">
        <v>81005.460000000006</v>
      </c>
      <c r="G11" s="116"/>
      <c r="H11" s="116"/>
      <c r="I11" s="116"/>
      <c r="J11" s="116">
        <f t="shared" ref="J11:J37" si="0">C11+D11+E11+F11+G11+H11+I11</f>
        <v>81005.460000000006</v>
      </c>
      <c r="K11" s="100"/>
      <c r="L11" s="101"/>
    </row>
    <row r="12" spans="1:12" ht="18" hidden="1" customHeight="1" x14ac:dyDescent="0.25">
      <c r="A12" s="114">
        <v>11803</v>
      </c>
      <c r="B12" s="115" t="s">
        <v>223</v>
      </c>
      <c r="C12" s="116"/>
      <c r="D12" s="116"/>
      <c r="E12" s="116"/>
      <c r="F12" s="96">
        <v>0</v>
      </c>
      <c r="G12" s="116"/>
      <c r="H12" s="116"/>
      <c r="I12" s="116"/>
      <c r="J12" s="116">
        <f t="shared" si="0"/>
        <v>0</v>
      </c>
      <c r="K12" s="100"/>
      <c r="L12" s="101"/>
    </row>
    <row r="13" spans="1:12" ht="18" hidden="1" customHeight="1" x14ac:dyDescent="0.25">
      <c r="A13" s="114">
        <v>11804</v>
      </c>
      <c r="B13" s="115" t="s">
        <v>227</v>
      </c>
      <c r="C13" s="116"/>
      <c r="D13" s="116"/>
      <c r="E13" s="116"/>
      <c r="F13" s="96">
        <v>10693.62</v>
      </c>
      <c r="G13" s="116"/>
      <c r="H13" s="116"/>
      <c r="I13" s="116"/>
      <c r="J13" s="116">
        <f t="shared" si="0"/>
        <v>10693.62</v>
      </c>
      <c r="K13" s="100"/>
      <c r="L13" s="101"/>
    </row>
    <row r="14" spans="1:12" ht="18" hidden="1" customHeight="1" x14ac:dyDescent="0.25">
      <c r="A14" s="117">
        <v>11806</v>
      </c>
      <c r="B14" s="115" t="s">
        <v>228</v>
      </c>
      <c r="C14" s="116"/>
      <c r="D14" s="116"/>
      <c r="E14" s="116"/>
      <c r="F14" s="96">
        <v>1173.8</v>
      </c>
      <c r="G14" s="116"/>
      <c r="H14" s="116"/>
      <c r="I14" s="116"/>
      <c r="J14" s="116">
        <f t="shared" si="0"/>
        <v>1173.8</v>
      </c>
      <c r="K14" s="100"/>
      <c r="L14" s="101"/>
    </row>
    <row r="15" spans="1:12" ht="18" hidden="1" customHeight="1" x14ac:dyDescent="0.25">
      <c r="A15" s="114">
        <v>11818</v>
      </c>
      <c r="B15" s="115" t="s">
        <v>229</v>
      </c>
      <c r="C15" s="116"/>
      <c r="D15" s="116"/>
      <c r="E15" s="116"/>
      <c r="F15" s="96">
        <v>310.68</v>
      </c>
      <c r="G15" s="116"/>
      <c r="H15" s="116"/>
      <c r="I15" s="116"/>
      <c r="J15" s="116">
        <f t="shared" si="0"/>
        <v>310.68</v>
      </c>
      <c r="K15" s="100"/>
      <c r="L15" s="101"/>
    </row>
    <row r="16" spans="1:12" s="73" customFormat="1" ht="30" customHeight="1" x14ac:dyDescent="0.25">
      <c r="A16" s="118">
        <v>12</v>
      </c>
      <c r="B16" s="111" t="s">
        <v>230</v>
      </c>
      <c r="C16" s="112"/>
      <c r="D16" s="112"/>
      <c r="E16" s="112"/>
      <c r="F16" s="97">
        <f>F17+F31</f>
        <v>304518.32999999996</v>
      </c>
      <c r="G16" s="112"/>
      <c r="H16" s="112"/>
      <c r="I16" s="112"/>
      <c r="J16" s="112">
        <f t="shared" ref="J16" si="1">SUM(C16:I16)</f>
        <v>304518.32999999996</v>
      </c>
      <c r="K16" s="102"/>
      <c r="L16" s="103"/>
    </row>
    <row r="17" spans="1:12" s="104" customFormat="1" ht="29.25" customHeight="1" x14ac:dyDescent="0.25">
      <c r="A17" s="117">
        <v>121</v>
      </c>
      <c r="B17" s="115" t="s">
        <v>231</v>
      </c>
      <c r="C17" s="116"/>
      <c r="D17" s="116"/>
      <c r="E17" s="116"/>
      <c r="F17" s="96">
        <f>SUM(F18:F30)</f>
        <v>291261.75999999995</v>
      </c>
      <c r="G17" s="116"/>
      <c r="H17" s="116"/>
      <c r="I17" s="116"/>
      <c r="J17" s="116">
        <f t="shared" si="0"/>
        <v>291261.75999999995</v>
      </c>
      <c r="K17" s="100"/>
      <c r="L17" s="101"/>
    </row>
    <row r="18" spans="1:12" s="104" customFormat="1" ht="29.25" hidden="1" customHeight="1" x14ac:dyDescent="0.25">
      <c r="A18" s="119">
        <v>12105</v>
      </c>
      <c r="B18" s="115" t="s">
        <v>273</v>
      </c>
      <c r="C18" s="116"/>
      <c r="D18" s="116"/>
      <c r="E18" s="116"/>
      <c r="F18" s="96">
        <v>32818.160000000003</v>
      </c>
      <c r="G18" s="116"/>
      <c r="H18" s="116"/>
      <c r="I18" s="116"/>
      <c r="J18" s="116">
        <f t="shared" si="0"/>
        <v>32818.160000000003</v>
      </c>
      <c r="K18" s="100"/>
      <c r="L18" s="101"/>
    </row>
    <row r="19" spans="1:12" s="104" customFormat="1" ht="32.25" hidden="1" customHeight="1" x14ac:dyDescent="0.25">
      <c r="A19" s="119">
        <v>12106</v>
      </c>
      <c r="B19" s="115" t="s">
        <v>232</v>
      </c>
      <c r="C19" s="116"/>
      <c r="D19" s="116"/>
      <c r="E19" s="116"/>
      <c r="F19" s="96">
        <v>117.12</v>
      </c>
      <c r="G19" s="116"/>
      <c r="H19" s="116"/>
      <c r="I19" s="116"/>
      <c r="J19" s="116">
        <f t="shared" si="0"/>
        <v>117.12</v>
      </c>
      <c r="K19" s="100"/>
      <c r="L19" s="101"/>
    </row>
    <row r="20" spans="1:12" s="104" customFormat="1" ht="18" hidden="1" customHeight="1" x14ac:dyDescent="0.25">
      <c r="A20" s="119">
        <v>12108</v>
      </c>
      <c r="B20" s="115" t="s">
        <v>233</v>
      </c>
      <c r="C20" s="116"/>
      <c r="D20" s="116"/>
      <c r="E20" s="116"/>
      <c r="F20" s="96">
        <v>22284.73</v>
      </c>
      <c r="G20" s="116"/>
      <c r="H20" s="116"/>
      <c r="I20" s="116"/>
      <c r="J20" s="116">
        <f t="shared" si="0"/>
        <v>22284.73</v>
      </c>
      <c r="K20" s="100"/>
      <c r="L20" s="101"/>
    </row>
    <row r="21" spans="1:12" s="104" customFormat="1" ht="18" hidden="1" customHeight="1" x14ac:dyDescent="0.25">
      <c r="A21" s="119">
        <v>12109</v>
      </c>
      <c r="B21" s="115" t="s">
        <v>234</v>
      </c>
      <c r="C21" s="116"/>
      <c r="D21" s="116"/>
      <c r="E21" s="116"/>
      <c r="F21" s="96">
        <v>58164.47</v>
      </c>
      <c r="G21" s="116"/>
      <c r="H21" s="116"/>
      <c r="I21" s="116"/>
      <c r="J21" s="116">
        <f t="shared" si="0"/>
        <v>58164.47</v>
      </c>
      <c r="K21" s="100"/>
      <c r="L21" s="101"/>
    </row>
    <row r="22" spans="1:12" s="104" customFormat="1" ht="18" hidden="1" customHeight="1" x14ac:dyDescent="0.25">
      <c r="A22" s="119">
        <v>12111</v>
      </c>
      <c r="B22" s="115" t="s">
        <v>235</v>
      </c>
      <c r="C22" s="116"/>
      <c r="D22" s="116"/>
      <c r="E22" s="116"/>
      <c r="F22" s="96">
        <v>3251.86</v>
      </c>
      <c r="G22" s="116"/>
      <c r="H22" s="116"/>
      <c r="I22" s="116"/>
      <c r="J22" s="116">
        <f t="shared" si="0"/>
        <v>3251.86</v>
      </c>
      <c r="K22" s="100"/>
      <c r="L22" s="101"/>
    </row>
    <row r="23" spans="1:12" s="104" customFormat="1" ht="18" hidden="1" customHeight="1" x14ac:dyDescent="0.25">
      <c r="A23" s="119">
        <v>12112</v>
      </c>
      <c r="B23" s="115" t="s">
        <v>236</v>
      </c>
      <c r="C23" s="116"/>
      <c r="D23" s="116"/>
      <c r="E23" s="116"/>
      <c r="F23" s="96">
        <v>6712.66</v>
      </c>
      <c r="G23" s="116"/>
      <c r="H23" s="116"/>
      <c r="I23" s="116"/>
      <c r="J23" s="116">
        <f t="shared" si="0"/>
        <v>6712.66</v>
      </c>
      <c r="K23" s="100"/>
      <c r="L23" s="101"/>
    </row>
    <row r="24" spans="1:12" s="104" customFormat="1" ht="18" hidden="1" customHeight="1" x14ac:dyDescent="0.25">
      <c r="A24" s="119">
        <v>12114</v>
      </c>
      <c r="B24" s="115" t="s">
        <v>237</v>
      </c>
      <c r="C24" s="116"/>
      <c r="D24" s="116"/>
      <c r="E24" s="116"/>
      <c r="F24" s="96">
        <v>15252.25</v>
      </c>
      <c r="G24" s="116"/>
      <c r="H24" s="116"/>
      <c r="I24" s="116"/>
      <c r="J24" s="116">
        <f t="shared" si="0"/>
        <v>15252.25</v>
      </c>
      <c r="K24" s="100"/>
      <c r="L24" s="101"/>
    </row>
    <row r="25" spans="1:12" s="104" customFormat="1" ht="18" hidden="1" customHeight="1" x14ac:dyDescent="0.25">
      <c r="A25" s="119">
        <v>12115</v>
      </c>
      <c r="B25" s="115" t="s">
        <v>238</v>
      </c>
      <c r="C25" s="116"/>
      <c r="D25" s="116"/>
      <c r="E25" s="116"/>
      <c r="F25" s="96">
        <v>8764.01</v>
      </c>
      <c r="G25" s="116"/>
      <c r="H25" s="116"/>
      <c r="I25" s="116"/>
      <c r="J25" s="116">
        <f t="shared" si="0"/>
        <v>8764.01</v>
      </c>
      <c r="K25" s="100"/>
      <c r="L25" s="101"/>
    </row>
    <row r="26" spans="1:12" s="104" customFormat="1" ht="18" hidden="1" customHeight="1" x14ac:dyDescent="0.25">
      <c r="A26" s="119">
        <v>12117</v>
      </c>
      <c r="B26" s="115" t="s">
        <v>207</v>
      </c>
      <c r="C26" s="116"/>
      <c r="D26" s="116"/>
      <c r="E26" s="116"/>
      <c r="F26" s="96">
        <v>23652.799999999999</v>
      </c>
      <c r="G26" s="116"/>
      <c r="H26" s="116"/>
      <c r="I26" s="116"/>
      <c r="J26" s="116">
        <f t="shared" si="0"/>
        <v>23652.799999999999</v>
      </c>
      <c r="K26" s="100"/>
      <c r="L26" s="101"/>
    </row>
    <row r="27" spans="1:12" s="104" customFormat="1" ht="18" hidden="1" customHeight="1" x14ac:dyDescent="0.25">
      <c r="A27" s="119">
        <v>12118</v>
      </c>
      <c r="B27" s="115" t="s">
        <v>239</v>
      </c>
      <c r="C27" s="116"/>
      <c r="D27" s="116"/>
      <c r="E27" s="116"/>
      <c r="F27" s="96">
        <v>100999.28</v>
      </c>
      <c r="G27" s="116"/>
      <c r="H27" s="116"/>
      <c r="I27" s="116"/>
      <c r="J27" s="116">
        <f t="shared" si="0"/>
        <v>100999.28</v>
      </c>
      <c r="K27" s="100"/>
      <c r="L27" s="101"/>
    </row>
    <row r="28" spans="1:12" s="104" customFormat="1" ht="18" hidden="1" customHeight="1" x14ac:dyDescent="0.25">
      <c r="A28" s="120">
        <v>12119</v>
      </c>
      <c r="B28" s="115" t="s">
        <v>240</v>
      </c>
      <c r="C28" s="116"/>
      <c r="D28" s="116"/>
      <c r="E28" s="116"/>
      <c r="F28" s="96">
        <v>1507.48</v>
      </c>
      <c r="G28" s="116"/>
      <c r="H28" s="116"/>
      <c r="I28" s="116"/>
      <c r="J28" s="116">
        <f t="shared" si="0"/>
        <v>1507.48</v>
      </c>
      <c r="K28" s="100"/>
      <c r="L28" s="101"/>
    </row>
    <row r="29" spans="1:12" s="104" customFormat="1" ht="18" hidden="1" customHeight="1" x14ac:dyDescent="0.25">
      <c r="A29" s="120">
        <v>12123</v>
      </c>
      <c r="B29" s="115" t="s">
        <v>241</v>
      </c>
      <c r="C29" s="116"/>
      <c r="D29" s="116"/>
      <c r="E29" s="116"/>
      <c r="F29" s="96">
        <v>14424.23</v>
      </c>
      <c r="G29" s="116"/>
      <c r="H29" s="116"/>
      <c r="I29" s="116"/>
      <c r="J29" s="116">
        <f t="shared" si="0"/>
        <v>14424.23</v>
      </c>
      <c r="K29" s="100"/>
      <c r="L29" s="101"/>
    </row>
    <row r="30" spans="1:12" s="104" customFormat="1" ht="18" hidden="1" customHeight="1" x14ac:dyDescent="0.25">
      <c r="A30" s="120">
        <v>12199</v>
      </c>
      <c r="B30" s="115" t="s">
        <v>242</v>
      </c>
      <c r="C30" s="116"/>
      <c r="D30" s="116"/>
      <c r="E30" s="116"/>
      <c r="F30" s="96">
        <v>3312.71</v>
      </c>
      <c r="G30" s="116"/>
      <c r="H30" s="116"/>
      <c r="I30" s="116"/>
      <c r="J30" s="116">
        <f t="shared" si="0"/>
        <v>3312.71</v>
      </c>
      <c r="K30" s="100"/>
      <c r="L30" s="101"/>
    </row>
    <row r="31" spans="1:12" s="104" customFormat="1" ht="18" customHeight="1" x14ac:dyDescent="0.25">
      <c r="A31" s="120">
        <v>122</v>
      </c>
      <c r="B31" s="115" t="s">
        <v>243</v>
      </c>
      <c r="C31" s="116"/>
      <c r="D31" s="116"/>
      <c r="E31" s="116"/>
      <c r="F31" s="96">
        <v>13256.57</v>
      </c>
      <c r="G31" s="116"/>
      <c r="H31" s="116"/>
      <c r="I31" s="116"/>
      <c r="J31" s="116">
        <f t="shared" si="0"/>
        <v>13256.57</v>
      </c>
      <c r="K31" s="100"/>
      <c r="L31" s="101"/>
    </row>
    <row r="32" spans="1:12" s="104" customFormat="1" ht="18" hidden="1" customHeight="1" x14ac:dyDescent="0.25">
      <c r="A32" s="120">
        <v>12210</v>
      </c>
      <c r="B32" s="115" t="s">
        <v>244</v>
      </c>
      <c r="C32" s="116"/>
      <c r="D32" s="116"/>
      <c r="E32" s="116"/>
      <c r="F32" s="96">
        <v>13036.6</v>
      </c>
      <c r="G32" s="116"/>
      <c r="H32" s="116"/>
      <c r="I32" s="116"/>
      <c r="J32" s="116">
        <f t="shared" si="0"/>
        <v>13036.6</v>
      </c>
      <c r="K32" s="100"/>
      <c r="L32" s="101"/>
    </row>
    <row r="33" spans="1:12" s="104" customFormat="1" ht="18" hidden="1" customHeight="1" x14ac:dyDescent="0.25">
      <c r="A33" s="120">
        <v>12211</v>
      </c>
      <c r="B33" s="115" t="s">
        <v>245</v>
      </c>
      <c r="C33" s="116"/>
      <c r="D33" s="116"/>
      <c r="E33" s="116"/>
      <c r="F33" s="96">
        <v>219.97</v>
      </c>
      <c r="G33" s="116"/>
      <c r="H33" s="116"/>
      <c r="I33" s="116"/>
      <c r="J33" s="116">
        <f t="shared" si="0"/>
        <v>219.97</v>
      </c>
      <c r="K33" s="100"/>
      <c r="L33" s="101"/>
    </row>
    <row r="34" spans="1:12" s="73" customFormat="1" ht="18" customHeight="1" x14ac:dyDescent="0.25">
      <c r="A34" s="121">
        <v>14</v>
      </c>
      <c r="B34" s="111" t="s">
        <v>246</v>
      </c>
      <c r="C34" s="112"/>
      <c r="D34" s="112"/>
      <c r="E34" s="112"/>
      <c r="F34" s="97">
        <f>F35</f>
        <v>2712.44</v>
      </c>
      <c r="G34" s="112"/>
      <c r="H34" s="112"/>
      <c r="I34" s="112"/>
      <c r="J34" s="112">
        <f>SUM(J35:J38)</f>
        <v>4147.1000000000004</v>
      </c>
      <c r="K34" s="102"/>
      <c r="L34" s="103"/>
    </row>
    <row r="35" spans="1:12" ht="31.5" hidden="1" x14ac:dyDescent="0.25">
      <c r="A35" s="120">
        <v>142</v>
      </c>
      <c r="B35" s="115" t="s">
        <v>247</v>
      </c>
      <c r="C35" s="116"/>
      <c r="D35" s="116"/>
      <c r="E35" s="116"/>
      <c r="F35" s="96">
        <f>F36+F37</f>
        <v>2712.44</v>
      </c>
      <c r="G35" s="116"/>
      <c r="H35" s="116"/>
      <c r="I35" s="116"/>
      <c r="J35" s="116">
        <f t="shared" si="0"/>
        <v>2712.44</v>
      </c>
      <c r="K35" s="100"/>
      <c r="L35" s="101"/>
    </row>
    <row r="36" spans="1:12" ht="15.75" hidden="1" x14ac:dyDescent="0.25">
      <c r="A36" s="120" t="s">
        <v>634</v>
      </c>
      <c r="B36" s="115" t="s">
        <v>635</v>
      </c>
      <c r="C36" s="116"/>
      <c r="D36" s="116"/>
      <c r="E36" s="116"/>
      <c r="F36" s="96">
        <v>1277.78</v>
      </c>
      <c r="G36" s="116"/>
      <c r="H36" s="116"/>
      <c r="I36" s="116"/>
      <c r="J36" s="116"/>
      <c r="K36" s="100"/>
      <c r="L36" s="101"/>
    </row>
    <row r="37" spans="1:12" ht="18" hidden="1" customHeight="1" x14ac:dyDescent="0.25">
      <c r="A37" s="120">
        <v>14299</v>
      </c>
      <c r="B37" s="115" t="s">
        <v>248</v>
      </c>
      <c r="C37" s="116"/>
      <c r="D37" s="116"/>
      <c r="E37" s="116"/>
      <c r="F37" s="96">
        <v>1434.66</v>
      </c>
      <c r="G37" s="116"/>
      <c r="H37" s="116"/>
      <c r="I37" s="116"/>
      <c r="J37" s="116">
        <f t="shared" si="0"/>
        <v>1434.66</v>
      </c>
      <c r="K37" s="100"/>
      <c r="L37" s="101"/>
    </row>
    <row r="38" spans="1:12" ht="18" hidden="1" customHeight="1" x14ac:dyDescent="0.25">
      <c r="A38" s="120">
        <v>14399</v>
      </c>
      <c r="B38" s="115" t="s">
        <v>249</v>
      </c>
      <c r="C38" s="116"/>
      <c r="D38" s="116"/>
      <c r="E38" s="116"/>
      <c r="F38" s="96"/>
      <c r="G38" s="116"/>
      <c r="H38" s="116"/>
      <c r="I38" s="116"/>
      <c r="J38" s="116">
        <f t="shared" ref="J38" si="2">C38+D38+E38+F38+G38+H38+I39</f>
        <v>0</v>
      </c>
      <c r="K38" s="100"/>
      <c r="L38" s="101"/>
    </row>
    <row r="39" spans="1:12" s="73" customFormat="1" ht="18" customHeight="1" x14ac:dyDescent="0.25">
      <c r="A39" s="121">
        <v>15</v>
      </c>
      <c r="B39" s="111" t="s">
        <v>268</v>
      </c>
      <c r="C39" s="112"/>
      <c r="D39" s="112"/>
      <c r="E39" s="112"/>
      <c r="F39" s="96">
        <f>F40+F45+F47</f>
        <v>33649.46</v>
      </c>
      <c r="G39" s="112"/>
      <c r="H39" s="112"/>
      <c r="I39" s="112"/>
      <c r="J39" s="112">
        <f>SUM(J40:J49)</f>
        <v>67298.92</v>
      </c>
      <c r="K39" s="102"/>
      <c r="L39" s="103"/>
    </row>
    <row r="40" spans="1:12" ht="18" hidden="1" customHeight="1" x14ac:dyDescent="0.25">
      <c r="A40" s="120">
        <v>153</v>
      </c>
      <c r="B40" s="115" t="s">
        <v>250</v>
      </c>
      <c r="C40" s="116"/>
      <c r="D40" s="116"/>
      <c r="E40" s="116"/>
      <c r="F40" s="96">
        <f>SUM(F41:F44)</f>
        <v>8867.41</v>
      </c>
      <c r="G40" s="116"/>
      <c r="H40" s="116"/>
      <c r="I40" s="116"/>
      <c r="J40" s="116">
        <f t="shared" ref="J40:J49" si="3">C40+D40+E40+F40+G40+H40+I40</f>
        <v>8867.41</v>
      </c>
      <c r="K40" s="100"/>
      <c r="L40" s="101"/>
    </row>
    <row r="41" spans="1:12" ht="18" hidden="1" customHeight="1" x14ac:dyDescent="0.25">
      <c r="A41" s="120">
        <v>15301</v>
      </c>
      <c r="B41" s="115" t="s">
        <v>251</v>
      </c>
      <c r="C41" s="116"/>
      <c r="D41" s="116"/>
      <c r="E41" s="116"/>
      <c r="F41" s="96">
        <v>3922.04</v>
      </c>
      <c r="G41" s="116"/>
      <c r="H41" s="116"/>
      <c r="I41" s="116"/>
      <c r="J41" s="116">
        <f t="shared" si="3"/>
        <v>3922.04</v>
      </c>
      <c r="K41" s="100"/>
      <c r="L41" s="101"/>
    </row>
    <row r="42" spans="1:12" ht="18" hidden="1" customHeight="1" x14ac:dyDescent="0.25">
      <c r="A42" s="120">
        <v>15302</v>
      </c>
      <c r="B42" s="115" t="s">
        <v>252</v>
      </c>
      <c r="C42" s="116"/>
      <c r="D42" s="116"/>
      <c r="E42" s="116"/>
      <c r="F42" s="96">
        <v>4682.82</v>
      </c>
      <c r="G42" s="116"/>
      <c r="H42" s="116"/>
      <c r="I42" s="116"/>
      <c r="J42" s="116">
        <f t="shared" si="3"/>
        <v>4682.82</v>
      </c>
      <c r="K42" s="100"/>
      <c r="L42" s="101"/>
    </row>
    <row r="43" spans="1:12" ht="18" hidden="1" customHeight="1" x14ac:dyDescent="0.25">
      <c r="A43" s="120">
        <v>15312</v>
      </c>
      <c r="B43" s="115" t="s">
        <v>253</v>
      </c>
      <c r="C43" s="116"/>
      <c r="D43" s="116"/>
      <c r="E43" s="116"/>
      <c r="F43" s="96">
        <v>259.05</v>
      </c>
      <c r="G43" s="116"/>
      <c r="H43" s="116"/>
      <c r="I43" s="116"/>
      <c r="J43" s="116">
        <f t="shared" si="3"/>
        <v>259.05</v>
      </c>
      <c r="K43" s="100"/>
      <c r="L43" s="101"/>
    </row>
    <row r="44" spans="1:12" ht="18" hidden="1" customHeight="1" x14ac:dyDescent="0.25">
      <c r="A44" s="120">
        <v>15399</v>
      </c>
      <c r="B44" s="115" t="s">
        <v>254</v>
      </c>
      <c r="C44" s="116"/>
      <c r="D44" s="116"/>
      <c r="E44" s="116"/>
      <c r="F44" s="96">
        <v>3.5</v>
      </c>
      <c r="G44" s="116"/>
      <c r="H44" s="116"/>
      <c r="I44" s="116"/>
      <c r="J44" s="116">
        <f t="shared" si="3"/>
        <v>3.5</v>
      </c>
      <c r="K44" s="100"/>
      <c r="L44" s="101"/>
    </row>
    <row r="45" spans="1:12" ht="17.25" hidden="1" customHeight="1" x14ac:dyDescent="0.25">
      <c r="A45" s="120">
        <v>154</v>
      </c>
      <c r="B45" s="115" t="s">
        <v>255</v>
      </c>
      <c r="C45" s="116"/>
      <c r="D45" s="116"/>
      <c r="E45" s="116"/>
      <c r="F45" s="96">
        <f>F46</f>
        <v>23234.49</v>
      </c>
      <c r="G45" s="116"/>
      <c r="H45" s="116"/>
      <c r="I45" s="116"/>
      <c r="J45" s="116">
        <f t="shared" si="3"/>
        <v>23234.49</v>
      </c>
      <c r="K45" s="100"/>
      <c r="L45" s="101"/>
    </row>
    <row r="46" spans="1:12" ht="18" hidden="1" customHeight="1" x14ac:dyDescent="0.25">
      <c r="A46" s="120">
        <v>15499</v>
      </c>
      <c r="B46" s="115" t="s">
        <v>256</v>
      </c>
      <c r="C46" s="116"/>
      <c r="D46" s="116"/>
      <c r="E46" s="116"/>
      <c r="F46" s="96">
        <v>23234.49</v>
      </c>
      <c r="G46" s="116"/>
      <c r="H46" s="116"/>
      <c r="I46" s="116"/>
      <c r="J46" s="116">
        <f t="shared" si="3"/>
        <v>23234.49</v>
      </c>
      <c r="K46" s="100"/>
      <c r="L46" s="101"/>
    </row>
    <row r="47" spans="1:12" ht="18" hidden="1" customHeight="1" x14ac:dyDescent="0.25">
      <c r="A47" s="120">
        <v>157</v>
      </c>
      <c r="B47" s="115" t="s">
        <v>257</v>
      </c>
      <c r="C47" s="116"/>
      <c r="D47" s="116"/>
      <c r="E47" s="116"/>
      <c r="F47" s="96">
        <f>F48+F49</f>
        <v>1547.56</v>
      </c>
      <c r="G47" s="116"/>
      <c r="H47" s="116"/>
      <c r="I47" s="116"/>
      <c r="J47" s="116">
        <f t="shared" si="3"/>
        <v>1547.56</v>
      </c>
      <c r="K47" s="100"/>
      <c r="L47" s="101"/>
    </row>
    <row r="48" spans="1:12" ht="18" hidden="1" customHeight="1" x14ac:dyDescent="0.25">
      <c r="A48" s="120">
        <v>15703</v>
      </c>
      <c r="B48" s="115" t="s">
        <v>206</v>
      </c>
      <c r="C48" s="116"/>
      <c r="D48" s="116"/>
      <c r="E48" s="116"/>
      <c r="F48" s="96">
        <v>0</v>
      </c>
      <c r="G48" s="116"/>
      <c r="H48" s="116"/>
      <c r="I48" s="116"/>
      <c r="J48" s="116">
        <f t="shared" si="3"/>
        <v>0</v>
      </c>
      <c r="K48" s="100"/>
      <c r="L48" s="101"/>
    </row>
    <row r="49" spans="1:12" ht="18" hidden="1" customHeight="1" x14ac:dyDescent="0.25">
      <c r="A49" s="120">
        <v>15799</v>
      </c>
      <c r="B49" s="115" t="s">
        <v>258</v>
      </c>
      <c r="C49" s="116"/>
      <c r="D49" s="116"/>
      <c r="E49" s="116"/>
      <c r="F49" s="96">
        <v>1547.56</v>
      </c>
      <c r="G49" s="116"/>
      <c r="H49" s="116"/>
      <c r="I49" s="116"/>
      <c r="J49" s="116">
        <f t="shared" si="3"/>
        <v>1547.56</v>
      </c>
      <c r="K49" s="100"/>
      <c r="L49" s="101"/>
    </row>
    <row r="50" spans="1:12" s="73" customFormat="1" ht="18" customHeight="1" x14ac:dyDescent="0.25">
      <c r="A50" s="121" t="s">
        <v>260</v>
      </c>
      <c r="B50" s="111" t="s">
        <v>263</v>
      </c>
      <c r="C50" s="112">
        <f>C51</f>
        <v>504575.28</v>
      </c>
      <c r="D50" s="122">
        <f t="shared" ref="D50:I50" si="4">D51</f>
        <v>0</v>
      </c>
      <c r="E50" s="122">
        <f t="shared" si="4"/>
        <v>0</v>
      </c>
      <c r="F50" s="122">
        <f t="shared" si="4"/>
        <v>0</v>
      </c>
      <c r="G50" s="122">
        <f t="shared" si="4"/>
        <v>0</v>
      </c>
      <c r="H50" s="122">
        <f t="shared" si="4"/>
        <v>0</v>
      </c>
      <c r="I50" s="122">
        <f t="shared" si="4"/>
        <v>0</v>
      </c>
      <c r="J50" s="112">
        <f>J51</f>
        <v>504575.28</v>
      </c>
      <c r="K50" s="102"/>
      <c r="L50" s="103"/>
    </row>
    <row r="51" spans="1:12" ht="29.25" hidden="1" customHeight="1" x14ac:dyDescent="0.2">
      <c r="A51" s="120" t="s">
        <v>261</v>
      </c>
      <c r="B51" s="115" t="s">
        <v>262</v>
      </c>
      <c r="C51" s="116">
        <f>C52++C55+C58</f>
        <v>504575.28</v>
      </c>
      <c r="D51" s="123"/>
      <c r="E51" s="123">
        <f t="shared" ref="E51:I51" si="5">E52++E55+E58</f>
        <v>0</v>
      </c>
      <c r="F51" s="123">
        <f t="shared" si="5"/>
        <v>0</v>
      </c>
      <c r="G51" s="123">
        <f t="shared" si="5"/>
        <v>0</v>
      </c>
      <c r="H51" s="123">
        <f t="shared" si="5"/>
        <v>0</v>
      </c>
      <c r="I51" s="123">
        <f t="shared" si="5"/>
        <v>0</v>
      </c>
      <c r="J51" s="116">
        <f t="shared" ref="J51" si="6">C51+D51+E51+F51+G51+H51+I51</f>
        <v>504575.28</v>
      </c>
      <c r="K51" s="100"/>
      <c r="L51" s="101"/>
    </row>
    <row r="52" spans="1:12" ht="18" hidden="1" customHeight="1" x14ac:dyDescent="0.2">
      <c r="A52" s="119" t="s">
        <v>205</v>
      </c>
      <c r="B52" s="124" t="s">
        <v>204</v>
      </c>
      <c r="C52" s="125">
        <v>504575.28</v>
      </c>
      <c r="D52" s="126"/>
      <c r="E52" s="127"/>
      <c r="F52" s="127"/>
      <c r="G52" s="127"/>
      <c r="H52" s="127"/>
      <c r="I52" s="127"/>
      <c r="J52" s="127">
        <f>J53</f>
        <v>1513725.9</v>
      </c>
      <c r="K52" s="106"/>
      <c r="L52" s="106"/>
    </row>
    <row r="53" spans="1:12" ht="18" customHeight="1" thickBot="1" x14ac:dyDescent="0.3">
      <c r="A53" s="121" t="s">
        <v>264</v>
      </c>
      <c r="B53" s="128" t="s">
        <v>265</v>
      </c>
      <c r="C53" s="129"/>
      <c r="D53" s="129">
        <f>D54</f>
        <v>1513725.9</v>
      </c>
      <c r="E53" s="130"/>
      <c r="F53" s="130"/>
      <c r="G53" s="130"/>
      <c r="H53" s="130"/>
      <c r="I53" s="130"/>
      <c r="J53" s="130">
        <f>J54</f>
        <v>1513725.9</v>
      </c>
      <c r="K53" s="106"/>
      <c r="L53" s="106"/>
    </row>
    <row r="54" spans="1:12" s="73" customFormat="1" ht="30" hidden="1" x14ac:dyDescent="0.25">
      <c r="A54" s="120" t="s">
        <v>266</v>
      </c>
      <c r="B54" s="131" t="s">
        <v>267</v>
      </c>
      <c r="C54" s="129"/>
      <c r="D54" s="129">
        <f>D55</f>
        <v>1513725.9</v>
      </c>
      <c r="E54" s="130"/>
      <c r="F54" s="130"/>
      <c r="G54" s="130"/>
      <c r="H54" s="130"/>
      <c r="I54" s="130"/>
      <c r="J54" s="132">
        <f>J55</f>
        <v>1513725.9</v>
      </c>
      <c r="K54" s="107"/>
      <c r="L54" s="107"/>
    </row>
    <row r="55" spans="1:12" ht="18" hidden="1" customHeight="1" x14ac:dyDescent="0.2">
      <c r="A55" s="120" t="s">
        <v>203</v>
      </c>
      <c r="B55" s="131" t="s">
        <v>202</v>
      </c>
      <c r="C55" s="125"/>
      <c r="D55" s="125">
        <v>1513725.9</v>
      </c>
      <c r="E55" s="132">
        <v>0</v>
      </c>
      <c r="F55" s="132"/>
      <c r="G55" s="132"/>
      <c r="H55" s="132"/>
      <c r="I55" s="132"/>
      <c r="J55" s="132">
        <f t="shared" ref="J55" si="7">SUM(C55:I55)</f>
        <v>1513725.9</v>
      </c>
      <c r="K55" s="106"/>
      <c r="L55" s="106"/>
    </row>
    <row r="56" spans="1:12" s="73" customFormat="1" ht="18" hidden="1" customHeight="1" x14ac:dyDescent="0.25">
      <c r="A56" s="136" t="s">
        <v>269</v>
      </c>
      <c r="B56" s="137" t="s">
        <v>270</v>
      </c>
      <c r="C56" s="138"/>
      <c r="D56" s="138"/>
      <c r="E56" s="139"/>
      <c r="F56" s="139"/>
      <c r="G56" s="139"/>
      <c r="H56" s="139"/>
      <c r="I56" s="139"/>
      <c r="J56" s="139">
        <f>J57</f>
        <v>0</v>
      </c>
      <c r="K56" s="107"/>
      <c r="L56" s="107"/>
    </row>
    <row r="57" spans="1:12" ht="18" hidden="1" customHeight="1" x14ac:dyDescent="0.2">
      <c r="A57" s="140" t="s">
        <v>271</v>
      </c>
      <c r="B57" s="141" t="s">
        <v>272</v>
      </c>
      <c r="C57" s="142"/>
      <c r="D57" s="142"/>
      <c r="E57" s="143"/>
      <c r="F57" s="143"/>
      <c r="G57" s="143"/>
      <c r="H57" s="143"/>
      <c r="I57" s="143"/>
      <c r="J57" s="143">
        <f>J58+J59+J60</f>
        <v>0</v>
      </c>
      <c r="K57" s="106"/>
      <c r="L57" s="106"/>
    </row>
    <row r="58" spans="1:12" ht="18" hidden="1" customHeight="1" x14ac:dyDescent="0.25">
      <c r="A58" s="140" t="s">
        <v>201</v>
      </c>
      <c r="B58" s="141" t="s">
        <v>200</v>
      </c>
      <c r="C58" s="143"/>
      <c r="D58" s="143"/>
      <c r="E58" s="143"/>
      <c r="F58" s="143"/>
      <c r="G58" s="143"/>
      <c r="H58" s="143"/>
      <c r="I58" s="143"/>
      <c r="J58" s="143">
        <f t="shared" ref="J58:J60" si="8">C58+D58+E58+F58+G58+H58+I58</f>
        <v>0</v>
      </c>
      <c r="K58" s="108">
        <f>SUM(C58:J58)</f>
        <v>0</v>
      </c>
      <c r="L58" s="109"/>
    </row>
    <row r="59" spans="1:12" ht="18" hidden="1" customHeight="1" x14ac:dyDescent="0.2">
      <c r="A59" s="140" t="s">
        <v>201</v>
      </c>
      <c r="B59" s="141" t="s">
        <v>200</v>
      </c>
      <c r="C59" s="143"/>
      <c r="D59" s="143"/>
      <c r="E59" s="143"/>
      <c r="F59" s="143"/>
      <c r="G59" s="143"/>
      <c r="H59" s="143"/>
      <c r="I59" s="143"/>
      <c r="J59" s="143">
        <f t="shared" si="8"/>
        <v>0</v>
      </c>
      <c r="K59" s="108"/>
      <c r="L59" s="106"/>
    </row>
    <row r="60" spans="1:12" ht="30.75" hidden="1" thickBot="1" x14ac:dyDescent="0.25">
      <c r="A60" s="144" t="s">
        <v>199</v>
      </c>
      <c r="B60" s="141" t="s">
        <v>198</v>
      </c>
      <c r="C60" s="143"/>
      <c r="D60" s="143"/>
      <c r="E60" s="143"/>
      <c r="F60" s="143"/>
      <c r="G60" s="143"/>
      <c r="H60" s="143"/>
      <c r="I60" s="143"/>
      <c r="J60" s="143">
        <f t="shared" si="8"/>
        <v>0</v>
      </c>
      <c r="K60" s="106"/>
      <c r="L60" s="106"/>
    </row>
    <row r="61" spans="1:12" s="73" customFormat="1" ht="24.95" customHeight="1" thickBot="1" x14ac:dyDescent="0.3">
      <c r="A61" s="79"/>
      <c r="B61" s="133" t="s">
        <v>197</v>
      </c>
      <c r="C61" s="134">
        <f>SUM(C52:C60)</f>
        <v>504575.28</v>
      </c>
      <c r="D61" s="134">
        <f>D53</f>
        <v>1513725.9</v>
      </c>
      <c r="E61" s="134">
        <f>SUM(E52:E60)</f>
        <v>0</v>
      </c>
      <c r="F61" s="134">
        <f>F9+F16+F34+F39</f>
        <v>434063.79</v>
      </c>
      <c r="G61" s="134">
        <f>SUM(G52:G60)</f>
        <v>0</v>
      </c>
      <c r="H61" s="134">
        <f>SUM(H52:H60)</f>
        <v>0</v>
      </c>
      <c r="I61" s="134">
        <f>SUM(I52:I60)</f>
        <v>0</v>
      </c>
      <c r="J61" s="135">
        <f>SUM(C61:I61)</f>
        <v>2452364.9699999997</v>
      </c>
      <c r="K61" s="102"/>
      <c r="L61" s="103"/>
    </row>
    <row r="62" spans="1:12" ht="15" customHeight="1" x14ac:dyDescent="0.3">
      <c r="A62" s="78"/>
      <c r="B62" s="77"/>
      <c r="E62" s="263"/>
    </row>
    <row r="63" spans="1:12" s="73" customFormat="1" ht="20.25" customHeight="1" x14ac:dyDescent="0.35">
      <c r="A63" s="76" t="s">
        <v>196</v>
      </c>
      <c r="B63" s="94"/>
      <c r="C63" s="147"/>
      <c r="D63" s="147"/>
      <c r="E63" s="75"/>
      <c r="F63" s="189"/>
      <c r="G63" s="75"/>
      <c r="H63" s="75"/>
      <c r="I63" s="75"/>
      <c r="J63" s="70"/>
      <c r="K63" s="74"/>
    </row>
    <row r="64" spans="1:12" x14ac:dyDescent="0.3">
      <c r="A64" s="630" t="s">
        <v>195</v>
      </c>
      <c r="B64" s="630"/>
      <c r="C64" s="630"/>
      <c r="D64" s="630"/>
      <c r="E64" s="630"/>
      <c r="F64" s="630"/>
    </row>
    <row r="65" spans="1:6" x14ac:dyDescent="0.3">
      <c r="A65" s="630" t="s">
        <v>194</v>
      </c>
      <c r="B65" s="630"/>
      <c r="C65" s="630"/>
      <c r="D65" s="630"/>
      <c r="E65" s="630"/>
      <c r="F65" s="630"/>
    </row>
    <row r="66" spans="1:6" x14ac:dyDescent="0.3">
      <c r="A66" s="630" t="s">
        <v>193</v>
      </c>
      <c r="B66" s="630"/>
      <c r="C66" s="630"/>
      <c r="D66" s="630"/>
      <c r="E66" s="630"/>
      <c r="F66" s="630"/>
    </row>
    <row r="67" spans="1:6" x14ac:dyDescent="0.3">
      <c r="A67" s="630" t="s">
        <v>192</v>
      </c>
      <c r="B67" s="630"/>
      <c r="C67" s="630"/>
      <c r="D67" s="630"/>
      <c r="E67" s="630"/>
      <c r="F67" s="630"/>
    </row>
    <row r="68" spans="1:6" x14ac:dyDescent="0.3">
      <c r="A68" s="630" t="s">
        <v>191</v>
      </c>
      <c r="B68" s="630"/>
      <c r="C68" s="630"/>
      <c r="D68" s="630"/>
      <c r="E68" s="630"/>
      <c r="F68" s="630"/>
    </row>
    <row r="69" spans="1:6" x14ac:dyDescent="0.3">
      <c r="A69" s="630" t="s">
        <v>190</v>
      </c>
      <c r="B69" s="630"/>
      <c r="C69" s="630"/>
      <c r="D69" s="630"/>
      <c r="E69" s="630"/>
      <c r="F69" s="630"/>
    </row>
  </sheetData>
  <mergeCells count="19">
    <mergeCell ref="A1:J1"/>
    <mergeCell ref="A2:J2"/>
    <mergeCell ref="A3:J3"/>
    <mergeCell ref="A5:J5"/>
    <mergeCell ref="A4:J4"/>
    <mergeCell ref="B6:B8"/>
    <mergeCell ref="A64:F64"/>
    <mergeCell ref="A69:F69"/>
    <mergeCell ref="A65:F65"/>
    <mergeCell ref="A66:F66"/>
    <mergeCell ref="A67:F67"/>
    <mergeCell ref="A68:F68"/>
    <mergeCell ref="C6:E6"/>
    <mergeCell ref="C7:D7"/>
    <mergeCell ref="I6:I8"/>
    <mergeCell ref="J6:J8"/>
    <mergeCell ref="F6:F8"/>
    <mergeCell ref="G6:G8"/>
    <mergeCell ref="H6:H8"/>
  </mergeCells>
  <printOptions horizontalCentered="1"/>
  <pageMargins left="0.55118110236220474" right="0.55118110236220474" top="0.59055118110236227" bottom="0.59055118110236227" header="0" footer="0"/>
  <pageSetup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35"/>
  <sheetViews>
    <sheetView zoomScale="180" zoomScaleNormal="180" workbookViewId="0">
      <selection activeCell="F136" sqref="F136"/>
    </sheetView>
  </sheetViews>
  <sheetFormatPr baseColWidth="10" defaultColWidth="14" defaultRowHeight="15" x14ac:dyDescent="0.25"/>
  <cols>
    <col min="1" max="1" width="7.7109375" customWidth="1"/>
    <col min="2" max="2" width="35.28515625" customWidth="1"/>
    <col min="3" max="6" width="14" customWidth="1"/>
    <col min="8" max="9" width="14" hidden="1" customWidth="1"/>
    <col min="10" max="10" width="16.28515625" hidden="1" customWidth="1"/>
    <col min="11" max="35" width="0" hidden="1" customWidth="1"/>
  </cols>
  <sheetData>
    <row r="1" spans="1:12" ht="23.25" x14ac:dyDescent="0.35">
      <c r="A1" s="647" t="s">
        <v>139</v>
      </c>
      <c r="B1" s="647"/>
      <c r="C1" s="647"/>
      <c r="D1" s="647"/>
      <c r="E1" s="647"/>
      <c r="F1" s="647"/>
      <c r="G1" s="647"/>
      <c r="H1" s="186"/>
      <c r="I1" s="186"/>
      <c r="J1" s="184"/>
    </row>
    <row r="2" spans="1:12" ht="23.25" x14ac:dyDescent="0.35">
      <c r="A2" s="647" t="s">
        <v>141</v>
      </c>
      <c r="B2" s="647"/>
      <c r="C2" s="647"/>
      <c r="D2" s="647"/>
      <c r="E2" s="647"/>
      <c r="F2" s="647"/>
      <c r="G2" s="647"/>
      <c r="H2" s="186"/>
      <c r="I2" s="186"/>
      <c r="J2" s="184"/>
    </row>
    <row r="3" spans="1:12" ht="23.25" x14ac:dyDescent="0.35">
      <c r="A3" s="647" t="s">
        <v>142</v>
      </c>
      <c r="B3" s="647"/>
      <c r="C3" s="647"/>
      <c r="D3" s="647"/>
      <c r="E3" s="647"/>
      <c r="F3" s="647"/>
      <c r="G3" s="647"/>
      <c r="H3" s="186"/>
      <c r="I3" s="186"/>
      <c r="J3" s="184"/>
    </row>
    <row r="4" spans="1:12" ht="15.75" thickBot="1" x14ac:dyDescent="0.3"/>
    <row r="5" spans="1:12" ht="15.75" thickBot="1" x14ac:dyDescent="0.3">
      <c r="A5" s="16"/>
      <c r="B5" s="1"/>
      <c r="C5" s="648" t="s">
        <v>26</v>
      </c>
      <c r="D5" s="649"/>
      <c r="E5" s="649"/>
      <c r="F5" s="649"/>
      <c r="G5" s="650"/>
      <c r="H5" s="185"/>
      <c r="I5" s="185"/>
      <c r="J5" s="183"/>
    </row>
    <row r="6" spans="1:12" x14ac:dyDescent="0.25">
      <c r="A6" s="17"/>
      <c r="B6" s="2"/>
      <c r="C6" s="641" t="s">
        <v>25</v>
      </c>
      <c r="D6" s="641"/>
      <c r="E6" s="641"/>
      <c r="F6" s="641"/>
      <c r="G6" s="642"/>
      <c r="H6" s="185"/>
      <c r="I6" s="185"/>
      <c r="J6" s="183"/>
    </row>
    <row r="7" spans="1:12" x14ac:dyDescent="0.25">
      <c r="A7" s="53" t="s">
        <v>28</v>
      </c>
      <c r="B7" s="54" t="s">
        <v>27</v>
      </c>
      <c r="C7" s="643" t="s">
        <v>2</v>
      </c>
      <c r="D7" s="643"/>
      <c r="E7" s="643"/>
      <c r="F7" s="643"/>
      <c r="G7" s="644"/>
      <c r="H7" s="185"/>
      <c r="I7" s="185"/>
      <c r="J7" s="183"/>
    </row>
    <row r="8" spans="1:12" x14ac:dyDescent="0.25">
      <c r="A8" s="17"/>
      <c r="B8" s="2"/>
      <c r="C8" s="645" t="s">
        <v>24</v>
      </c>
      <c r="D8" s="645"/>
      <c r="E8" s="645"/>
      <c r="F8" s="645"/>
      <c r="G8" s="646"/>
      <c r="H8" s="185"/>
      <c r="I8" s="185"/>
      <c r="J8" s="183"/>
    </row>
    <row r="9" spans="1:12" ht="25.5" thickBot="1" x14ac:dyDescent="0.3">
      <c r="A9" s="18"/>
      <c r="B9" s="3"/>
      <c r="C9" s="15" t="s">
        <v>6</v>
      </c>
      <c r="D9" s="10" t="s">
        <v>7</v>
      </c>
      <c r="E9" s="10" t="s">
        <v>8</v>
      </c>
      <c r="F9" s="10" t="s">
        <v>9</v>
      </c>
      <c r="G9" s="58" t="s">
        <v>10</v>
      </c>
      <c r="H9" s="191"/>
      <c r="I9" s="191"/>
      <c r="J9" s="191" t="s">
        <v>284</v>
      </c>
    </row>
    <row r="10" spans="1:12" s="552" customFormat="1" x14ac:dyDescent="0.25">
      <c r="A10" s="548">
        <v>51</v>
      </c>
      <c r="B10" s="549" t="s">
        <v>30</v>
      </c>
      <c r="C10" s="550">
        <f>C11+C15+C19+C22+C28+C31+C25</f>
        <v>96450</v>
      </c>
      <c r="D10" s="550">
        <f>D11+D15+D19+D22+D28+D31+D25</f>
        <v>98188.9</v>
      </c>
      <c r="E10" s="550">
        <f>E11+E15+E19+E22+E28+E31+E25</f>
        <v>27200</v>
      </c>
      <c r="F10" s="550">
        <f>F11+F15+F19+F22+F28+F31+F25</f>
        <v>94688.8</v>
      </c>
      <c r="G10" s="547">
        <f>G11+G15+G19+G22+G28+G31+G25</f>
        <v>316527.7</v>
      </c>
      <c r="H10" s="551"/>
      <c r="I10" s="551"/>
    </row>
    <row r="11" spans="1:12" x14ac:dyDescent="0.25">
      <c r="A11" s="59">
        <v>511</v>
      </c>
      <c r="B11" s="25" t="s">
        <v>31</v>
      </c>
      <c r="C11" s="31">
        <f>C12+C13+C14</f>
        <v>96250</v>
      </c>
      <c r="D11" s="31">
        <f t="shared" ref="D11:F11" si="0">D12+D13+D14</f>
        <v>98188.9</v>
      </c>
      <c r="E11" s="31">
        <f t="shared" si="0"/>
        <v>27200</v>
      </c>
      <c r="F11" s="31">
        <f t="shared" si="0"/>
        <v>94688.8</v>
      </c>
      <c r="G11" s="547">
        <f>G12+G13+G14</f>
        <v>316327.7</v>
      </c>
      <c r="H11" s="192"/>
      <c r="I11" s="192"/>
      <c r="J11" s="192"/>
    </row>
    <row r="12" spans="1:12" hidden="1" x14ac:dyDescent="0.25">
      <c r="A12" s="436">
        <v>51101</v>
      </c>
      <c r="B12" s="430" t="s">
        <v>32</v>
      </c>
      <c r="C12" s="431">
        <v>38025</v>
      </c>
      <c r="D12" s="431">
        <f>89315.01-1050</f>
        <v>88265.01</v>
      </c>
      <c r="E12" s="431">
        <v>24480</v>
      </c>
      <c r="F12" s="431">
        <f>84654-11250</f>
        <v>73404</v>
      </c>
      <c r="G12" s="432">
        <f>C12+D12+E12+F12</f>
        <v>224174.01</v>
      </c>
      <c r="H12" s="193"/>
      <c r="I12" s="193"/>
      <c r="J12" s="193" t="s">
        <v>294</v>
      </c>
      <c r="K12" s="188">
        <f>(41755.31*12)/2</f>
        <v>250531.86</v>
      </c>
      <c r="L12" s="187"/>
    </row>
    <row r="13" spans="1:12" hidden="1" x14ac:dyDescent="0.25">
      <c r="A13" s="436">
        <v>51103</v>
      </c>
      <c r="B13" s="430" t="s">
        <v>33</v>
      </c>
      <c r="C13" s="431">
        <v>4225</v>
      </c>
      <c r="D13" s="431">
        <v>9923.89</v>
      </c>
      <c r="E13" s="431">
        <v>2720</v>
      </c>
      <c r="F13" s="431">
        <f>9406+11878.8</f>
        <v>21284.799999999999</v>
      </c>
      <c r="G13" s="432">
        <f>C13+D13+E13+F13</f>
        <v>38153.69</v>
      </c>
      <c r="H13" s="202"/>
      <c r="I13" s="202"/>
      <c r="J13" s="202"/>
    </row>
    <row r="14" spans="1:12" hidden="1" x14ac:dyDescent="0.25">
      <c r="A14" s="436">
        <v>51105</v>
      </c>
      <c r="B14" s="430" t="s">
        <v>34</v>
      </c>
      <c r="C14" s="431">
        <f>48000+6000</f>
        <v>54000</v>
      </c>
      <c r="D14" s="431"/>
      <c r="E14" s="431"/>
      <c r="F14" s="431"/>
      <c r="G14" s="432">
        <f>C14+D14+E14+F14</f>
        <v>54000</v>
      </c>
      <c r="H14" s="202"/>
      <c r="I14" s="202"/>
      <c r="J14" s="194"/>
      <c r="K14" s="187">
        <f>8*500*11</f>
        <v>44000</v>
      </c>
    </row>
    <row r="15" spans="1:12" x14ac:dyDescent="0.25">
      <c r="A15" s="59">
        <v>512</v>
      </c>
      <c r="B15" s="25" t="s">
        <v>35</v>
      </c>
      <c r="C15" s="31">
        <f>C16+C17+C18</f>
        <v>100</v>
      </c>
      <c r="D15" s="31">
        <f>D16+D17+D18</f>
        <v>0</v>
      </c>
      <c r="E15" s="31">
        <f>E16+E17+E18</f>
        <v>0</v>
      </c>
      <c r="F15" s="31">
        <f>F16+F17+F18</f>
        <v>0</v>
      </c>
      <c r="G15" s="36">
        <f>G16+G17+G18</f>
        <v>100</v>
      </c>
      <c r="H15" s="195"/>
      <c r="I15" s="195"/>
      <c r="J15" s="195"/>
    </row>
    <row r="16" spans="1:12" hidden="1" x14ac:dyDescent="0.25">
      <c r="A16" s="60">
        <v>51201</v>
      </c>
      <c r="B16" s="7" t="s">
        <v>32</v>
      </c>
      <c r="C16" s="19">
        <v>100</v>
      </c>
      <c r="D16" s="19"/>
      <c r="E16" s="19"/>
      <c r="F16" s="19"/>
      <c r="G16" s="48">
        <f>C16+D16+E16+F16</f>
        <v>100</v>
      </c>
      <c r="H16" s="194"/>
      <c r="I16" s="194"/>
      <c r="J16" s="194"/>
      <c r="K16">
        <f>7200/12</f>
        <v>600</v>
      </c>
    </row>
    <row r="17" spans="1:10" hidden="1" x14ac:dyDescent="0.25">
      <c r="A17" s="60">
        <v>51202</v>
      </c>
      <c r="B17" s="7" t="s">
        <v>36</v>
      </c>
      <c r="C17" s="19"/>
      <c r="D17" s="19"/>
      <c r="E17" s="19"/>
      <c r="F17" s="19"/>
      <c r="G17" s="48">
        <f t="shared" ref="G17:G82" si="1">C17+D17+E17+F17</f>
        <v>0</v>
      </c>
      <c r="H17" s="194"/>
      <c r="I17" s="194"/>
      <c r="J17" s="194"/>
    </row>
    <row r="18" spans="1:10" hidden="1" x14ac:dyDescent="0.25">
      <c r="A18" s="60">
        <v>51203</v>
      </c>
      <c r="B18" s="7" t="s">
        <v>33</v>
      </c>
      <c r="C18" s="19"/>
      <c r="D18" s="19"/>
      <c r="E18" s="19"/>
      <c r="F18" s="19"/>
      <c r="G18" s="48">
        <f t="shared" si="1"/>
        <v>0</v>
      </c>
      <c r="H18" s="194"/>
      <c r="I18" s="194"/>
      <c r="J18" s="194"/>
    </row>
    <row r="19" spans="1:10" x14ac:dyDescent="0.25">
      <c r="A19" s="59">
        <v>514</v>
      </c>
      <c r="B19" s="25" t="s">
        <v>37</v>
      </c>
      <c r="C19" s="31">
        <f>C20+C21</f>
        <v>0</v>
      </c>
      <c r="D19" s="31">
        <f t="shared" ref="D19:G19" si="2">D20+D21</f>
        <v>0</v>
      </c>
      <c r="E19" s="31">
        <f t="shared" si="2"/>
        <v>0</v>
      </c>
      <c r="F19" s="31">
        <f t="shared" si="2"/>
        <v>0</v>
      </c>
      <c r="G19" s="36">
        <f t="shared" si="2"/>
        <v>0</v>
      </c>
      <c r="H19" s="195"/>
      <c r="I19" s="195"/>
      <c r="J19" s="195"/>
    </row>
    <row r="20" spans="1:10" hidden="1" x14ac:dyDescent="0.25">
      <c r="A20" s="60">
        <v>51401</v>
      </c>
      <c r="B20" s="7" t="s">
        <v>38</v>
      </c>
      <c r="C20" s="19">
        <v>0</v>
      </c>
      <c r="D20" s="19">
        <v>0</v>
      </c>
      <c r="E20" s="19">
        <v>0</v>
      </c>
      <c r="F20" s="19">
        <v>0</v>
      </c>
      <c r="G20" s="48">
        <f t="shared" si="1"/>
        <v>0</v>
      </c>
      <c r="H20" s="194"/>
      <c r="I20" s="194"/>
      <c r="J20" s="194"/>
    </row>
    <row r="21" spans="1:10" hidden="1" x14ac:dyDescent="0.25">
      <c r="A21" s="60">
        <v>51402</v>
      </c>
      <c r="B21" s="7" t="s">
        <v>39</v>
      </c>
      <c r="C21" s="19"/>
      <c r="D21" s="19"/>
      <c r="E21" s="19"/>
      <c r="F21" s="19"/>
      <c r="G21" s="48">
        <f t="shared" si="1"/>
        <v>0</v>
      </c>
      <c r="H21" s="194"/>
      <c r="I21" s="194"/>
      <c r="J21" s="194"/>
    </row>
    <row r="22" spans="1:10" x14ac:dyDescent="0.25">
      <c r="A22" s="59">
        <v>515</v>
      </c>
      <c r="B22" s="25" t="s">
        <v>40</v>
      </c>
      <c r="C22" s="31">
        <f>C23+C24</f>
        <v>0</v>
      </c>
      <c r="D22" s="31">
        <f t="shared" ref="D22:G22" si="3">D23+D24</f>
        <v>0</v>
      </c>
      <c r="E22" s="31">
        <f t="shared" si="3"/>
        <v>0</v>
      </c>
      <c r="F22" s="31">
        <f t="shared" si="3"/>
        <v>0</v>
      </c>
      <c r="G22" s="36">
        <f t="shared" si="3"/>
        <v>0</v>
      </c>
      <c r="H22" s="195"/>
      <c r="I22" s="195"/>
      <c r="J22" s="195"/>
    </row>
    <row r="23" spans="1:10" hidden="1" x14ac:dyDescent="0.25">
      <c r="A23" s="60">
        <v>51501</v>
      </c>
      <c r="B23" s="7" t="s">
        <v>38</v>
      </c>
      <c r="C23" s="19"/>
      <c r="D23" s="19"/>
      <c r="E23" s="19"/>
      <c r="F23" s="19"/>
      <c r="G23" s="48">
        <f t="shared" si="1"/>
        <v>0</v>
      </c>
      <c r="H23" s="194"/>
      <c r="I23" s="194"/>
      <c r="J23" s="194"/>
    </row>
    <row r="24" spans="1:10" hidden="1" x14ac:dyDescent="0.25">
      <c r="A24" s="60">
        <v>51502</v>
      </c>
      <c r="B24" s="7" t="s">
        <v>39</v>
      </c>
      <c r="C24" s="19"/>
      <c r="D24" s="19"/>
      <c r="E24" s="19"/>
      <c r="F24" s="19"/>
      <c r="G24" s="48">
        <f t="shared" si="1"/>
        <v>0</v>
      </c>
      <c r="H24" s="194"/>
      <c r="I24" s="194"/>
      <c r="J24" s="194"/>
    </row>
    <row r="25" spans="1:10" x14ac:dyDescent="0.25">
      <c r="A25" s="59">
        <v>517</v>
      </c>
      <c r="B25" s="25" t="s">
        <v>85</v>
      </c>
      <c r="C25" s="31">
        <f>C26+C27</f>
        <v>0</v>
      </c>
      <c r="D25" s="31">
        <f>D26+D27</f>
        <v>0</v>
      </c>
      <c r="E25" s="31">
        <f t="shared" ref="E25:G25" si="4">E26+E27</f>
        <v>0</v>
      </c>
      <c r="F25" s="31">
        <f t="shared" si="4"/>
        <v>0</v>
      </c>
      <c r="G25" s="36">
        <f t="shared" si="4"/>
        <v>0</v>
      </c>
      <c r="H25" s="195"/>
      <c r="I25" s="195"/>
      <c r="J25" s="195"/>
    </row>
    <row r="26" spans="1:10" hidden="1" x14ac:dyDescent="0.25">
      <c r="A26" s="60">
        <v>51701</v>
      </c>
      <c r="B26" s="7" t="s">
        <v>135</v>
      </c>
      <c r="C26" s="19"/>
      <c r="D26" s="19">
        <v>0</v>
      </c>
      <c r="E26" s="19">
        <v>0</v>
      </c>
      <c r="F26" s="19">
        <v>0</v>
      </c>
      <c r="G26" s="41">
        <v>0</v>
      </c>
      <c r="H26" s="196"/>
      <c r="I26" s="196"/>
      <c r="J26" s="196"/>
    </row>
    <row r="27" spans="1:10" hidden="1" x14ac:dyDescent="0.25">
      <c r="A27" s="60">
        <v>51702</v>
      </c>
      <c r="B27" s="7" t="s">
        <v>86</v>
      </c>
      <c r="C27" s="19"/>
      <c r="D27" s="19"/>
      <c r="E27" s="19"/>
      <c r="F27" s="19"/>
      <c r="G27" s="41">
        <v>0</v>
      </c>
      <c r="H27" s="196"/>
      <c r="I27" s="196"/>
      <c r="J27" s="196"/>
    </row>
    <row r="28" spans="1:10" x14ac:dyDescent="0.25">
      <c r="A28" s="59">
        <v>516</v>
      </c>
      <c r="B28" s="25" t="s">
        <v>41</v>
      </c>
      <c r="C28" s="31">
        <f>C29+C30</f>
        <v>0</v>
      </c>
      <c r="D28" s="31">
        <f t="shared" ref="D28:G28" si="5">D29+D30</f>
        <v>0</v>
      </c>
      <c r="E28" s="31">
        <f t="shared" si="5"/>
        <v>0</v>
      </c>
      <c r="F28" s="31">
        <f t="shared" si="5"/>
        <v>0</v>
      </c>
      <c r="G28" s="36">
        <f t="shared" si="5"/>
        <v>0</v>
      </c>
      <c r="H28" s="195"/>
      <c r="I28" s="195"/>
      <c r="J28" s="195"/>
    </row>
    <row r="29" spans="1:10" hidden="1" x14ac:dyDescent="0.25">
      <c r="A29" s="60">
        <v>51601</v>
      </c>
      <c r="B29" s="7" t="s">
        <v>42</v>
      </c>
      <c r="C29" s="19"/>
      <c r="D29" s="19"/>
      <c r="E29" s="19"/>
      <c r="F29" s="19"/>
      <c r="G29" s="48">
        <f t="shared" si="1"/>
        <v>0</v>
      </c>
      <c r="H29" s="194"/>
      <c r="I29" s="194"/>
      <c r="J29" s="194"/>
    </row>
    <row r="30" spans="1:10" hidden="1" x14ac:dyDescent="0.25">
      <c r="A30" s="60">
        <v>51602</v>
      </c>
      <c r="B30" s="7" t="s">
        <v>43</v>
      </c>
      <c r="C30" s="19"/>
      <c r="D30" s="19"/>
      <c r="E30" s="19"/>
      <c r="F30" s="19"/>
      <c r="G30" s="48">
        <f t="shared" si="1"/>
        <v>0</v>
      </c>
      <c r="H30" s="194"/>
      <c r="I30" s="194"/>
      <c r="J30" s="194"/>
    </row>
    <row r="31" spans="1:10" x14ac:dyDescent="0.25">
      <c r="A31" s="59">
        <v>519</v>
      </c>
      <c r="B31" s="25" t="s">
        <v>44</v>
      </c>
      <c r="C31" s="31">
        <f>C32</f>
        <v>100</v>
      </c>
      <c r="D31" s="31">
        <f t="shared" ref="D31:F31" si="6">D32</f>
        <v>0</v>
      </c>
      <c r="E31" s="31">
        <f t="shared" si="6"/>
        <v>0</v>
      </c>
      <c r="F31" s="31">
        <f t="shared" si="6"/>
        <v>0</v>
      </c>
      <c r="G31" s="36">
        <f>G32</f>
        <v>100</v>
      </c>
      <c r="H31" s="195"/>
      <c r="I31" s="195"/>
      <c r="J31" s="195"/>
    </row>
    <row r="32" spans="1:10" hidden="1" x14ac:dyDescent="0.25">
      <c r="A32" s="60">
        <v>51901</v>
      </c>
      <c r="B32" s="7" t="s">
        <v>45</v>
      </c>
      <c r="C32" s="19">
        <v>100</v>
      </c>
      <c r="D32" s="19"/>
      <c r="E32" s="19"/>
      <c r="F32" s="19"/>
      <c r="G32" s="48">
        <f>C32+D32+E32+F32</f>
        <v>100</v>
      </c>
      <c r="H32" s="194"/>
      <c r="I32" s="194"/>
      <c r="J32" s="194"/>
    </row>
    <row r="33" spans="1:12" x14ac:dyDescent="0.25">
      <c r="A33" s="59">
        <v>54</v>
      </c>
      <c r="B33" s="25" t="s">
        <v>46</v>
      </c>
      <c r="C33" s="31">
        <f>C34+C54+C60</f>
        <v>167473.26</v>
      </c>
      <c r="D33" s="31">
        <f>D34+D54+D60</f>
        <v>3000</v>
      </c>
      <c r="E33" s="31">
        <f>E34+E54+E60</f>
        <v>1000</v>
      </c>
      <c r="F33" s="31">
        <f>F34+F54+F60</f>
        <v>4000</v>
      </c>
      <c r="G33" s="36">
        <f>G34+G54+G60+G71+G81+G75</f>
        <v>175473.26</v>
      </c>
      <c r="H33" s="195"/>
      <c r="I33" s="195"/>
      <c r="J33" s="195"/>
    </row>
    <row r="34" spans="1:12" x14ac:dyDescent="0.25">
      <c r="A34" s="59">
        <v>541</v>
      </c>
      <c r="B34" s="25" t="s">
        <v>47</v>
      </c>
      <c r="C34" s="31">
        <f>SUM(C35:C53)</f>
        <v>20706.14</v>
      </c>
      <c r="D34" s="31">
        <f>SUM(D35:D53)</f>
        <v>3000</v>
      </c>
      <c r="E34" s="31">
        <f>SUM(E35:E53)</f>
        <v>1000</v>
      </c>
      <c r="F34" s="31">
        <f>SUM(F35:F53)</f>
        <v>4000</v>
      </c>
      <c r="G34" s="36">
        <f>SUM(G35:G53)</f>
        <v>28706.14</v>
      </c>
      <c r="H34" s="195"/>
      <c r="I34" s="195"/>
      <c r="J34" s="195"/>
    </row>
    <row r="35" spans="1:12" hidden="1" x14ac:dyDescent="0.25">
      <c r="A35" s="60">
        <v>54101</v>
      </c>
      <c r="B35" s="7" t="s">
        <v>48</v>
      </c>
      <c r="C35" s="19"/>
      <c r="D35" s="19"/>
      <c r="E35" s="19"/>
      <c r="F35" s="19"/>
      <c r="G35" s="48">
        <f t="shared" si="1"/>
        <v>0</v>
      </c>
      <c r="H35" s="194"/>
      <c r="I35" s="194"/>
      <c r="J35" s="194"/>
    </row>
    <row r="36" spans="1:12" hidden="1" x14ac:dyDescent="0.25">
      <c r="A36" s="60">
        <v>54103</v>
      </c>
      <c r="B36" s="7" t="s">
        <v>49</v>
      </c>
      <c r="C36" s="19"/>
      <c r="D36" s="19"/>
      <c r="E36" s="19"/>
      <c r="F36" s="19"/>
      <c r="G36" s="48">
        <f t="shared" si="1"/>
        <v>0</v>
      </c>
      <c r="H36" s="194"/>
      <c r="I36" s="194"/>
      <c r="J36" s="194"/>
    </row>
    <row r="37" spans="1:12" hidden="1" x14ac:dyDescent="0.25">
      <c r="A37" s="201">
        <v>54104</v>
      </c>
      <c r="B37" s="145" t="s">
        <v>50</v>
      </c>
      <c r="C37" s="146">
        <v>1000</v>
      </c>
      <c r="D37" s="146"/>
      <c r="E37" s="146"/>
      <c r="F37" s="146"/>
      <c r="G37" s="153">
        <f>C37+D37+E37+F37</f>
        <v>1000</v>
      </c>
      <c r="H37" s="202"/>
      <c r="I37" s="202"/>
      <c r="J37" s="194">
        <v>3769</v>
      </c>
      <c r="K37" s="187">
        <f>G37-J37</f>
        <v>-2769</v>
      </c>
    </row>
    <row r="38" spans="1:12" hidden="1" x14ac:dyDescent="0.25">
      <c r="A38" s="436">
        <v>54105</v>
      </c>
      <c r="B38" s="430" t="s">
        <v>51</v>
      </c>
      <c r="C38" s="431">
        <v>2500</v>
      </c>
      <c r="D38" s="431"/>
      <c r="E38" s="431"/>
      <c r="F38" s="431"/>
      <c r="G38" s="432">
        <f>C38+D38+E38+F38</f>
        <v>2500</v>
      </c>
      <c r="H38" s="194"/>
      <c r="I38" s="194"/>
      <c r="J38" s="194"/>
      <c r="K38" s="187">
        <f t="shared" ref="K38:K101" si="7">G38-J38</f>
        <v>2500</v>
      </c>
    </row>
    <row r="39" spans="1:12" hidden="1" x14ac:dyDescent="0.25">
      <c r="A39" s="60">
        <v>54106</v>
      </c>
      <c r="B39" s="7" t="s">
        <v>52</v>
      </c>
      <c r="C39" s="19"/>
      <c r="D39" s="19"/>
      <c r="E39" s="19"/>
      <c r="F39" s="19"/>
      <c r="G39" s="48">
        <f t="shared" si="1"/>
        <v>0</v>
      </c>
      <c r="H39" s="194"/>
      <c r="I39" s="194"/>
      <c r="J39" s="194"/>
      <c r="K39" s="187">
        <f t="shared" si="7"/>
        <v>0</v>
      </c>
    </row>
    <row r="40" spans="1:12" hidden="1" x14ac:dyDescent="0.25">
      <c r="A40" s="60">
        <v>54107</v>
      </c>
      <c r="B40" s="7" t="s">
        <v>53</v>
      </c>
      <c r="C40" s="19"/>
      <c r="D40" s="19"/>
      <c r="E40" s="19"/>
      <c r="F40" s="19"/>
      <c r="G40" s="48">
        <f t="shared" si="1"/>
        <v>0</v>
      </c>
      <c r="H40" s="194"/>
      <c r="I40" s="194"/>
      <c r="J40" s="194"/>
      <c r="K40" s="187">
        <f t="shared" si="7"/>
        <v>0</v>
      </c>
    </row>
    <row r="41" spans="1:12" hidden="1" x14ac:dyDescent="0.25">
      <c r="A41" s="60">
        <v>54108</v>
      </c>
      <c r="B41" s="7" t="s">
        <v>54</v>
      </c>
      <c r="C41" s="19"/>
      <c r="D41" s="19"/>
      <c r="E41" s="19"/>
      <c r="F41" s="19"/>
      <c r="G41" s="48">
        <f t="shared" si="1"/>
        <v>0</v>
      </c>
      <c r="H41" s="194"/>
      <c r="I41" s="194"/>
      <c r="J41" s="194"/>
      <c r="K41" s="187">
        <f t="shared" si="7"/>
        <v>0</v>
      </c>
    </row>
    <row r="42" spans="1:12" hidden="1" x14ac:dyDescent="0.25">
      <c r="A42" s="436">
        <v>54109</v>
      </c>
      <c r="B42" s="430" t="s">
        <v>55</v>
      </c>
      <c r="C42" s="431">
        <v>2000</v>
      </c>
      <c r="D42" s="431"/>
      <c r="E42" s="431"/>
      <c r="F42" s="431"/>
      <c r="G42" s="432">
        <f>C42+D42+E42+F42</f>
        <v>2000</v>
      </c>
      <c r="H42" s="194"/>
      <c r="I42" s="194"/>
      <c r="J42" s="194"/>
      <c r="K42" s="187">
        <f t="shared" si="7"/>
        <v>2000</v>
      </c>
    </row>
    <row r="43" spans="1:12" hidden="1" x14ac:dyDescent="0.25">
      <c r="A43" s="201">
        <v>54110</v>
      </c>
      <c r="B43" s="430" t="s">
        <v>56</v>
      </c>
      <c r="C43" s="431">
        <v>4000</v>
      </c>
      <c r="D43" s="431">
        <v>3000</v>
      </c>
      <c r="E43" s="431">
        <v>1000</v>
      </c>
      <c r="F43" s="431">
        <v>4000</v>
      </c>
      <c r="G43" s="432">
        <f>C43+D43+E43+F43</f>
        <v>12000</v>
      </c>
      <c r="H43" s="202"/>
      <c r="I43" s="202"/>
      <c r="J43" s="194">
        <v>2960</v>
      </c>
      <c r="K43" s="187">
        <f>G43-J43</f>
        <v>9040</v>
      </c>
      <c r="L43">
        <f>328.89*12</f>
        <v>3946.68</v>
      </c>
    </row>
    <row r="44" spans="1:12" hidden="1" x14ac:dyDescent="0.25">
      <c r="A44" s="60">
        <v>54111</v>
      </c>
      <c r="B44" s="7" t="s">
        <v>57</v>
      </c>
      <c r="C44" s="19"/>
      <c r="D44" s="19"/>
      <c r="E44" s="19"/>
      <c r="F44" s="19"/>
      <c r="G44" s="48">
        <f t="shared" si="1"/>
        <v>0</v>
      </c>
      <c r="H44" s="194"/>
      <c r="I44" s="194"/>
      <c r="J44" s="194"/>
      <c r="K44" s="187">
        <f t="shared" si="7"/>
        <v>0</v>
      </c>
    </row>
    <row r="45" spans="1:12" hidden="1" x14ac:dyDescent="0.25">
      <c r="A45" s="60">
        <v>54112</v>
      </c>
      <c r="B45" s="7" t="s">
        <v>58</v>
      </c>
      <c r="C45" s="19"/>
      <c r="D45" s="19"/>
      <c r="E45" s="19"/>
      <c r="F45" s="19"/>
      <c r="G45" s="48">
        <f t="shared" si="1"/>
        <v>0</v>
      </c>
      <c r="H45" s="194"/>
      <c r="I45" s="194"/>
      <c r="J45" s="194"/>
      <c r="K45" s="187">
        <f t="shared" si="7"/>
        <v>0</v>
      </c>
    </row>
    <row r="46" spans="1:12" hidden="1" x14ac:dyDescent="0.25">
      <c r="A46" s="436">
        <v>54114</v>
      </c>
      <c r="B46" s="430" t="s">
        <v>59</v>
      </c>
      <c r="C46" s="431">
        <v>500</v>
      </c>
      <c r="D46" s="431"/>
      <c r="E46" s="431"/>
      <c r="F46" s="431"/>
      <c r="G46" s="432">
        <f>C46+D46+E46+F46</f>
        <v>500</v>
      </c>
      <c r="H46" s="194"/>
      <c r="I46" s="194"/>
      <c r="J46" s="194">
        <v>175.97</v>
      </c>
      <c r="K46" s="187">
        <f t="shared" si="7"/>
        <v>324.02999999999997</v>
      </c>
    </row>
    <row r="47" spans="1:12" hidden="1" x14ac:dyDescent="0.25">
      <c r="A47" s="436">
        <v>54115</v>
      </c>
      <c r="B47" s="430" t="s">
        <v>60</v>
      </c>
      <c r="C47" s="431">
        <v>500</v>
      </c>
      <c r="D47" s="431"/>
      <c r="E47" s="431"/>
      <c r="F47" s="431"/>
      <c r="G47" s="432">
        <f>C47+D47+E47+F47</f>
        <v>500</v>
      </c>
      <c r="H47" s="194"/>
      <c r="I47" s="194"/>
      <c r="J47" s="194">
        <v>468</v>
      </c>
      <c r="K47" s="187">
        <f t="shared" si="7"/>
        <v>32</v>
      </c>
    </row>
    <row r="48" spans="1:12" hidden="1" x14ac:dyDescent="0.25">
      <c r="A48" s="60">
        <v>54116</v>
      </c>
      <c r="B48" s="7" t="s">
        <v>61</v>
      </c>
      <c r="C48" s="19"/>
      <c r="D48" s="19"/>
      <c r="E48" s="19"/>
      <c r="F48" s="19"/>
      <c r="G48" s="48">
        <f t="shared" si="1"/>
        <v>0</v>
      </c>
      <c r="H48" s="194"/>
      <c r="I48" s="194"/>
      <c r="J48" s="194"/>
      <c r="K48" s="187">
        <f t="shared" si="7"/>
        <v>0</v>
      </c>
    </row>
    <row r="49" spans="1:13" hidden="1" x14ac:dyDescent="0.25">
      <c r="A49" s="201">
        <v>54118</v>
      </c>
      <c r="B49" s="145" t="s">
        <v>62</v>
      </c>
      <c r="C49" s="146">
        <v>549.78</v>
      </c>
      <c r="D49" s="146"/>
      <c r="E49" s="146"/>
      <c r="F49" s="146"/>
      <c r="G49" s="153">
        <f t="shared" si="1"/>
        <v>549.78</v>
      </c>
      <c r="H49" s="194"/>
      <c r="I49" s="194"/>
      <c r="J49" s="194"/>
      <c r="K49" s="187">
        <f t="shared" si="7"/>
        <v>549.78</v>
      </c>
    </row>
    <row r="50" spans="1:13" hidden="1" x14ac:dyDescent="0.25">
      <c r="A50" s="60">
        <v>54119</v>
      </c>
      <c r="B50" s="7" t="s">
        <v>63</v>
      </c>
      <c r="C50" s="19"/>
      <c r="D50" s="19"/>
      <c r="E50" s="19"/>
      <c r="F50" s="19"/>
      <c r="G50" s="48">
        <f t="shared" si="1"/>
        <v>0</v>
      </c>
      <c r="H50" s="194"/>
      <c r="I50" s="194"/>
      <c r="J50" s="194"/>
      <c r="K50" s="187">
        <f t="shared" si="7"/>
        <v>0</v>
      </c>
    </row>
    <row r="51" spans="1:13" hidden="1" x14ac:dyDescent="0.25">
      <c r="A51" s="60">
        <v>54120</v>
      </c>
      <c r="B51" s="7"/>
      <c r="C51" s="19"/>
      <c r="D51" s="19"/>
      <c r="E51" s="19"/>
      <c r="F51" s="19"/>
      <c r="G51" s="48"/>
      <c r="H51" s="194"/>
      <c r="I51" s="194"/>
      <c r="J51" s="194"/>
      <c r="K51" s="187">
        <f t="shared" si="7"/>
        <v>0</v>
      </c>
    </row>
    <row r="52" spans="1:13" hidden="1" x14ac:dyDescent="0.25">
      <c r="A52" s="436">
        <v>54121</v>
      </c>
      <c r="B52" s="430" t="s">
        <v>64</v>
      </c>
      <c r="C52" s="431">
        <v>5000</v>
      </c>
      <c r="D52" s="431"/>
      <c r="E52" s="431"/>
      <c r="F52" s="431"/>
      <c r="G52" s="432">
        <f>C52+D52+E52+F52</f>
        <v>5000</v>
      </c>
      <c r="H52" s="202"/>
      <c r="I52" s="202"/>
      <c r="J52" s="202"/>
      <c r="K52" s="203">
        <f t="shared" si="7"/>
        <v>5000</v>
      </c>
    </row>
    <row r="53" spans="1:13" hidden="1" x14ac:dyDescent="0.25">
      <c r="A53" s="436">
        <v>54199</v>
      </c>
      <c r="B53" s="430" t="s">
        <v>47</v>
      </c>
      <c r="C53" s="431">
        <v>4656.3599999999997</v>
      </c>
      <c r="D53" s="431"/>
      <c r="E53" s="431"/>
      <c r="F53" s="431"/>
      <c r="G53" s="432">
        <f t="shared" si="1"/>
        <v>4656.3599999999997</v>
      </c>
      <c r="H53" s="194"/>
      <c r="I53" s="194"/>
      <c r="J53" s="194"/>
      <c r="K53" s="187">
        <f t="shared" si="7"/>
        <v>4656.3599999999997</v>
      </c>
    </row>
    <row r="54" spans="1:13" x14ac:dyDescent="0.25">
      <c r="A54" s="59">
        <v>542</v>
      </c>
      <c r="B54" s="25" t="s">
        <v>65</v>
      </c>
      <c r="C54" s="31">
        <f>SUM(C55:C59)</f>
        <v>146767.12</v>
      </c>
      <c r="D54" s="31">
        <f t="shared" ref="D54:F54" si="8">SUM(D55:D59)</f>
        <v>0</v>
      </c>
      <c r="E54" s="31">
        <f t="shared" si="8"/>
        <v>0</v>
      </c>
      <c r="F54" s="31">
        <f t="shared" si="8"/>
        <v>0</v>
      </c>
      <c r="G54" s="36">
        <f>SUM(G55:G59)</f>
        <v>146767.12</v>
      </c>
      <c r="H54" s="195"/>
      <c r="I54" s="195"/>
      <c r="J54" s="195"/>
      <c r="K54" s="187">
        <f t="shared" si="7"/>
        <v>146767.12</v>
      </c>
    </row>
    <row r="55" spans="1:13" hidden="1" x14ac:dyDescent="0.25">
      <c r="A55" s="436">
        <v>54201</v>
      </c>
      <c r="B55" s="430" t="s">
        <v>66</v>
      </c>
      <c r="C55" s="431">
        <f>49000+11000</f>
        <v>60000</v>
      </c>
      <c r="D55" s="431"/>
      <c r="E55" s="431"/>
      <c r="F55" s="431"/>
      <c r="G55" s="432">
        <f t="shared" si="1"/>
        <v>60000</v>
      </c>
      <c r="H55" s="202"/>
      <c r="I55" s="202"/>
      <c r="J55" s="205">
        <v>30955.9</v>
      </c>
      <c r="K55" s="203">
        <f t="shared" si="7"/>
        <v>29044.1</v>
      </c>
    </row>
    <row r="56" spans="1:13" hidden="1" x14ac:dyDescent="0.25">
      <c r="A56" s="436">
        <v>54202</v>
      </c>
      <c r="B56" s="430" t="s">
        <v>67</v>
      </c>
      <c r="C56" s="431">
        <v>1300</v>
      </c>
      <c r="D56" s="431"/>
      <c r="E56" s="431"/>
      <c r="F56" s="431"/>
      <c r="G56" s="432">
        <f t="shared" si="1"/>
        <v>1300</v>
      </c>
      <c r="H56" s="202"/>
      <c r="I56" s="202"/>
      <c r="J56" s="202">
        <v>74.48</v>
      </c>
      <c r="K56" s="203">
        <f t="shared" si="7"/>
        <v>1225.52</v>
      </c>
      <c r="L56" s="187"/>
      <c r="M56" s="187"/>
    </row>
    <row r="57" spans="1:13" hidden="1" x14ac:dyDescent="0.25">
      <c r="A57" s="436">
        <v>54203</v>
      </c>
      <c r="B57" s="430" t="s">
        <v>68</v>
      </c>
      <c r="C57" s="431">
        <v>4500</v>
      </c>
      <c r="D57" s="431"/>
      <c r="E57" s="431"/>
      <c r="F57" s="431"/>
      <c r="G57" s="432">
        <f t="shared" si="1"/>
        <v>4500</v>
      </c>
      <c r="H57" s="202"/>
      <c r="I57" s="202"/>
      <c r="J57" s="202">
        <v>4364.45</v>
      </c>
      <c r="K57" s="203">
        <f t="shared" si="7"/>
        <v>135.55000000000018</v>
      </c>
    </row>
    <row r="58" spans="1:13" hidden="1" x14ac:dyDescent="0.25">
      <c r="A58" s="61">
        <v>54204</v>
      </c>
      <c r="B58" s="7" t="s">
        <v>69</v>
      </c>
      <c r="C58" s="19"/>
      <c r="D58" s="19"/>
      <c r="E58" s="19"/>
      <c r="F58" s="19"/>
      <c r="G58" s="48">
        <f t="shared" si="1"/>
        <v>0</v>
      </c>
      <c r="H58" s="194"/>
      <c r="I58" s="194"/>
      <c r="J58" s="194"/>
      <c r="K58" s="187">
        <f t="shared" si="7"/>
        <v>0</v>
      </c>
    </row>
    <row r="59" spans="1:13" hidden="1" x14ac:dyDescent="0.25">
      <c r="A59" s="436">
        <v>54205</v>
      </c>
      <c r="B59" s="430" t="s">
        <v>70</v>
      </c>
      <c r="C59" s="431">
        <f>72000+8967.12</f>
        <v>80967.12</v>
      </c>
      <c r="D59" s="431"/>
      <c r="E59" s="431"/>
      <c r="F59" s="431"/>
      <c r="G59" s="432">
        <f>C59+D59+E59+F59</f>
        <v>80967.12</v>
      </c>
      <c r="H59" s="202"/>
      <c r="I59" s="202"/>
      <c r="J59" s="202">
        <v>31955.919999999998</v>
      </c>
      <c r="K59" s="203">
        <f>G59-J59</f>
        <v>49011.199999999997</v>
      </c>
    </row>
    <row r="60" spans="1:13" hidden="1" x14ac:dyDescent="0.25">
      <c r="A60" s="62">
        <v>543</v>
      </c>
      <c r="B60" s="25" t="s">
        <v>71</v>
      </c>
      <c r="C60" s="31">
        <f>SUM(C61:C70)</f>
        <v>0</v>
      </c>
      <c r="D60" s="31">
        <f t="shared" ref="D60:F60" si="9">SUM(D61:D70)</f>
        <v>0</v>
      </c>
      <c r="E60" s="31">
        <f t="shared" si="9"/>
        <v>0</v>
      </c>
      <c r="F60" s="31">
        <f t="shared" si="9"/>
        <v>0</v>
      </c>
      <c r="G60" s="36">
        <f>SUM(G61:G70)</f>
        <v>0</v>
      </c>
      <c r="H60" s="195"/>
      <c r="I60" s="195"/>
      <c r="J60" s="195"/>
      <c r="K60" s="187">
        <f t="shared" si="7"/>
        <v>0</v>
      </c>
    </row>
    <row r="61" spans="1:13" hidden="1" x14ac:dyDescent="0.25">
      <c r="A61" s="61">
        <v>54301</v>
      </c>
      <c r="B61" s="7" t="s">
        <v>72</v>
      </c>
      <c r="C61" s="19"/>
      <c r="D61" s="19"/>
      <c r="E61" s="19"/>
      <c r="F61" s="19"/>
      <c r="G61" s="48">
        <f t="shared" si="1"/>
        <v>0</v>
      </c>
      <c r="H61" s="194"/>
      <c r="I61" s="194"/>
      <c r="J61" s="194"/>
      <c r="K61" s="187">
        <f t="shared" si="7"/>
        <v>0</v>
      </c>
    </row>
    <row r="62" spans="1:13" hidden="1" x14ac:dyDescent="0.25">
      <c r="A62" s="61">
        <v>54302</v>
      </c>
      <c r="B62" s="7" t="s">
        <v>73</v>
      </c>
      <c r="C62" s="19"/>
      <c r="D62" s="19"/>
      <c r="E62" s="19"/>
      <c r="F62" s="19"/>
      <c r="G62" s="48">
        <f t="shared" si="1"/>
        <v>0</v>
      </c>
      <c r="H62" s="194"/>
      <c r="I62" s="194"/>
      <c r="J62" s="194"/>
      <c r="K62" s="187">
        <f t="shared" si="7"/>
        <v>0</v>
      </c>
    </row>
    <row r="63" spans="1:13" hidden="1" x14ac:dyDescent="0.25">
      <c r="A63" s="61">
        <v>54303</v>
      </c>
      <c r="B63" s="7" t="s">
        <v>74</v>
      </c>
      <c r="C63" s="19"/>
      <c r="D63" s="19"/>
      <c r="E63" s="19"/>
      <c r="F63" s="19"/>
      <c r="G63" s="48">
        <f t="shared" si="1"/>
        <v>0</v>
      </c>
      <c r="H63" s="194"/>
      <c r="I63" s="194"/>
      <c r="J63" s="194"/>
      <c r="K63" s="187">
        <f t="shared" si="7"/>
        <v>0</v>
      </c>
    </row>
    <row r="64" spans="1:13" hidden="1" x14ac:dyDescent="0.25">
      <c r="A64" s="61">
        <v>54304</v>
      </c>
      <c r="B64" s="7" t="s">
        <v>75</v>
      </c>
      <c r="C64" s="19"/>
      <c r="D64" s="19"/>
      <c r="E64" s="19"/>
      <c r="F64" s="19"/>
      <c r="G64" s="48">
        <f t="shared" si="1"/>
        <v>0</v>
      </c>
      <c r="H64" s="194"/>
      <c r="I64" s="194"/>
      <c r="J64" s="194"/>
      <c r="K64" s="187">
        <f t="shared" si="7"/>
        <v>0</v>
      </c>
    </row>
    <row r="65" spans="1:11" hidden="1" x14ac:dyDescent="0.25">
      <c r="A65" s="61">
        <v>54305</v>
      </c>
      <c r="B65" s="7" t="s">
        <v>76</v>
      </c>
      <c r="C65" s="19"/>
      <c r="D65" s="19"/>
      <c r="E65" s="19"/>
      <c r="F65" s="19"/>
      <c r="G65" s="48">
        <f t="shared" si="1"/>
        <v>0</v>
      </c>
      <c r="H65" s="194"/>
      <c r="I65" s="194"/>
      <c r="J65" s="194"/>
      <c r="K65" s="187">
        <f t="shared" si="7"/>
        <v>0</v>
      </c>
    </row>
    <row r="66" spans="1:11" hidden="1" x14ac:dyDescent="0.25">
      <c r="A66" s="61">
        <v>54307</v>
      </c>
      <c r="B66" s="7" t="s">
        <v>77</v>
      </c>
      <c r="C66" s="19"/>
      <c r="D66" s="19"/>
      <c r="E66" s="19"/>
      <c r="F66" s="19"/>
      <c r="G66" s="48">
        <f t="shared" si="1"/>
        <v>0</v>
      </c>
      <c r="H66" s="194"/>
      <c r="I66" s="194"/>
      <c r="J66" s="194"/>
      <c r="K66" s="187">
        <f t="shared" si="7"/>
        <v>0</v>
      </c>
    </row>
    <row r="67" spans="1:11" hidden="1" x14ac:dyDescent="0.25">
      <c r="A67" s="61">
        <v>54311</v>
      </c>
      <c r="B67" s="7" t="s">
        <v>78</v>
      </c>
      <c r="C67" s="19"/>
      <c r="D67" s="19"/>
      <c r="E67" s="19"/>
      <c r="F67" s="19"/>
      <c r="G67" s="48">
        <f t="shared" si="1"/>
        <v>0</v>
      </c>
      <c r="H67" s="194"/>
      <c r="I67" s="194"/>
      <c r="J67" s="194"/>
      <c r="K67" s="187">
        <f t="shared" si="7"/>
        <v>0</v>
      </c>
    </row>
    <row r="68" spans="1:11" hidden="1" x14ac:dyDescent="0.25">
      <c r="A68" s="61">
        <v>54313</v>
      </c>
      <c r="B68" s="7" t="s">
        <v>79</v>
      </c>
      <c r="C68" s="19"/>
      <c r="D68" s="19"/>
      <c r="E68" s="19"/>
      <c r="F68" s="19"/>
      <c r="G68" s="48">
        <f t="shared" si="1"/>
        <v>0</v>
      </c>
      <c r="H68" s="194"/>
      <c r="I68" s="194"/>
      <c r="J68" s="194"/>
      <c r="K68" s="187">
        <f t="shared" si="7"/>
        <v>0</v>
      </c>
    </row>
    <row r="69" spans="1:11" hidden="1" x14ac:dyDescent="0.25">
      <c r="A69" s="61">
        <v>54314</v>
      </c>
      <c r="B69" s="7" t="s">
        <v>80</v>
      </c>
      <c r="C69" s="19"/>
      <c r="D69" s="19"/>
      <c r="E69" s="19"/>
      <c r="F69" s="19"/>
      <c r="G69" s="48">
        <f t="shared" si="1"/>
        <v>0</v>
      </c>
      <c r="H69" s="194"/>
      <c r="I69" s="194"/>
      <c r="J69" s="194"/>
      <c r="K69" s="187">
        <f t="shared" si="7"/>
        <v>0</v>
      </c>
    </row>
    <row r="70" spans="1:11" hidden="1" x14ac:dyDescent="0.25">
      <c r="A70" s="61">
        <v>54316</v>
      </c>
      <c r="B70" s="7" t="s">
        <v>136</v>
      </c>
      <c r="C70" s="19"/>
      <c r="D70" s="19"/>
      <c r="E70" s="19"/>
      <c r="F70" s="19"/>
      <c r="G70" s="48">
        <f t="shared" si="1"/>
        <v>0</v>
      </c>
      <c r="H70" s="194"/>
      <c r="I70" s="194"/>
      <c r="J70" s="194"/>
      <c r="K70" s="187">
        <f t="shared" si="7"/>
        <v>0</v>
      </c>
    </row>
    <row r="71" spans="1:11" hidden="1" x14ac:dyDescent="0.25">
      <c r="A71" s="62">
        <v>544</v>
      </c>
      <c r="B71" s="25" t="s">
        <v>87</v>
      </c>
      <c r="C71" s="25"/>
      <c r="D71" s="29">
        <f t="shared" ref="D71:F71" si="10">SUM(D72:D74)</f>
        <v>0</v>
      </c>
      <c r="E71" s="29">
        <f t="shared" si="10"/>
        <v>0</v>
      </c>
      <c r="F71" s="29">
        <f t="shared" si="10"/>
        <v>0</v>
      </c>
      <c r="G71" s="40">
        <f>SUM(G72:G74)</f>
        <v>0</v>
      </c>
      <c r="H71" s="197"/>
      <c r="I71" s="197"/>
      <c r="J71" s="197"/>
      <c r="K71" s="187">
        <f t="shared" si="7"/>
        <v>0</v>
      </c>
    </row>
    <row r="72" spans="1:11" hidden="1" x14ac:dyDescent="0.25">
      <c r="A72" s="61">
        <v>54401</v>
      </c>
      <c r="B72" s="7" t="s">
        <v>88</v>
      </c>
      <c r="C72" s="7"/>
      <c r="D72" s="30"/>
      <c r="E72" s="19"/>
      <c r="F72" s="19"/>
      <c r="G72" s="48">
        <f t="shared" si="1"/>
        <v>0</v>
      </c>
      <c r="H72" s="194"/>
      <c r="I72" s="194"/>
      <c r="J72" s="194"/>
      <c r="K72" s="187">
        <f t="shared" si="7"/>
        <v>0</v>
      </c>
    </row>
    <row r="73" spans="1:11" hidden="1" x14ac:dyDescent="0.25">
      <c r="A73" s="61">
        <v>54402</v>
      </c>
      <c r="B73" s="7" t="s">
        <v>89</v>
      </c>
      <c r="C73" s="7"/>
      <c r="D73" s="30"/>
      <c r="E73" s="19"/>
      <c r="F73" s="19"/>
      <c r="G73" s="48">
        <f t="shared" si="1"/>
        <v>0</v>
      </c>
      <c r="H73" s="194"/>
      <c r="I73" s="194"/>
      <c r="J73" s="194"/>
      <c r="K73" s="187">
        <f t="shared" si="7"/>
        <v>0</v>
      </c>
    </row>
    <row r="74" spans="1:11" hidden="1" x14ac:dyDescent="0.25">
      <c r="A74" s="61">
        <v>54403</v>
      </c>
      <c r="B74" s="7" t="s">
        <v>90</v>
      </c>
      <c r="C74" s="7"/>
      <c r="D74" s="30"/>
      <c r="E74" s="19"/>
      <c r="F74" s="19"/>
      <c r="G74" s="48">
        <f t="shared" si="1"/>
        <v>0</v>
      </c>
      <c r="H74" s="194"/>
      <c r="I74" s="194"/>
      <c r="J74" s="194"/>
      <c r="K74" s="187">
        <f t="shared" si="7"/>
        <v>0</v>
      </c>
    </row>
    <row r="75" spans="1:11" hidden="1" x14ac:dyDescent="0.25">
      <c r="A75" s="62">
        <v>545</v>
      </c>
      <c r="B75" s="25" t="s">
        <v>91</v>
      </c>
      <c r="C75" s="25"/>
      <c r="D75" s="31">
        <f>SUM(D76:D80)</f>
        <v>0</v>
      </c>
      <c r="E75" s="31">
        <f>SUM(E76:E80)</f>
        <v>0</v>
      </c>
      <c r="F75" s="31">
        <f t="shared" ref="F75:G75" si="11">SUM(F76:F80)</f>
        <v>0</v>
      </c>
      <c r="G75" s="36">
        <f t="shared" si="11"/>
        <v>0</v>
      </c>
      <c r="H75" s="195"/>
      <c r="I75" s="195"/>
      <c r="J75" s="195"/>
      <c r="K75" s="187">
        <f t="shared" si="7"/>
        <v>0</v>
      </c>
    </row>
    <row r="76" spans="1:11" hidden="1" x14ac:dyDescent="0.25">
      <c r="A76" s="61">
        <v>54502</v>
      </c>
      <c r="B76" s="7" t="s">
        <v>92</v>
      </c>
      <c r="C76" s="7"/>
      <c r="D76" s="30"/>
      <c r="E76" s="19"/>
      <c r="F76" s="19"/>
      <c r="G76" s="48">
        <f t="shared" si="1"/>
        <v>0</v>
      </c>
      <c r="H76" s="194"/>
      <c r="I76" s="194"/>
      <c r="J76" s="194"/>
      <c r="K76" s="187">
        <f t="shared" si="7"/>
        <v>0</v>
      </c>
    </row>
    <row r="77" spans="1:11" hidden="1" x14ac:dyDescent="0.25">
      <c r="A77" s="61">
        <v>54503</v>
      </c>
      <c r="B77" s="7" t="s">
        <v>93</v>
      </c>
      <c r="C77" s="7"/>
      <c r="D77" s="30"/>
      <c r="E77" s="19"/>
      <c r="F77" s="19"/>
      <c r="G77" s="48">
        <f t="shared" si="1"/>
        <v>0</v>
      </c>
      <c r="H77" s="194"/>
      <c r="I77" s="194"/>
      <c r="J77" s="194"/>
      <c r="K77" s="187">
        <f t="shared" si="7"/>
        <v>0</v>
      </c>
    </row>
    <row r="78" spans="1:11" hidden="1" x14ac:dyDescent="0.25">
      <c r="A78" s="61">
        <v>54504</v>
      </c>
      <c r="B78" s="7" t="s">
        <v>94</v>
      </c>
      <c r="C78" s="7"/>
      <c r="D78" s="30"/>
      <c r="E78" s="19"/>
      <c r="F78" s="19"/>
      <c r="G78" s="48">
        <f t="shared" si="1"/>
        <v>0</v>
      </c>
      <c r="H78" s="194"/>
      <c r="I78" s="194"/>
      <c r="J78" s="194"/>
      <c r="K78" s="187">
        <f t="shared" si="7"/>
        <v>0</v>
      </c>
    </row>
    <row r="79" spans="1:11" hidden="1" x14ac:dyDescent="0.25">
      <c r="A79" s="61">
        <v>54505</v>
      </c>
      <c r="B79" s="7" t="s">
        <v>95</v>
      </c>
      <c r="C79" s="7"/>
      <c r="D79" s="30"/>
      <c r="E79" s="19"/>
      <c r="F79" s="19"/>
      <c r="G79" s="48">
        <f t="shared" si="1"/>
        <v>0</v>
      </c>
      <c r="H79" s="194"/>
      <c r="I79" s="194"/>
      <c r="J79" s="194"/>
      <c r="K79" s="187">
        <f t="shared" si="7"/>
        <v>0</v>
      </c>
    </row>
    <row r="80" spans="1:11" hidden="1" x14ac:dyDescent="0.25">
      <c r="A80" s="61">
        <v>54599</v>
      </c>
      <c r="B80" s="7" t="s">
        <v>96</v>
      </c>
      <c r="C80" s="7"/>
      <c r="D80" s="30"/>
      <c r="E80" s="19"/>
      <c r="F80" s="19"/>
      <c r="G80" s="48">
        <f t="shared" si="1"/>
        <v>0</v>
      </c>
      <c r="H80" s="194"/>
      <c r="I80" s="194"/>
      <c r="J80" s="194"/>
      <c r="K80" s="187">
        <f t="shared" si="7"/>
        <v>0</v>
      </c>
    </row>
    <row r="81" spans="1:36" hidden="1" x14ac:dyDescent="0.25">
      <c r="A81" s="62">
        <v>546</v>
      </c>
      <c r="B81" s="25" t="s">
        <v>97</v>
      </c>
      <c r="C81" s="25"/>
      <c r="D81" s="31">
        <f>D82</f>
        <v>0</v>
      </c>
      <c r="E81" s="31">
        <f>E82</f>
        <v>0</v>
      </c>
      <c r="F81" s="31">
        <f t="shared" ref="F81:G81" si="12">F82</f>
        <v>0</v>
      </c>
      <c r="G81" s="36">
        <f t="shared" si="12"/>
        <v>0</v>
      </c>
      <c r="H81" s="195"/>
      <c r="I81" s="195"/>
      <c r="J81" s="195"/>
      <c r="K81" s="187">
        <f t="shared" si="7"/>
        <v>0</v>
      </c>
    </row>
    <row r="82" spans="1:36" hidden="1" x14ac:dyDescent="0.25">
      <c r="A82" s="61">
        <v>54602</v>
      </c>
      <c r="B82" s="7" t="s">
        <v>98</v>
      </c>
      <c r="C82" s="7"/>
      <c r="D82" s="19"/>
      <c r="E82" s="19"/>
      <c r="F82" s="19"/>
      <c r="G82" s="48">
        <f t="shared" si="1"/>
        <v>0</v>
      </c>
      <c r="H82" s="194"/>
      <c r="I82" s="194"/>
      <c r="J82" s="194"/>
      <c r="K82" s="187">
        <f t="shared" si="7"/>
        <v>0</v>
      </c>
    </row>
    <row r="83" spans="1:36" hidden="1" x14ac:dyDescent="0.25">
      <c r="A83" s="62">
        <v>55</v>
      </c>
      <c r="B83" s="25" t="s">
        <v>99</v>
      </c>
      <c r="C83" s="25"/>
      <c r="D83" s="31">
        <f>D84+D87+D90</f>
        <v>0</v>
      </c>
      <c r="E83" s="31">
        <f>E84+E87+E90</f>
        <v>0</v>
      </c>
      <c r="F83" s="31">
        <f t="shared" ref="F83:G83" si="13">F84+F87+F90</f>
        <v>0</v>
      </c>
      <c r="G83" s="36">
        <f t="shared" si="13"/>
        <v>0</v>
      </c>
      <c r="H83" s="195"/>
      <c r="I83" s="195"/>
      <c r="J83" s="195"/>
      <c r="K83" s="187">
        <f t="shared" si="7"/>
        <v>0</v>
      </c>
    </row>
    <row r="84" spans="1:36" hidden="1" x14ac:dyDescent="0.25">
      <c r="A84" s="62">
        <v>553</v>
      </c>
      <c r="B84" s="25" t="s">
        <v>100</v>
      </c>
      <c r="C84" s="25"/>
      <c r="D84" s="31">
        <f>SUM(D85:D86)</f>
        <v>0</v>
      </c>
      <c r="E84" s="31">
        <f>SUM(E85:E86)</f>
        <v>0</v>
      </c>
      <c r="F84" s="31">
        <f t="shared" ref="F84:G84" si="14">SUM(F85:F86)</f>
        <v>0</v>
      </c>
      <c r="G84" s="36">
        <f t="shared" si="14"/>
        <v>0</v>
      </c>
      <c r="H84" s="195"/>
      <c r="I84" s="195"/>
      <c r="J84" s="195"/>
      <c r="K84" s="187">
        <f t="shared" si="7"/>
        <v>0</v>
      </c>
    </row>
    <row r="85" spans="1:36" hidden="1" x14ac:dyDescent="0.25">
      <c r="A85" s="61">
        <v>55302</v>
      </c>
      <c r="B85" s="7" t="s">
        <v>101</v>
      </c>
      <c r="C85" s="7"/>
      <c r="D85" s="19"/>
      <c r="E85" s="19"/>
      <c r="F85" s="19"/>
      <c r="G85" s="48">
        <f t="shared" ref="G85:G86" si="15">C85+D85+E85+F85</f>
        <v>0</v>
      </c>
      <c r="H85" s="194"/>
      <c r="I85" s="194"/>
      <c r="J85" s="194"/>
      <c r="K85" s="187">
        <f t="shared" si="7"/>
        <v>0</v>
      </c>
    </row>
    <row r="86" spans="1:36" hidden="1" x14ac:dyDescent="0.25">
      <c r="A86" s="61">
        <v>55304</v>
      </c>
      <c r="B86" s="7" t="s">
        <v>102</v>
      </c>
      <c r="C86" s="7"/>
      <c r="D86" s="19"/>
      <c r="E86" s="19"/>
      <c r="F86" s="19"/>
      <c r="G86" s="48">
        <f t="shared" si="15"/>
        <v>0</v>
      </c>
      <c r="H86" s="194"/>
      <c r="I86" s="194"/>
      <c r="J86" s="194"/>
      <c r="K86" s="187">
        <f t="shared" si="7"/>
        <v>0</v>
      </c>
    </row>
    <row r="87" spans="1:36" hidden="1" x14ac:dyDescent="0.25">
      <c r="A87" s="62">
        <v>556</v>
      </c>
      <c r="B87" s="25" t="s">
        <v>103</v>
      </c>
      <c r="C87" s="25"/>
      <c r="D87" s="31">
        <f>SUM(D88:D89)</f>
        <v>0</v>
      </c>
      <c r="E87" s="31">
        <f>SUM(E88:E89)</f>
        <v>0</v>
      </c>
      <c r="F87" s="31">
        <f t="shared" ref="F87:G87" si="16">SUM(F88:F89)</f>
        <v>0</v>
      </c>
      <c r="G87" s="36">
        <f t="shared" si="16"/>
        <v>0</v>
      </c>
      <c r="H87" s="195"/>
      <c r="I87" s="195"/>
      <c r="J87" s="195"/>
      <c r="K87" s="187">
        <f t="shared" si="7"/>
        <v>0</v>
      </c>
    </row>
    <row r="88" spans="1:36" hidden="1" x14ac:dyDescent="0.25">
      <c r="A88" s="61">
        <v>55602</v>
      </c>
      <c r="B88" s="7" t="s">
        <v>104</v>
      </c>
      <c r="C88" s="7"/>
      <c r="D88" s="19"/>
      <c r="E88" s="19"/>
      <c r="F88" s="19"/>
      <c r="G88" s="48">
        <f t="shared" ref="G88:G89" si="17">C88+D88+E88+F88</f>
        <v>0</v>
      </c>
      <c r="H88" s="194"/>
      <c r="I88" s="194"/>
      <c r="J88" s="194"/>
      <c r="K88" s="187">
        <f t="shared" si="7"/>
        <v>0</v>
      </c>
    </row>
    <row r="89" spans="1:36" hidden="1" x14ac:dyDescent="0.25">
      <c r="A89" s="61">
        <v>55603</v>
      </c>
      <c r="B89" s="7" t="s">
        <v>105</v>
      </c>
      <c r="C89" s="7"/>
      <c r="D89" s="19"/>
      <c r="E89" s="19"/>
      <c r="F89" s="19"/>
      <c r="G89" s="48">
        <f t="shared" si="17"/>
        <v>0</v>
      </c>
      <c r="H89" s="194"/>
      <c r="I89" s="194"/>
      <c r="J89" s="194"/>
      <c r="K89" s="187">
        <f t="shared" si="7"/>
        <v>0</v>
      </c>
    </row>
    <row r="90" spans="1:36" hidden="1" x14ac:dyDescent="0.25">
      <c r="A90" s="62">
        <v>557</v>
      </c>
      <c r="B90" s="25" t="s">
        <v>106</v>
      </c>
      <c r="C90" s="25"/>
      <c r="D90" s="31">
        <f>SUM(D91:D92)</f>
        <v>0</v>
      </c>
      <c r="E90" s="31">
        <f>SUM(E91:E92)</f>
        <v>0</v>
      </c>
      <c r="F90" s="31">
        <f t="shared" ref="F90:G90" si="18">SUM(F91:F92)</f>
        <v>0</v>
      </c>
      <c r="G90" s="36">
        <f t="shared" si="18"/>
        <v>0</v>
      </c>
      <c r="H90" s="195"/>
      <c r="I90" s="195"/>
      <c r="J90" s="195"/>
      <c r="K90" s="187">
        <f t="shared" si="7"/>
        <v>0</v>
      </c>
    </row>
    <row r="91" spans="1:36" hidden="1" x14ac:dyDescent="0.25">
      <c r="A91" s="61">
        <v>55703</v>
      </c>
      <c r="B91" s="7" t="s">
        <v>107</v>
      </c>
      <c r="C91" s="7"/>
      <c r="D91" s="19"/>
      <c r="E91" s="19"/>
      <c r="F91" s="19"/>
      <c r="G91" s="48">
        <f t="shared" ref="G91:G92" si="19">C91+D91+E91+F91</f>
        <v>0</v>
      </c>
      <c r="H91" s="194"/>
      <c r="I91" s="194"/>
      <c r="J91" s="194"/>
      <c r="K91" s="187">
        <f t="shared" si="7"/>
        <v>0</v>
      </c>
    </row>
    <row r="92" spans="1:36" hidden="1" x14ac:dyDescent="0.25">
      <c r="A92" s="61">
        <v>55799</v>
      </c>
      <c r="B92" s="7" t="s">
        <v>108</v>
      </c>
      <c r="C92" s="7"/>
      <c r="D92" s="19"/>
      <c r="E92" s="19"/>
      <c r="F92" s="19"/>
      <c r="G92" s="48">
        <f t="shared" si="19"/>
        <v>0</v>
      </c>
      <c r="H92" s="194"/>
      <c r="I92" s="194"/>
      <c r="J92" s="194"/>
      <c r="K92" s="187">
        <f t="shared" si="7"/>
        <v>0</v>
      </c>
    </row>
    <row r="93" spans="1:36" x14ac:dyDescent="0.25">
      <c r="A93" s="62">
        <v>56</v>
      </c>
      <c r="B93" s="25" t="s">
        <v>109</v>
      </c>
      <c r="C93" s="208">
        <f>C94</f>
        <v>12574.32</v>
      </c>
      <c r="D93" s="31"/>
      <c r="E93" s="31">
        <f t="shared" ref="E93:F94" si="20">E94</f>
        <v>0</v>
      </c>
      <c r="F93" s="31">
        <f t="shared" si="20"/>
        <v>0</v>
      </c>
      <c r="G93" s="36">
        <f>SUM(C93:F93)</f>
        <v>12574.32</v>
      </c>
      <c r="H93" s="195"/>
      <c r="I93" s="195"/>
      <c r="J93" s="195"/>
      <c r="K93" s="187">
        <f t="shared" si="7"/>
        <v>12574.32</v>
      </c>
    </row>
    <row r="94" spans="1:36" x14ac:dyDescent="0.25">
      <c r="A94" s="62">
        <v>562</v>
      </c>
      <c r="B94" s="25" t="s">
        <v>110</v>
      </c>
      <c r="C94" s="208">
        <f>C95</f>
        <v>12574.32</v>
      </c>
      <c r="D94" s="31"/>
      <c r="E94" s="31">
        <f>E95</f>
        <v>0</v>
      </c>
      <c r="F94" s="31">
        <f t="shared" si="20"/>
        <v>0</v>
      </c>
      <c r="G94" s="36">
        <f>SUM(C94:F94)</f>
        <v>12574.32</v>
      </c>
      <c r="H94" s="195"/>
      <c r="I94" s="195"/>
      <c r="J94" s="195"/>
      <c r="K94" s="187">
        <f t="shared" si="7"/>
        <v>12574.32</v>
      </c>
    </row>
    <row r="95" spans="1:36" s="452" customFormat="1" hidden="1" x14ac:dyDescent="0.25">
      <c r="A95" s="436">
        <v>56201</v>
      </c>
      <c r="B95" s="430" t="s">
        <v>111</v>
      </c>
      <c r="C95" s="449">
        <v>12574.32</v>
      </c>
      <c r="D95" s="431">
        <v>0</v>
      </c>
      <c r="E95" s="431"/>
      <c r="F95" s="431"/>
      <c r="G95" s="432">
        <f>C95+D95+E95+F95</f>
        <v>12574.32</v>
      </c>
      <c r="H95" s="450"/>
      <c r="I95" s="450"/>
      <c r="J95" s="450"/>
      <c r="K95" s="451">
        <f t="shared" si="7"/>
        <v>12574.32</v>
      </c>
    </row>
    <row r="96" spans="1:36" hidden="1" x14ac:dyDescent="0.25">
      <c r="A96" s="62">
        <v>563</v>
      </c>
      <c r="B96" s="25" t="s">
        <v>112</v>
      </c>
      <c r="C96" s="25"/>
      <c r="D96" s="31">
        <f>SUM(D97:D99)</f>
        <v>0</v>
      </c>
      <c r="E96" s="31">
        <f>SUM(E97:E99)</f>
        <v>0</v>
      </c>
      <c r="F96" s="31">
        <f t="shared" ref="F96:G96" si="21">SUM(F97:F99)</f>
        <v>0</v>
      </c>
      <c r="G96" s="36">
        <f t="shared" si="21"/>
        <v>0</v>
      </c>
      <c r="H96" s="195"/>
      <c r="I96" s="195"/>
      <c r="J96" s="195"/>
      <c r="K96" s="187">
        <f t="shared" si="7"/>
        <v>0</v>
      </c>
      <c r="AJ96">
        <f>847.86*12</f>
        <v>10174.32</v>
      </c>
    </row>
    <row r="97" spans="1:36" hidden="1" x14ac:dyDescent="0.25">
      <c r="A97" s="61">
        <v>56301</v>
      </c>
      <c r="B97" s="7" t="s">
        <v>113</v>
      </c>
      <c r="C97" s="7"/>
      <c r="D97" s="19"/>
      <c r="E97" s="19"/>
      <c r="F97" s="19"/>
      <c r="G97" s="48">
        <f t="shared" ref="G97:G99" si="22">C97+D97+E97+F97</f>
        <v>0</v>
      </c>
      <c r="H97" s="194"/>
      <c r="I97" s="194"/>
      <c r="J97" s="194"/>
      <c r="K97" s="187">
        <f t="shared" si="7"/>
        <v>0</v>
      </c>
      <c r="AJ97">
        <f>200*12</f>
        <v>2400</v>
      </c>
    </row>
    <row r="98" spans="1:36" hidden="1" x14ac:dyDescent="0.25">
      <c r="A98" s="61">
        <v>56303</v>
      </c>
      <c r="B98" s="7" t="s">
        <v>114</v>
      </c>
      <c r="C98" s="7"/>
      <c r="D98" s="19"/>
      <c r="E98" s="19"/>
      <c r="F98" s="19"/>
      <c r="G98" s="48">
        <f t="shared" si="22"/>
        <v>0</v>
      </c>
      <c r="H98" s="194"/>
      <c r="I98" s="194"/>
      <c r="J98" s="194"/>
      <c r="K98" s="187">
        <f t="shared" si="7"/>
        <v>0</v>
      </c>
      <c r="AJ98" s="67">
        <f>SUM(AJ96:AJ97)</f>
        <v>12574.32</v>
      </c>
    </row>
    <row r="99" spans="1:36" hidden="1" x14ac:dyDescent="0.25">
      <c r="A99" s="61">
        <v>56305</v>
      </c>
      <c r="B99" s="7" t="s">
        <v>115</v>
      </c>
      <c r="C99" s="7"/>
      <c r="D99" s="19"/>
      <c r="E99" s="19"/>
      <c r="F99" s="19"/>
      <c r="G99" s="48">
        <f t="shared" si="22"/>
        <v>0</v>
      </c>
      <c r="H99" s="194"/>
      <c r="I99" s="194"/>
      <c r="J99" s="194"/>
      <c r="K99" s="187">
        <f t="shared" si="7"/>
        <v>0</v>
      </c>
    </row>
    <row r="100" spans="1:36" hidden="1" x14ac:dyDescent="0.25">
      <c r="A100" s="62">
        <v>61</v>
      </c>
      <c r="B100" s="25" t="s">
        <v>116</v>
      </c>
      <c r="C100" s="25"/>
      <c r="D100" s="31">
        <f>D101+D105+D107+D109</f>
        <v>0</v>
      </c>
      <c r="E100" s="31">
        <f>E101+E105+E107+E109</f>
        <v>0</v>
      </c>
      <c r="F100" s="31">
        <f t="shared" ref="F100:G100" si="23">F101+F105+F107+F109</f>
        <v>0</v>
      </c>
      <c r="G100" s="36">
        <f t="shared" si="23"/>
        <v>0</v>
      </c>
      <c r="H100" s="195"/>
      <c r="I100" s="195"/>
      <c r="J100" s="195"/>
      <c r="K100" s="187">
        <f t="shared" si="7"/>
        <v>0</v>
      </c>
    </row>
    <row r="101" spans="1:36" hidden="1" x14ac:dyDescent="0.25">
      <c r="A101" s="62">
        <v>611</v>
      </c>
      <c r="B101" s="25" t="s">
        <v>117</v>
      </c>
      <c r="C101" s="25"/>
      <c r="D101" s="31">
        <f>SUM(D102:D104)</f>
        <v>0</v>
      </c>
      <c r="E101" s="31">
        <f>SUM(E102:E104)</f>
        <v>0</v>
      </c>
      <c r="F101" s="31">
        <f t="shared" ref="F101:G101" si="24">SUM(F102:F104)</f>
        <v>0</v>
      </c>
      <c r="G101" s="36">
        <f t="shared" si="24"/>
        <v>0</v>
      </c>
      <c r="H101" s="195"/>
      <c r="I101" s="195"/>
      <c r="J101" s="195"/>
      <c r="K101" s="187">
        <f t="shared" si="7"/>
        <v>0</v>
      </c>
    </row>
    <row r="102" spans="1:36" hidden="1" x14ac:dyDescent="0.25">
      <c r="A102" s="61">
        <v>61102</v>
      </c>
      <c r="B102" s="7" t="s">
        <v>118</v>
      </c>
      <c r="C102" s="7"/>
      <c r="D102" s="19"/>
      <c r="E102" s="19"/>
      <c r="F102" s="19"/>
      <c r="G102" s="48">
        <f t="shared" ref="G102:G104" si="25">C102+D102+E102+F102</f>
        <v>0</v>
      </c>
      <c r="H102" s="194"/>
      <c r="I102" s="194"/>
      <c r="J102" s="194"/>
      <c r="K102" s="187">
        <f t="shared" ref="K102:K125" si="26">G102-J102</f>
        <v>0</v>
      </c>
    </row>
    <row r="103" spans="1:36" hidden="1" x14ac:dyDescent="0.25">
      <c r="A103" s="61">
        <v>61104</v>
      </c>
      <c r="B103" s="7" t="s">
        <v>119</v>
      </c>
      <c r="C103" s="7"/>
      <c r="D103" s="19"/>
      <c r="E103" s="19"/>
      <c r="F103" s="19"/>
      <c r="G103" s="48">
        <f t="shared" si="25"/>
        <v>0</v>
      </c>
      <c r="H103" s="194"/>
      <c r="I103" s="194"/>
      <c r="J103" s="194"/>
      <c r="K103" s="187">
        <f t="shared" si="26"/>
        <v>0</v>
      </c>
    </row>
    <row r="104" spans="1:36" hidden="1" x14ac:dyDescent="0.25">
      <c r="A104" s="61">
        <v>61199</v>
      </c>
      <c r="B104" s="7" t="s">
        <v>120</v>
      </c>
      <c r="C104" s="7"/>
      <c r="D104" s="19"/>
      <c r="E104" s="19"/>
      <c r="F104" s="19"/>
      <c r="G104" s="48">
        <f t="shared" si="25"/>
        <v>0</v>
      </c>
      <c r="H104" s="194"/>
      <c r="I104" s="194"/>
      <c r="J104" s="194"/>
      <c r="K104" s="187">
        <f t="shared" si="26"/>
        <v>0</v>
      </c>
    </row>
    <row r="105" spans="1:36" hidden="1" x14ac:dyDescent="0.25">
      <c r="A105" s="62">
        <v>612</v>
      </c>
      <c r="B105" s="25" t="s">
        <v>121</v>
      </c>
      <c r="C105" s="25"/>
      <c r="D105" s="31">
        <f>D106</f>
        <v>0</v>
      </c>
      <c r="E105" s="31">
        <f>E106</f>
        <v>0</v>
      </c>
      <c r="F105" s="31">
        <f t="shared" ref="F105:G105" si="27">F106</f>
        <v>0</v>
      </c>
      <c r="G105" s="36">
        <f t="shared" si="27"/>
        <v>0</v>
      </c>
      <c r="H105" s="195"/>
      <c r="I105" s="195"/>
      <c r="J105" s="195"/>
      <c r="K105" s="187">
        <f t="shared" si="26"/>
        <v>0</v>
      </c>
    </row>
    <row r="106" spans="1:36" hidden="1" x14ac:dyDescent="0.25">
      <c r="A106" s="61">
        <v>61201</v>
      </c>
      <c r="B106" s="7" t="s">
        <v>122</v>
      </c>
      <c r="C106" s="7"/>
      <c r="D106" s="19"/>
      <c r="E106" s="19"/>
      <c r="F106" s="19"/>
      <c r="G106" s="48">
        <f t="shared" ref="G106" si="28">C106+D106+E106+F106</f>
        <v>0</v>
      </c>
      <c r="H106" s="194"/>
      <c r="I106" s="194"/>
      <c r="J106" s="194"/>
      <c r="K106" s="187">
        <f t="shared" si="26"/>
        <v>0</v>
      </c>
    </row>
    <row r="107" spans="1:36" hidden="1" x14ac:dyDescent="0.25">
      <c r="A107" s="61">
        <v>615</v>
      </c>
      <c r="B107" s="25" t="s">
        <v>123</v>
      </c>
      <c r="C107" s="25"/>
      <c r="D107" s="31">
        <f>D108</f>
        <v>0</v>
      </c>
      <c r="E107" s="31">
        <f>E108</f>
        <v>0</v>
      </c>
      <c r="F107" s="31">
        <f t="shared" ref="F107:G107" si="29">F108</f>
        <v>0</v>
      </c>
      <c r="G107" s="36">
        <f t="shared" si="29"/>
        <v>0</v>
      </c>
      <c r="H107" s="195"/>
      <c r="I107" s="195"/>
      <c r="J107" s="195"/>
      <c r="K107" s="187">
        <f t="shared" si="26"/>
        <v>0</v>
      </c>
    </row>
    <row r="108" spans="1:36" hidden="1" x14ac:dyDescent="0.25">
      <c r="A108" s="61">
        <v>61599</v>
      </c>
      <c r="B108" s="7" t="s">
        <v>124</v>
      </c>
      <c r="C108" s="7"/>
      <c r="D108" s="19"/>
      <c r="E108" s="19"/>
      <c r="F108" s="19"/>
      <c r="G108" s="48">
        <f t="shared" ref="G108" si="30">C108+D108+E108+F108</f>
        <v>0</v>
      </c>
      <c r="H108" s="194"/>
      <c r="I108" s="194"/>
      <c r="J108" s="194"/>
      <c r="K108" s="187">
        <f t="shared" si="26"/>
        <v>0</v>
      </c>
    </row>
    <row r="109" spans="1:36" hidden="1" x14ac:dyDescent="0.25">
      <c r="A109" s="62">
        <v>616</v>
      </c>
      <c r="B109" s="25" t="s">
        <v>125</v>
      </c>
      <c r="C109" s="25"/>
      <c r="D109" s="31">
        <f>SUM(D110:D114)</f>
        <v>0</v>
      </c>
      <c r="E109" s="31">
        <f>SUM(E110:E114)</f>
        <v>0</v>
      </c>
      <c r="F109" s="31">
        <f t="shared" ref="F109:G109" si="31">SUM(F110:F114)</f>
        <v>0</v>
      </c>
      <c r="G109" s="36">
        <f t="shared" si="31"/>
        <v>0</v>
      </c>
      <c r="H109" s="195"/>
      <c r="I109" s="195"/>
      <c r="J109" s="195"/>
      <c r="K109" s="187">
        <f t="shared" si="26"/>
        <v>0</v>
      </c>
    </row>
    <row r="110" spans="1:36" hidden="1" x14ac:dyDescent="0.25">
      <c r="A110" s="61">
        <v>61601</v>
      </c>
      <c r="B110" s="7" t="s">
        <v>126</v>
      </c>
      <c r="C110" s="7"/>
      <c r="D110" s="19"/>
      <c r="E110" s="19"/>
      <c r="F110" s="19"/>
      <c r="G110" s="48">
        <f t="shared" ref="G110:G116" si="32">C110+D110+E110+F110</f>
        <v>0</v>
      </c>
      <c r="H110" s="194"/>
      <c r="I110" s="194"/>
      <c r="J110" s="194"/>
      <c r="K110" s="187">
        <f t="shared" si="26"/>
        <v>0</v>
      </c>
    </row>
    <row r="111" spans="1:36" hidden="1" x14ac:dyDescent="0.25">
      <c r="A111" s="61">
        <v>61603</v>
      </c>
      <c r="B111" s="7" t="s">
        <v>127</v>
      </c>
      <c r="C111" s="7"/>
      <c r="D111" s="19"/>
      <c r="E111" s="19"/>
      <c r="F111" s="19"/>
      <c r="G111" s="48">
        <f t="shared" si="32"/>
        <v>0</v>
      </c>
      <c r="H111" s="194"/>
      <c r="I111" s="194"/>
      <c r="J111" s="194"/>
      <c r="K111" s="187">
        <f t="shared" si="26"/>
        <v>0</v>
      </c>
    </row>
    <row r="112" spans="1:36" hidden="1" x14ac:dyDescent="0.25">
      <c r="A112" s="61">
        <v>61606</v>
      </c>
      <c r="B112" s="7" t="s">
        <v>128</v>
      </c>
      <c r="C112" s="7"/>
      <c r="D112" s="19"/>
      <c r="E112" s="19"/>
      <c r="F112" s="19"/>
      <c r="G112" s="48">
        <f t="shared" si="32"/>
        <v>0</v>
      </c>
      <c r="H112" s="194"/>
      <c r="I112" s="194"/>
      <c r="J112" s="194"/>
      <c r="K112" s="187">
        <f t="shared" si="26"/>
        <v>0</v>
      </c>
    </row>
    <row r="113" spans="1:11" hidden="1" x14ac:dyDescent="0.25">
      <c r="A113" s="61">
        <v>61608</v>
      </c>
      <c r="B113" s="7" t="s">
        <v>129</v>
      </c>
      <c r="C113" s="7"/>
      <c r="D113" s="19"/>
      <c r="E113" s="19"/>
      <c r="F113" s="19"/>
      <c r="G113" s="48">
        <f t="shared" si="32"/>
        <v>0</v>
      </c>
      <c r="H113" s="194"/>
      <c r="I113" s="194"/>
      <c r="J113" s="194"/>
      <c r="K113" s="187">
        <f t="shared" si="26"/>
        <v>0</v>
      </c>
    </row>
    <row r="114" spans="1:11" hidden="1" x14ac:dyDescent="0.25">
      <c r="A114" s="61">
        <v>61609</v>
      </c>
      <c r="B114" s="7" t="s">
        <v>130</v>
      </c>
      <c r="C114" s="7"/>
      <c r="D114" s="19"/>
      <c r="E114" s="19"/>
      <c r="F114" s="19"/>
      <c r="G114" s="48">
        <f t="shared" si="32"/>
        <v>0</v>
      </c>
      <c r="H114" s="194"/>
      <c r="I114" s="194"/>
      <c r="J114" s="194"/>
      <c r="K114" s="187">
        <f t="shared" si="26"/>
        <v>0</v>
      </c>
    </row>
    <row r="115" spans="1:11" hidden="1" x14ac:dyDescent="0.25">
      <c r="A115" s="61">
        <v>61610</v>
      </c>
      <c r="B115" s="7" t="s">
        <v>137</v>
      </c>
      <c r="C115" s="7"/>
      <c r="D115" s="19"/>
      <c r="E115" s="19"/>
      <c r="F115" s="19"/>
      <c r="G115" s="48">
        <f t="shared" si="32"/>
        <v>0</v>
      </c>
      <c r="H115" s="194"/>
      <c r="I115" s="194"/>
      <c r="J115" s="194"/>
      <c r="K115" s="187">
        <f t="shared" si="26"/>
        <v>0</v>
      </c>
    </row>
    <row r="116" spans="1:11" hidden="1" x14ac:dyDescent="0.25">
      <c r="A116" s="61">
        <v>61611</v>
      </c>
      <c r="B116" s="7" t="s">
        <v>138</v>
      </c>
      <c r="C116" s="7"/>
      <c r="D116" s="19"/>
      <c r="E116" s="19"/>
      <c r="F116" s="19"/>
      <c r="G116" s="48">
        <f t="shared" si="32"/>
        <v>0</v>
      </c>
      <c r="H116" s="194"/>
      <c r="I116" s="194"/>
      <c r="J116" s="194"/>
      <c r="K116" s="187">
        <f t="shared" si="26"/>
        <v>0</v>
      </c>
    </row>
    <row r="117" spans="1:11" hidden="1" x14ac:dyDescent="0.25">
      <c r="A117" s="62">
        <v>71</v>
      </c>
      <c r="B117" s="25" t="s">
        <v>131</v>
      </c>
      <c r="C117" s="25"/>
      <c r="D117" s="31">
        <f>D118</f>
        <v>0</v>
      </c>
      <c r="E117" s="31">
        <f>E118</f>
        <v>0</v>
      </c>
      <c r="F117" s="31">
        <f t="shared" ref="F117:G118" si="33">F118</f>
        <v>0</v>
      </c>
      <c r="G117" s="36">
        <f t="shared" si="33"/>
        <v>0</v>
      </c>
      <c r="H117" s="195"/>
      <c r="I117" s="195"/>
      <c r="J117" s="195"/>
      <c r="K117" s="187">
        <f t="shared" si="26"/>
        <v>0</v>
      </c>
    </row>
    <row r="118" spans="1:11" hidden="1" x14ac:dyDescent="0.25">
      <c r="A118" s="62">
        <v>713</v>
      </c>
      <c r="B118" s="25" t="s">
        <v>132</v>
      </c>
      <c r="C118" s="25"/>
      <c r="D118" s="31">
        <f>D119</f>
        <v>0</v>
      </c>
      <c r="E118" s="31">
        <f>E119</f>
        <v>0</v>
      </c>
      <c r="F118" s="31">
        <f t="shared" si="33"/>
        <v>0</v>
      </c>
      <c r="G118" s="36">
        <f t="shared" si="33"/>
        <v>0</v>
      </c>
      <c r="H118" s="195"/>
      <c r="I118" s="195"/>
      <c r="J118" s="195"/>
      <c r="K118" s="187">
        <f t="shared" si="26"/>
        <v>0</v>
      </c>
    </row>
    <row r="119" spans="1:11" hidden="1" x14ac:dyDescent="0.25">
      <c r="A119" s="61">
        <v>71304</v>
      </c>
      <c r="B119" s="7" t="s">
        <v>102</v>
      </c>
      <c r="C119" s="7"/>
      <c r="D119" s="19"/>
      <c r="E119" s="19"/>
      <c r="F119" s="19"/>
      <c r="G119" s="48">
        <f t="shared" ref="G119" si="34">C119+D119+E119+F119</f>
        <v>0</v>
      </c>
      <c r="H119" s="194"/>
      <c r="I119" s="194"/>
      <c r="J119" s="194"/>
      <c r="K119" s="187">
        <f t="shared" si="26"/>
        <v>0</v>
      </c>
    </row>
    <row r="120" spans="1:11" hidden="1" x14ac:dyDescent="0.25">
      <c r="A120" s="62">
        <v>72</v>
      </c>
      <c r="B120" s="25" t="s">
        <v>133</v>
      </c>
      <c r="C120" s="25"/>
      <c r="D120" s="31">
        <f>D121</f>
        <v>0</v>
      </c>
      <c r="E120" s="31">
        <f>E121</f>
        <v>0</v>
      </c>
      <c r="F120" s="31">
        <f t="shared" ref="F120:G121" si="35">F121</f>
        <v>0</v>
      </c>
      <c r="G120" s="36">
        <f t="shared" si="35"/>
        <v>0</v>
      </c>
      <c r="H120" s="195"/>
      <c r="I120" s="195"/>
      <c r="J120" s="195"/>
      <c r="K120" s="187">
        <f t="shared" si="26"/>
        <v>0</v>
      </c>
    </row>
    <row r="121" spans="1:11" hidden="1" x14ac:dyDescent="0.25">
      <c r="A121" s="62">
        <v>721</v>
      </c>
      <c r="B121" s="25" t="s">
        <v>134</v>
      </c>
      <c r="C121" s="25"/>
      <c r="D121" s="31">
        <f>D122</f>
        <v>0</v>
      </c>
      <c r="E121" s="31">
        <f>E122</f>
        <v>0</v>
      </c>
      <c r="F121" s="31">
        <f t="shared" si="35"/>
        <v>0</v>
      </c>
      <c r="G121" s="36">
        <f t="shared" si="35"/>
        <v>0</v>
      </c>
      <c r="H121" s="195"/>
      <c r="I121" s="195"/>
      <c r="J121" s="195"/>
      <c r="K121" s="187">
        <f t="shared" si="26"/>
        <v>0</v>
      </c>
    </row>
    <row r="122" spans="1:11" hidden="1" x14ac:dyDescent="0.25">
      <c r="A122" s="61">
        <v>72101</v>
      </c>
      <c r="B122" s="7" t="s">
        <v>134</v>
      </c>
      <c r="C122" s="7"/>
      <c r="D122" s="19"/>
      <c r="E122" s="19"/>
      <c r="F122" s="19"/>
      <c r="G122" s="48">
        <f t="shared" ref="G122" si="36">C122+D122+E122+F122</f>
        <v>0</v>
      </c>
      <c r="H122" s="194"/>
      <c r="I122" s="194"/>
      <c r="J122" s="194"/>
      <c r="K122" s="187">
        <f t="shared" si="26"/>
        <v>0</v>
      </c>
    </row>
    <row r="123" spans="1:11" x14ac:dyDescent="0.25">
      <c r="A123" s="59" t="s">
        <v>29</v>
      </c>
      <c r="B123" s="25" t="s">
        <v>81</v>
      </c>
      <c r="C123" s="31">
        <f>C10+C33+C83+C93+C100+C117+C120</f>
        <v>276497.58</v>
      </c>
      <c r="D123" s="31">
        <f>D10+D33+D83+D93+D100+D117+D120</f>
        <v>101188.9</v>
      </c>
      <c r="E123" s="31">
        <f>E10+E33+E83+E93+E100+E117+E120</f>
        <v>28200</v>
      </c>
      <c r="F123" s="31">
        <f>F10+F33+F83+F93+F100+F117+F120</f>
        <v>98688.8</v>
      </c>
      <c r="G123" s="36">
        <f>G10+G33+G83+G93+G100+G117+G120</f>
        <v>504575.28</v>
      </c>
      <c r="H123" s="195"/>
      <c r="I123" s="195"/>
      <c r="J123" s="195"/>
      <c r="K123" s="187">
        <f t="shared" si="26"/>
        <v>504575.28</v>
      </c>
    </row>
    <row r="124" spans="1:11" x14ac:dyDescent="0.25">
      <c r="A124" s="59" t="s">
        <v>29</v>
      </c>
      <c r="B124" s="25" t="s">
        <v>82</v>
      </c>
      <c r="C124" s="31">
        <f>C123</f>
        <v>276497.58</v>
      </c>
      <c r="D124" s="31">
        <f>D123</f>
        <v>101188.9</v>
      </c>
      <c r="E124" s="31">
        <f t="shared" ref="E124:G125" si="37">E123</f>
        <v>28200</v>
      </c>
      <c r="F124" s="31">
        <f t="shared" si="37"/>
        <v>98688.8</v>
      </c>
      <c r="G124" s="36">
        <f t="shared" si="37"/>
        <v>504575.28</v>
      </c>
      <c r="H124" s="195"/>
      <c r="I124" s="195"/>
      <c r="J124" s="195"/>
      <c r="K124" s="187">
        <f t="shared" si="26"/>
        <v>504575.28</v>
      </c>
    </row>
    <row r="125" spans="1:11" ht="15.75" thickBot="1" x14ac:dyDescent="0.3">
      <c r="A125" s="63" t="s">
        <v>83</v>
      </c>
      <c r="B125" s="64"/>
      <c r="C125" s="43">
        <f>C124</f>
        <v>276497.58</v>
      </c>
      <c r="D125" s="43">
        <f>D124</f>
        <v>101188.9</v>
      </c>
      <c r="E125" s="43">
        <f t="shared" si="37"/>
        <v>28200</v>
      </c>
      <c r="F125" s="43">
        <f t="shared" si="37"/>
        <v>98688.8</v>
      </c>
      <c r="G125" s="44">
        <f>G124</f>
        <v>504575.28</v>
      </c>
      <c r="H125" s="195"/>
      <c r="I125" s="195"/>
      <c r="J125" s="195">
        <f>SUM(J10:J124)</f>
        <v>74723.72</v>
      </c>
      <c r="K125" s="187">
        <f t="shared" si="26"/>
        <v>429851.56000000006</v>
      </c>
    </row>
    <row r="126" spans="1:11" x14ac:dyDescent="0.25">
      <c r="D126" s="65"/>
    </row>
    <row r="127" spans="1:11" hidden="1" x14ac:dyDescent="0.25">
      <c r="D127" s="199"/>
      <c r="F127">
        <v>490804.96</v>
      </c>
      <c r="G127" s="537">
        <v>504575.28</v>
      </c>
    </row>
    <row r="128" spans="1:11" hidden="1" x14ac:dyDescent="0.25">
      <c r="C128" s="67"/>
      <c r="F128" s="187">
        <f>G125-F127</f>
        <v>13770.320000000007</v>
      </c>
    </row>
    <row r="129" spans="7:7" hidden="1" x14ac:dyDescent="0.25">
      <c r="G129" s="65">
        <f>G125-G127</f>
        <v>0</v>
      </c>
    </row>
    <row r="130" spans="7:7" hidden="1" x14ac:dyDescent="0.25"/>
    <row r="131" spans="7:7" hidden="1" x14ac:dyDescent="0.25"/>
    <row r="132" spans="7:7" hidden="1" x14ac:dyDescent="0.25"/>
    <row r="133" spans="7:7" hidden="1" x14ac:dyDescent="0.25"/>
    <row r="134" spans="7:7" hidden="1" x14ac:dyDescent="0.25"/>
    <row r="135" spans="7:7" hidden="1" x14ac:dyDescent="0.25"/>
  </sheetData>
  <mergeCells count="7">
    <mergeCell ref="C6:G6"/>
    <mergeCell ref="C7:G7"/>
    <mergeCell ref="C8:G8"/>
    <mergeCell ref="A1:G1"/>
    <mergeCell ref="A2:G2"/>
    <mergeCell ref="A3:G3"/>
    <mergeCell ref="C5:G5"/>
  </mergeCells>
  <pageMargins left="0.7" right="0.7" top="0.75" bottom="0.75" header="0.3" footer="0.3"/>
  <pageSetup orientation="landscape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00"/>
  <sheetViews>
    <sheetView zoomScale="130" zoomScaleNormal="130" workbookViewId="0">
      <selection activeCell="A3" sqref="A3:T3"/>
    </sheetView>
  </sheetViews>
  <sheetFormatPr baseColWidth="10" defaultRowHeight="15" x14ac:dyDescent="0.25"/>
  <cols>
    <col min="1" max="1" width="7.7109375" customWidth="1"/>
    <col min="2" max="2" width="31.7109375" customWidth="1"/>
    <col min="3" max="3" width="15.28515625" hidden="1" customWidth="1"/>
    <col min="4" max="5" width="13.5703125" hidden="1" customWidth="1"/>
    <col min="6" max="6" width="14.7109375" hidden="1" customWidth="1"/>
    <col min="7" max="7" width="14.42578125" hidden="1" customWidth="1"/>
    <col min="8" max="8" width="12.7109375" customWidth="1"/>
    <col min="9" max="9" width="17" customWidth="1"/>
    <col min="10" max="10" width="6.7109375" customWidth="1"/>
    <col min="11" max="11" width="9.5703125" customWidth="1"/>
    <col min="12" max="12" width="8.28515625" customWidth="1"/>
    <col min="13" max="14" width="13.5703125" customWidth="1"/>
    <col min="15" max="15" width="15" hidden="1" customWidth="1"/>
    <col min="16" max="16" width="14.28515625" hidden="1" customWidth="1"/>
    <col min="17" max="17" width="14.42578125" hidden="1" customWidth="1"/>
    <col min="18" max="19" width="14.140625" hidden="1" customWidth="1"/>
    <col min="20" max="20" width="15" hidden="1" customWidth="1"/>
    <col min="21" max="21" width="15.85546875" hidden="1" customWidth="1"/>
    <col min="22" max="73" width="0" hidden="1" customWidth="1"/>
  </cols>
  <sheetData>
    <row r="1" spans="1:20" ht="21" x14ac:dyDescent="0.35">
      <c r="A1" s="653" t="s">
        <v>139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</row>
    <row r="2" spans="1:20" ht="21" x14ac:dyDescent="0.35">
      <c r="A2" s="653" t="s">
        <v>636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</row>
    <row r="3" spans="1:20" ht="21" x14ac:dyDescent="0.35">
      <c r="A3" s="653" t="s">
        <v>11</v>
      </c>
      <c r="B3" s="653"/>
      <c r="C3" s="653"/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653"/>
      <c r="P3" s="653"/>
      <c r="Q3" s="653"/>
      <c r="R3" s="653"/>
      <c r="S3" s="653"/>
      <c r="T3" s="653"/>
    </row>
    <row r="4" spans="1:20" ht="15.75" thickBot="1" x14ac:dyDescent="0.3"/>
    <row r="5" spans="1:20" ht="15.75" thickBot="1" x14ac:dyDescent="0.3">
      <c r="A5" s="16"/>
      <c r="B5" s="1"/>
      <c r="C5" s="55" t="s">
        <v>26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O5" s="654" t="s">
        <v>0</v>
      </c>
      <c r="P5" s="654"/>
      <c r="Q5" s="654"/>
      <c r="R5" s="654"/>
      <c r="S5" s="655"/>
      <c r="T5" s="1"/>
    </row>
    <row r="6" spans="1:20" ht="15.75" thickBot="1" x14ac:dyDescent="0.3">
      <c r="A6" s="17"/>
      <c r="B6" s="2"/>
      <c r="C6" s="641" t="s">
        <v>25</v>
      </c>
      <c r="D6" s="641"/>
      <c r="E6" s="641"/>
      <c r="F6" s="641"/>
      <c r="G6" s="642"/>
      <c r="H6" s="648" t="s">
        <v>11</v>
      </c>
      <c r="I6" s="649"/>
      <c r="J6" s="649"/>
      <c r="K6" s="649"/>
      <c r="L6" s="649"/>
      <c r="M6" s="649"/>
      <c r="N6" s="650"/>
      <c r="O6" s="641" t="s">
        <v>1</v>
      </c>
      <c r="P6" s="641"/>
      <c r="Q6" s="641"/>
      <c r="R6" s="641"/>
      <c r="S6" s="642"/>
      <c r="T6" s="54" t="s">
        <v>4</v>
      </c>
    </row>
    <row r="7" spans="1:20" x14ac:dyDescent="0.25">
      <c r="A7" s="563" t="s">
        <v>28</v>
      </c>
      <c r="B7" s="564" t="s">
        <v>27</v>
      </c>
      <c r="C7" s="643" t="s">
        <v>2</v>
      </c>
      <c r="D7" s="643"/>
      <c r="E7" s="643"/>
      <c r="F7" s="643"/>
      <c r="G7" s="643"/>
      <c r="H7" s="553" t="s">
        <v>18</v>
      </c>
      <c r="I7" s="554" t="s">
        <v>18</v>
      </c>
      <c r="J7" s="554" t="s">
        <v>18</v>
      </c>
      <c r="K7" s="554" t="s">
        <v>19</v>
      </c>
      <c r="L7" s="554" t="s">
        <v>18</v>
      </c>
      <c r="M7" s="554" t="s">
        <v>20</v>
      </c>
      <c r="N7" s="555"/>
      <c r="O7" s="651" t="s">
        <v>2</v>
      </c>
      <c r="P7" s="651"/>
      <c r="Q7" s="651"/>
      <c r="R7" s="651"/>
      <c r="S7" s="652"/>
      <c r="T7" s="54" t="s">
        <v>5</v>
      </c>
    </row>
    <row r="8" spans="1:20" x14ac:dyDescent="0.25">
      <c r="A8" s="17"/>
      <c r="B8" s="2"/>
      <c r="C8" s="645" t="s">
        <v>24</v>
      </c>
      <c r="D8" s="645"/>
      <c r="E8" s="645"/>
      <c r="F8" s="645"/>
      <c r="G8" s="645"/>
      <c r="H8" s="556" t="s">
        <v>21</v>
      </c>
      <c r="I8" s="557" t="s">
        <v>21</v>
      </c>
      <c r="J8" s="557" t="s">
        <v>21</v>
      </c>
      <c r="K8" s="557" t="s">
        <v>22</v>
      </c>
      <c r="L8" s="557" t="s">
        <v>21</v>
      </c>
      <c r="M8" s="557" t="s">
        <v>23</v>
      </c>
      <c r="N8" s="558" t="s">
        <v>638</v>
      </c>
      <c r="O8" s="651" t="s">
        <v>3</v>
      </c>
      <c r="P8" s="651"/>
      <c r="Q8" s="651"/>
      <c r="R8" s="651"/>
      <c r="S8" s="652"/>
      <c r="T8" s="2"/>
    </row>
    <row r="9" spans="1:20" ht="46.5" thickBot="1" x14ac:dyDescent="0.3">
      <c r="A9" s="18"/>
      <c r="B9" s="3"/>
      <c r="C9" s="15" t="s">
        <v>6</v>
      </c>
      <c r="D9" s="10" t="s">
        <v>7</v>
      </c>
      <c r="E9" s="10" t="s">
        <v>8</v>
      </c>
      <c r="F9" s="10" t="s">
        <v>9</v>
      </c>
      <c r="G9" s="11" t="s">
        <v>10</v>
      </c>
      <c r="H9" s="559" t="s">
        <v>13</v>
      </c>
      <c r="I9" s="560" t="s">
        <v>14</v>
      </c>
      <c r="J9" s="560" t="s">
        <v>14</v>
      </c>
      <c r="K9" s="560" t="s">
        <v>15</v>
      </c>
      <c r="L9" s="560" t="s">
        <v>16</v>
      </c>
      <c r="M9" s="561" t="s">
        <v>17</v>
      </c>
      <c r="N9" s="562"/>
      <c r="O9" s="580" t="s">
        <v>6</v>
      </c>
      <c r="P9" s="5" t="s">
        <v>7</v>
      </c>
      <c r="Q9" s="5" t="s">
        <v>8</v>
      </c>
      <c r="R9" s="5" t="s">
        <v>9</v>
      </c>
      <c r="S9" s="6" t="s">
        <v>10</v>
      </c>
      <c r="T9" s="3"/>
    </row>
    <row r="10" spans="1:20" hidden="1" x14ac:dyDescent="0.25">
      <c r="A10" s="584">
        <v>51</v>
      </c>
      <c r="B10" s="23" t="s">
        <v>30</v>
      </c>
      <c r="C10" s="31">
        <f>C11+C15+C19+C22+C28+C31+C25</f>
        <v>124657.79</v>
      </c>
      <c r="D10" s="31">
        <f t="shared" ref="D10:R10" si="0">D11+D15+D19+D22+D28+D31+D25</f>
        <v>103071</v>
      </c>
      <c r="E10" s="31">
        <f t="shared" si="0"/>
        <v>39043</v>
      </c>
      <c r="F10" s="31">
        <f t="shared" si="0"/>
        <v>114095.69</v>
      </c>
      <c r="G10" s="32">
        <f>G11+G15+G19+G22+G28+G31+G25</f>
        <v>380867.48</v>
      </c>
      <c r="H10" s="35">
        <f t="shared" si="0"/>
        <v>0</v>
      </c>
      <c r="I10" s="31">
        <f t="shared" si="0"/>
        <v>0</v>
      </c>
      <c r="J10" s="31">
        <f t="shared" si="0"/>
        <v>0</v>
      </c>
      <c r="K10" s="31">
        <f t="shared" si="0"/>
        <v>0</v>
      </c>
      <c r="L10" s="31">
        <f t="shared" si="0"/>
        <v>0</v>
      </c>
      <c r="M10" s="31">
        <f t="shared" si="0"/>
        <v>0</v>
      </c>
      <c r="N10" s="36">
        <f t="shared" si="0"/>
        <v>0</v>
      </c>
      <c r="O10" s="581">
        <f t="shared" si="0"/>
        <v>117979.32</v>
      </c>
      <c r="P10" s="31">
        <f t="shared" si="0"/>
        <v>13680.960000000001</v>
      </c>
      <c r="Q10" s="31">
        <f t="shared" si="0"/>
        <v>5164.2</v>
      </c>
      <c r="R10" s="31">
        <f t="shared" si="0"/>
        <v>27165</v>
      </c>
      <c r="S10" s="31">
        <f>S11+S15+S19+S22+S25+S28+S31</f>
        <v>163989.48000000001</v>
      </c>
      <c r="T10" s="36">
        <f>T11+T15+T19+T22+T28+T31+T25</f>
        <v>544856.96</v>
      </c>
    </row>
    <row r="11" spans="1:20" hidden="1" x14ac:dyDescent="0.25">
      <c r="A11" s="59">
        <v>511</v>
      </c>
      <c r="B11" s="25" t="s">
        <v>31</v>
      </c>
      <c r="C11" s="31">
        <f>C12+C13+C14</f>
        <v>112657.79</v>
      </c>
      <c r="D11" s="31">
        <f t="shared" ref="D11:S11" si="1">D12+D13+D14</f>
        <v>103071</v>
      </c>
      <c r="E11" s="31">
        <f t="shared" si="1"/>
        <v>39043</v>
      </c>
      <c r="F11" s="31">
        <f t="shared" si="1"/>
        <v>114095.69</v>
      </c>
      <c r="G11" s="32">
        <f t="shared" si="1"/>
        <v>368867.48</v>
      </c>
      <c r="H11" s="35">
        <f t="shared" si="1"/>
        <v>0</v>
      </c>
      <c r="I11" s="31">
        <f t="shared" si="1"/>
        <v>0</v>
      </c>
      <c r="J11" s="31">
        <f t="shared" si="1"/>
        <v>0</v>
      </c>
      <c r="K11" s="31">
        <f t="shared" si="1"/>
        <v>0</v>
      </c>
      <c r="L11" s="31">
        <f t="shared" si="1"/>
        <v>0</v>
      </c>
      <c r="M11" s="31">
        <f t="shared" si="1"/>
        <v>0</v>
      </c>
      <c r="N11" s="36">
        <f t="shared" si="1"/>
        <v>0</v>
      </c>
      <c r="O11" s="581">
        <f t="shared" si="1"/>
        <v>30000</v>
      </c>
      <c r="P11" s="31">
        <f t="shared" si="1"/>
        <v>0</v>
      </c>
      <c r="Q11" s="31">
        <f t="shared" si="1"/>
        <v>0</v>
      </c>
      <c r="R11" s="31">
        <f t="shared" si="1"/>
        <v>0</v>
      </c>
      <c r="S11" s="31">
        <f t="shared" si="1"/>
        <v>30000</v>
      </c>
      <c r="T11" s="36">
        <f>T12+T13+T14</f>
        <v>398867.48</v>
      </c>
    </row>
    <row r="12" spans="1:20" hidden="1" x14ac:dyDescent="0.25">
      <c r="A12" s="60">
        <v>51101</v>
      </c>
      <c r="B12" s="7" t="s">
        <v>32</v>
      </c>
      <c r="C12" s="19">
        <v>66166.679999999993</v>
      </c>
      <c r="D12" s="19">
        <v>95880</v>
      </c>
      <c r="E12" s="19">
        <v>36240</v>
      </c>
      <c r="F12" s="19">
        <f>65946.72+32000.04</f>
        <v>97946.760000000009</v>
      </c>
      <c r="G12" s="49">
        <f>C12+D12+E12+F12</f>
        <v>296233.44</v>
      </c>
      <c r="H12" s="37"/>
      <c r="I12" s="19"/>
      <c r="J12" s="19"/>
      <c r="K12" s="19"/>
      <c r="L12" s="19"/>
      <c r="M12" s="19"/>
      <c r="N12" s="38">
        <f t="shared" ref="N12:N69" si="2">SUM(H12:M12)</f>
        <v>0</v>
      </c>
      <c r="O12" s="582"/>
      <c r="P12" s="19"/>
      <c r="Q12" s="19"/>
      <c r="R12" s="19"/>
      <c r="S12" s="19">
        <f>SUM(O12:R12)</f>
        <v>0</v>
      </c>
      <c r="T12" s="48">
        <f>S12+N12+G12</f>
        <v>296233.44</v>
      </c>
    </row>
    <row r="13" spans="1:20" hidden="1" x14ac:dyDescent="0.25">
      <c r="A13" s="60">
        <v>51103</v>
      </c>
      <c r="B13" s="7" t="s">
        <v>33</v>
      </c>
      <c r="C13" s="19">
        <v>4491.1099999999997</v>
      </c>
      <c r="D13" s="19">
        <v>7191</v>
      </c>
      <c r="E13" s="19">
        <v>2803</v>
      </c>
      <c r="F13" s="19">
        <f>8032.23+8116.7</f>
        <v>16148.93</v>
      </c>
      <c r="G13" s="49">
        <f>C13+D13+E13+F13</f>
        <v>30634.04</v>
      </c>
      <c r="H13" s="37"/>
      <c r="I13" s="19"/>
      <c r="J13" s="19"/>
      <c r="K13" s="19"/>
      <c r="L13" s="19"/>
      <c r="M13" s="19"/>
      <c r="N13" s="38">
        <f t="shared" si="2"/>
        <v>0</v>
      </c>
      <c r="O13" s="582"/>
      <c r="P13" s="19"/>
      <c r="Q13" s="19"/>
      <c r="R13" s="19"/>
      <c r="S13" s="19">
        <f t="shared" ref="S13:S32" si="3">SUM(O13:R13)</f>
        <v>0</v>
      </c>
      <c r="T13" s="48">
        <f t="shared" ref="T13:T14" si="4">S13+N13+G13</f>
        <v>30634.04</v>
      </c>
    </row>
    <row r="14" spans="1:20" hidden="1" x14ac:dyDescent="0.25">
      <c r="A14" s="60">
        <v>51105</v>
      </c>
      <c r="B14" s="7" t="s">
        <v>34</v>
      </c>
      <c r="C14" s="19">
        <v>42000</v>
      </c>
      <c r="D14" s="19"/>
      <c r="E14" s="19"/>
      <c r="F14" s="19"/>
      <c r="G14" s="49">
        <f>C14+D14+E14+F14</f>
        <v>42000</v>
      </c>
      <c r="H14" s="37"/>
      <c r="I14" s="19"/>
      <c r="J14" s="19"/>
      <c r="K14" s="19"/>
      <c r="L14" s="19"/>
      <c r="M14" s="19"/>
      <c r="N14" s="38">
        <f t="shared" si="2"/>
        <v>0</v>
      </c>
      <c r="O14" s="582">
        <v>30000</v>
      </c>
      <c r="P14" s="19"/>
      <c r="Q14" s="19"/>
      <c r="R14" s="19"/>
      <c r="S14" s="19">
        <f t="shared" si="3"/>
        <v>30000</v>
      </c>
      <c r="T14" s="48">
        <f t="shared" si="4"/>
        <v>72000</v>
      </c>
    </row>
    <row r="15" spans="1:20" hidden="1" x14ac:dyDescent="0.25">
      <c r="A15" s="59">
        <v>512</v>
      </c>
      <c r="B15" s="25" t="s">
        <v>35</v>
      </c>
      <c r="C15" s="31">
        <f>C16+C17+C18</f>
        <v>7200</v>
      </c>
      <c r="D15" s="31">
        <f t="shared" ref="D15:F15" si="5">D16+D17+D18</f>
        <v>0</v>
      </c>
      <c r="E15" s="31">
        <f t="shared" si="5"/>
        <v>0</v>
      </c>
      <c r="F15" s="31">
        <f t="shared" si="5"/>
        <v>0</v>
      </c>
      <c r="G15" s="32">
        <f>G16+G17+G18</f>
        <v>7200</v>
      </c>
      <c r="H15" s="35">
        <f t="shared" ref="H15:T15" si="6">H16+H17+H18</f>
        <v>0</v>
      </c>
      <c r="I15" s="31">
        <f t="shared" si="6"/>
        <v>0</v>
      </c>
      <c r="J15" s="31">
        <f t="shared" si="6"/>
        <v>0</v>
      </c>
      <c r="K15" s="31">
        <f t="shared" si="6"/>
        <v>0</v>
      </c>
      <c r="L15" s="31">
        <f t="shared" si="6"/>
        <v>0</v>
      </c>
      <c r="M15" s="31">
        <f t="shared" si="6"/>
        <v>0</v>
      </c>
      <c r="N15" s="36">
        <f t="shared" si="6"/>
        <v>0</v>
      </c>
      <c r="O15" s="581">
        <f t="shared" si="6"/>
        <v>30000</v>
      </c>
      <c r="P15" s="31">
        <f t="shared" si="6"/>
        <v>0</v>
      </c>
      <c r="Q15" s="31">
        <f t="shared" si="6"/>
        <v>0</v>
      </c>
      <c r="R15" s="31">
        <f t="shared" si="6"/>
        <v>0</v>
      </c>
      <c r="S15" s="31">
        <f t="shared" si="6"/>
        <v>30000</v>
      </c>
      <c r="T15" s="36">
        <f t="shared" si="6"/>
        <v>37200</v>
      </c>
    </row>
    <row r="16" spans="1:20" hidden="1" x14ac:dyDescent="0.25">
      <c r="A16" s="60">
        <v>51201</v>
      </c>
      <c r="B16" s="7" t="s">
        <v>32</v>
      </c>
      <c r="C16" s="19">
        <v>7200</v>
      </c>
      <c r="D16" s="19"/>
      <c r="E16" s="19"/>
      <c r="F16" s="19"/>
      <c r="G16" s="49">
        <f t="shared" ref="G16:G81" si="7">C16+D16+E16+F16</f>
        <v>7200</v>
      </c>
      <c r="H16" s="37"/>
      <c r="I16" s="19"/>
      <c r="J16" s="19"/>
      <c r="K16" s="19"/>
      <c r="L16" s="19"/>
      <c r="M16" s="19"/>
      <c r="N16" s="38">
        <f t="shared" si="2"/>
        <v>0</v>
      </c>
      <c r="O16" s="582"/>
      <c r="P16" s="19"/>
      <c r="Q16" s="19"/>
      <c r="R16" s="19"/>
      <c r="S16" s="19">
        <f t="shared" si="3"/>
        <v>0</v>
      </c>
      <c r="T16" s="48">
        <f t="shared" ref="T16:T18" si="8">S16+N16+G16</f>
        <v>7200</v>
      </c>
    </row>
    <row r="17" spans="1:20" hidden="1" x14ac:dyDescent="0.25">
      <c r="A17" s="60">
        <v>51202</v>
      </c>
      <c r="B17" s="7" t="s">
        <v>36</v>
      </c>
      <c r="C17" s="19"/>
      <c r="D17" s="19"/>
      <c r="E17" s="19"/>
      <c r="F17" s="19"/>
      <c r="G17" s="49">
        <f t="shared" si="7"/>
        <v>0</v>
      </c>
      <c r="H17" s="37"/>
      <c r="I17" s="19"/>
      <c r="J17" s="19"/>
      <c r="K17" s="19"/>
      <c r="L17" s="19"/>
      <c r="M17" s="19"/>
      <c r="N17" s="38">
        <f t="shared" si="2"/>
        <v>0</v>
      </c>
      <c r="O17" s="582">
        <v>30000</v>
      </c>
      <c r="P17" s="19"/>
      <c r="Q17" s="19"/>
      <c r="R17" s="19"/>
      <c r="S17" s="19">
        <f t="shared" si="3"/>
        <v>30000</v>
      </c>
      <c r="T17" s="48">
        <f t="shared" si="8"/>
        <v>30000</v>
      </c>
    </row>
    <row r="18" spans="1:20" hidden="1" x14ac:dyDescent="0.25">
      <c r="A18" s="60">
        <v>51203</v>
      </c>
      <c r="B18" s="7" t="s">
        <v>33</v>
      </c>
      <c r="C18" s="19"/>
      <c r="D18" s="19"/>
      <c r="E18" s="19"/>
      <c r="F18" s="19"/>
      <c r="G18" s="49">
        <f t="shared" si="7"/>
        <v>0</v>
      </c>
      <c r="H18" s="37"/>
      <c r="I18" s="19"/>
      <c r="J18" s="19"/>
      <c r="K18" s="19"/>
      <c r="L18" s="19"/>
      <c r="M18" s="19"/>
      <c r="N18" s="38">
        <f t="shared" si="2"/>
        <v>0</v>
      </c>
      <c r="O18" s="582"/>
      <c r="P18" s="19"/>
      <c r="Q18" s="19"/>
      <c r="R18" s="19"/>
      <c r="S18" s="19">
        <f t="shared" si="3"/>
        <v>0</v>
      </c>
      <c r="T18" s="48">
        <f t="shared" si="8"/>
        <v>0</v>
      </c>
    </row>
    <row r="19" spans="1:20" hidden="1" x14ac:dyDescent="0.25">
      <c r="A19" s="59">
        <v>514</v>
      </c>
      <c r="B19" s="25" t="s">
        <v>37</v>
      </c>
      <c r="C19" s="31">
        <f>C20+C21</f>
        <v>0</v>
      </c>
      <c r="D19" s="31">
        <f t="shared" ref="D19:T19" si="9">D20+D21</f>
        <v>0</v>
      </c>
      <c r="E19" s="31">
        <f t="shared" si="9"/>
        <v>0</v>
      </c>
      <c r="F19" s="31">
        <f t="shared" si="9"/>
        <v>0</v>
      </c>
      <c r="G19" s="32">
        <f t="shared" si="9"/>
        <v>0</v>
      </c>
      <c r="H19" s="35">
        <f t="shared" si="9"/>
        <v>0</v>
      </c>
      <c r="I19" s="31">
        <f t="shared" si="9"/>
        <v>0</v>
      </c>
      <c r="J19" s="31">
        <f t="shared" si="9"/>
        <v>0</v>
      </c>
      <c r="K19" s="31">
        <f t="shared" si="9"/>
        <v>0</v>
      </c>
      <c r="L19" s="31">
        <f t="shared" si="9"/>
        <v>0</v>
      </c>
      <c r="M19" s="31">
        <f t="shared" si="9"/>
        <v>0</v>
      </c>
      <c r="N19" s="36">
        <f t="shared" si="9"/>
        <v>0</v>
      </c>
      <c r="O19" s="581">
        <f t="shared" si="9"/>
        <v>4760.04</v>
      </c>
      <c r="P19" s="31">
        <f t="shared" si="9"/>
        <v>7191</v>
      </c>
      <c r="Q19" s="31">
        <f t="shared" si="9"/>
        <v>2718</v>
      </c>
      <c r="R19" s="31">
        <f t="shared" si="9"/>
        <v>14538.84</v>
      </c>
      <c r="S19" s="31">
        <f t="shared" si="9"/>
        <v>29207.88</v>
      </c>
      <c r="T19" s="36">
        <f t="shared" si="9"/>
        <v>29207.88</v>
      </c>
    </row>
    <row r="20" spans="1:20" hidden="1" x14ac:dyDescent="0.25">
      <c r="A20" s="60">
        <v>51401</v>
      </c>
      <c r="B20" s="7" t="s">
        <v>38</v>
      </c>
      <c r="C20" s="19">
        <v>0</v>
      </c>
      <c r="D20" s="19">
        <v>0</v>
      </c>
      <c r="E20" s="19">
        <v>0</v>
      </c>
      <c r="F20" s="19">
        <v>0</v>
      </c>
      <c r="G20" s="49">
        <f t="shared" si="7"/>
        <v>0</v>
      </c>
      <c r="H20" s="37"/>
      <c r="I20" s="19"/>
      <c r="J20" s="19"/>
      <c r="K20" s="19"/>
      <c r="L20" s="19"/>
      <c r="M20" s="19"/>
      <c r="N20" s="38">
        <f t="shared" si="2"/>
        <v>0</v>
      </c>
      <c r="O20" s="582">
        <f>321.67*12</f>
        <v>3860.04</v>
      </c>
      <c r="P20" s="19">
        <f>599.25*12</f>
        <v>7191</v>
      </c>
      <c r="Q20" s="19">
        <f>226.5*12</f>
        <v>2718</v>
      </c>
      <c r="R20" s="19">
        <f>(412.17+599.4+200)*12</f>
        <v>14538.84</v>
      </c>
      <c r="S20" s="19">
        <f t="shared" si="3"/>
        <v>28307.88</v>
      </c>
      <c r="T20" s="48">
        <f t="shared" ref="T20:T21" si="10">S20+N20+G20</f>
        <v>28307.88</v>
      </c>
    </row>
    <row r="21" spans="1:20" hidden="1" x14ac:dyDescent="0.25">
      <c r="A21" s="60">
        <v>51402</v>
      </c>
      <c r="B21" s="7" t="s">
        <v>39</v>
      </c>
      <c r="C21" s="19"/>
      <c r="D21" s="19"/>
      <c r="E21" s="19"/>
      <c r="F21" s="19"/>
      <c r="G21" s="49">
        <f t="shared" si="7"/>
        <v>0</v>
      </c>
      <c r="H21" s="37"/>
      <c r="I21" s="19"/>
      <c r="J21" s="19"/>
      <c r="K21" s="19"/>
      <c r="L21" s="19"/>
      <c r="M21" s="19"/>
      <c r="N21" s="38">
        <f t="shared" si="2"/>
        <v>0</v>
      </c>
      <c r="O21" s="582">
        <f>75*12</f>
        <v>900</v>
      </c>
      <c r="P21" s="19"/>
      <c r="Q21" s="19"/>
      <c r="R21" s="19"/>
      <c r="S21" s="19">
        <f t="shared" si="3"/>
        <v>900</v>
      </c>
      <c r="T21" s="48">
        <f t="shared" si="10"/>
        <v>900</v>
      </c>
    </row>
    <row r="22" spans="1:20" hidden="1" x14ac:dyDescent="0.25">
      <c r="A22" s="59">
        <v>515</v>
      </c>
      <c r="B22" s="25" t="s">
        <v>40</v>
      </c>
      <c r="C22" s="31">
        <f>C23+C24</f>
        <v>0</v>
      </c>
      <c r="D22" s="31">
        <f t="shared" ref="D22:N22" si="11">D23+D24</f>
        <v>0</v>
      </c>
      <c r="E22" s="31">
        <f t="shared" si="11"/>
        <v>0</v>
      </c>
      <c r="F22" s="31">
        <f t="shared" si="11"/>
        <v>0</v>
      </c>
      <c r="G22" s="32">
        <f t="shared" si="11"/>
        <v>0</v>
      </c>
      <c r="H22" s="35">
        <f t="shared" si="11"/>
        <v>0</v>
      </c>
      <c r="I22" s="31">
        <f t="shared" si="11"/>
        <v>0</v>
      </c>
      <c r="J22" s="31">
        <f t="shared" si="11"/>
        <v>0</v>
      </c>
      <c r="K22" s="31">
        <f t="shared" si="11"/>
        <v>0</v>
      </c>
      <c r="L22" s="31">
        <f t="shared" si="11"/>
        <v>0</v>
      </c>
      <c r="M22" s="31">
        <f t="shared" si="11"/>
        <v>0</v>
      </c>
      <c r="N22" s="36">
        <f t="shared" si="11"/>
        <v>0</v>
      </c>
      <c r="O22" s="581">
        <f>O23+O24</f>
        <v>5219.28</v>
      </c>
      <c r="P22" s="31">
        <f t="shared" ref="P22:R22" si="12">P23+P24</f>
        <v>6489.9600000000009</v>
      </c>
      <c r="Q22" s="31">
        <f t="shared" si="12"/>
        <v>2446.1999999999998</v>
      </c>
      <c r="R22" s="31">
        <f t="shared" si="12"/>
        <v>12626.16</v>
      </c>
      <c r="S22" s="31">
        <f>S23+S24</f>
        <v>26781.600000000002</v>
      </c>
      <c r="T22" s="36">
        <f>T23+T24</f>
        <v>26781.600000000002</v>
      </c>
    </row>
    <row r="23" spans="1:20" hidden="1" x14ac:dyDescent="0.25">
      <c r="A23" s="60">
        <v>51501</v>
      </c>
      <c r="B23" s="7" t="s">
        <v>38</v>
      </c>
      <c r="C23" s="19"/>
      <c r="D23" s="19"/>
      <c r="E23" s="19"/>
      <c r="F23" s="19"/>
      <c r="G23" s="49">
        <f t="shared" si="7"/>
        <v>0</v>
      </c>
      <c r="H23" s="37"/>
      <c r="I23" s="19"/>
      <c r="J23" s="19"/>
      <c r="K23" s="19"/>
      <c r="L23" s="19"/>
      <c r="M23" s="19"/>
      <c r="N23" s="38">
        <f t="shared" si="2"/>
        <v>0</v>
      </c>
      <c r="O23" s="582">
        <f>372.19*12</f>
        <v>4466.28</v>
      </c>
      <c r="P23" s="19">
        <f>540.83*12</f>
        <v>6489.9600000000009</v>
      </c>
      <c r="Q23" s="19">
        <f>203.85*12</f>
        <v>2446.1999999999998</v>
      </c>
      <c r="R23" s="19">
        <f>(372.45+509.94+169.79)*12</f>
        <v>12626.16</v>
      </c>
      <c r="S23" s="19">
        <f t="shared" si="3"/>
        <v>26028.600000000002</v>
      </c>
      <c r="T23" s="48">
        <f t="shared" ref="T23:T24" si="13">S23+N23+G23</f>
        <v>26028.600000000002</v>
      </c>
    </row>
    <row r="24" spans="1:20" hidden="1" x14ac:dyDescent="0.25">
      <c r="A24" s="60">
        <v>51502</v>
      </c>
      <c r="B24" s="7" t="s">
        <v>39</v>
      </c>
      <c r="C24" s="19"/>
      <c r="D24" s="19"/>
      <c r="E24" s="19"/>
      <c r="F24" s="19"/>
      <c r="G24" s="49">
        <f t="shared" si="7"/>
        <v>0</v>
      </c>
      <c r="H24" s="37"/>
      <c r="I24" s="19"/>
      <c r="J24" s="19"/>
      <c r="K24" s="19"/>
      <c r="L24" s="19"/>
      <c r="M24" s="19"/>
      <c r="N24" s="38">
        <f t="shared" si="2"/>
        <v>0</v>
      </c>
      <c r="O24" s="582">
        <f>62.75*12</f>
        <v>753</v>
      </c>
      <c r="P24" s="19"/>
      <c r="Q24" s="19"/>
      <c r="R24" s="19"/>
      <c r="S24" s="19">
        <f t="shared" si="3"/>
        <v>753</v>
      </c>
      <c r="T24" s="48">
        <f t="shared" si="13"/>
        <v>753</v>
      </c>
    </row>
    <row r="25" spans="1:20" hidden="1" x14ac:dyDescent="0.25">
      <c r="A25" s="59">
        <v>517</v>
      </c>
      <c r="B25" s="25" t="s">
        <v>85</v>
      </c>
      <c r="C25" s="31">
        <f>C26+C27</f>
        <v>0</v>
      </c>
      <c r="D25" s="31">
        <f>D26+D27</f>
        <v>0</v>
      </c>
      <c r="E25" s="31">
        <f t="shared" ref="E25:R25" si="14">E26+E27</f>
        <v>0</v>
      </c>
      <c r="F25" s="31">
        <f t="shared" si="14"/>
        <v>0</v>
      </c>
      <c r="G25" s="32">
        <f t="shared" si="14"/>
        <v>0</v>
      </c>
      <c r="H25" s="35">
        <f t="shared" si="14"/>
        <v>0</v>
      </c>
      <c r="I25" s="31">
        <f t="shared" si="14"/>
        <v>0</v>
      </c>
      <c r="J25" s="31">
        <f t="shared" si="14"/>
        <v>0</v>
      </c>
      <c r="K25" s="31">
        <f t="shared" si="14"/>
        <v>0</v>
      </c>
      <c r="L25" s="31">
        <f t="shared" si="14"/>
        <v>0</v>
      </c>
      <c r="M25" s="31">
        <f t="shared" si="14"/>
        <v>0</v>
      </c>
      <c r="N25" s="36">
        <f t="shared" si="14"/>
        <v>0</v>
      </c>
      <c r="O25" s="581">
        <f>O26+O27</f>
        <v>32500</v>
      </c>
      <c r="P25" s="31">
        <f t="shared" si="14"/>
        <v>0</v>
      </c>
      <c r="Q25" s="31">
        <f t="shared" si="14"/>
        <v>0</v>
      </c>
      <c r="R25" s="31">
        <f t="shared" si="14"/>
        <v>0</v>
      </c>
      <c r="S25" s="31">
        <f>S26+S27</f>
        <v>32500</v>
      </c>
      <c r="T25" s="36">
        <f>T26+T27</f>
        <v>32500</v>
      </c>
    </row>
    <row r="26" spans="1:20" hidden="1" x14ac:dyDescent="0.25">
      <c r="A26" s="60">
        <v>51701</v>
      </c>
      <c r="B26" s="7" t="s">
        <v>135</v>
      </c>
      <c r="C26" s="19"/>
      <c r="D26" s="19">
        <v>0</v>
      </c>
      <c r="E26" s="19">
        <v>0</v>
      </c>
      <c r="F26" s="19">
        <v>0</v>
      </c>
      <c r="G26" s="33">
        <v>0</v>
      </c>
      <c r="H26" s="37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41">
        <v>0</v>
      </c>
      <c r="O26" s="582">
        <v>31500</v>
      </c>
      <c r="P26" s="19">
        <v>0</v>
      </c>
      <c r="Q26" s="19">
        <v>0</v>
      </c>
      <c r="R26" s="19">
        <v>0</v>
      </c>
      <c r="S26" s="19">
        <f t="shared" si="3"/>
        <v>31500</v>
      </c>
      <c r="T26" s="48">
        <f t="shared" ref="T26:T27" si="15">S26+N26+G26</f>
        <v>31500</v>
      </c>
    </row>
    <row r="27" spans="1:20" hidden="1" x14ac:dyDescent="0.25">
      <c r="A27" s="60">
        <v>51702</v>
      </c>
      <c r="B27" s="7" t="s">
        <v>86</v>
      </c>
      <c r="C27" s="19"/>
      <c r="D27" s="19"/>
      <c r="E27" s="19"/>
      <c r="F27" s="19"/>
      <c r="G27" s="33">
        <v>0</v>
      </c>
      <c r="H27" s="37"/>
      <c r="I27" s="19"/>
      <c r="J27" s="19"/>
      <c r="K27" s="19"/>
      <c r="L27" s="19"/>
      <c r="M27" s="19"/>
      <c r="N27" s="38"/>
      <c r="O27" s="582">
        <v>1000</v>
      </c>
      <c r="P27" s="19"/>
      <c r="Q27" s="19"/>
      <c r="R27" s="19"/>
      <c r="S27" s="19">
        <f t="shared" si="3"/>
        <v>1000</v>
      </c>
      <c r="T27" s="48">
        <f t="shared" si="15"/>
        <v>1000</v>
      </c>
    </row>
    <row r="28" spans="1:20" hidden="1" x14ac:dyDescent="0.25">
      <c r="A28" s="59">
        <v>516</v>
      </c>
      <c r="B28" s="25" t="s">
        <v>41</v>
      </c>
      <c r="C28" s="31">
        <f>C29+C30</f>
        <v>0</v>
      </c>
      <c r="D28" s="31">
        <f t="shared" ref="D28:R28" si="16">D29+D30</f>
        <v>0</v>
      </c>
      <c r="E28" s="31">
        <f t="shared" si="16"/>
        <v>0</v>
      </c>
      <c r="F28" s="31">
        <f t="shared" si="16"/>
        <v>0</v>
      </c>
      <c r="G28" s="32">
        <f t="shared" si="16"/>
        <v>0</v>
      </c>
      <c r="H28" s="35">
        <f t="shared" si="16"/>
        <v>0</v>
      </c>
      <c r="I28" s="31">
        <f t="shared" si="16"/>
        <v>0</v>
      </c>
      <c r="J28" s="31">
        <f t="shared" si="16"/>
        <v>0</v>
      </c>
      <c r="K28" s="31">
        <f t="shared" si="16"/>
        <v>0</v>
      </c>
      <c r="L28" s="31">
        <f t="shared" si="16"/>
        <v>0</v>
      </c>
      <c r="M28" s="31">
        <f t="shared" si="16"/>
        <v>0</v>
      </c>
      <c r="N28" s="36">
        <f t="shared" si="16"/>
        <v>0</v>
      </c>
      <c r="O28" s="581">
        <f t="shared" si="16"/>
        <v>15000</v>
      </c>
      <c r="P28" s="31">
        <f t="shared" si="16"/>
        <v>0</v>
      </c>
      <c r="Q28" s="31">
        <f t="shared" si="16"/>
        <v>0</v>
      </c>
      <c r="R28" s="31">
        <f t="shared" si="16"/>
        <v>0</v>
      </c>
      <c r="S28" s="31">
        <f>S29+S30</f>
        <v>15000</v>
      </c>
      <c r="T28" s="36">
        <f t="shared" ref="T28" si="17">T29+T30</f>
        <v>15000</v>
      </c>
    </row>
    <row r="29" spans="1:20" hidden="1" x14ac:dyDescent="0.25">
      <c r="A29" s="60">
        <v>51601</v>
      </c>
      <c r="B29" s="7" t="s">
        <v>42</v>
      </c>
      <c r="C29" s="19"/>
      <c r="D29" s="19"/>
      <c r="E29" s="19"/>
      <c r="F29" s="19"/>
      <c r="G29" s="49">
        <f t="shared" si="7"/>
        <v>0</v>
      </c>
      <c r="H29" s="37"/>
      <c r="I29" s="19"/>
      <c r="J29" s="19"/>
      <c r="K29" s="19"/>
      <c r="L29" s="19"/>
      <c r="M29" s="19"/>
      <c r="N29" s="38">
        <f t="shared" si="2"/>
        <v>0</v>
      </c>
      <c r="O29" s="582">
        <v>12000</v>
      </c>
      <c r="P29" s="19"/>
      <c r="Q29" s="19"/>
      <c r="R29" s="19"/>
      <c r="S29" s="19">
        <f t="shared" si="3"/>
        <v>12000</v>
      </c>
      <c r="T29" s="48">
        <f t="shared" ref="T29:T32" si="18">S29+N29+G29</f>
        <v>12000</v>
      </c>
    </row>
    <row r="30" spans="1:20" hidden="1" x14ac:dyDescent="0.25">
      <c r="A30" s="60">
        <v>51602</v>
      </c>
      <c r="B30" s="7" t="s">
        <v>43</v>
      </c>
      <c r="C30" s="19"/>
      <c r="D30" s="19"/>
      <c r="E30" s="19"/>
      <c r="F30" s="19"/>
      <c r="G30" s="49">
        <f t="shared" si="7"/>
        <v>0</v>
      </c>
      <c r="H30" s="37"/>
      <c r="I30" s="19"/>
      <c r="J30" s="19"/>
      <c r="K30" s="19"/>
      <c r="L30" s="19"/>
      <c r="M30" s="19"/>
      <c r="N30" s="38">
        <f t="shared" si="2"/>
        <v>0</v>
      </c>
      <c r="O30" s="582">
        <v>3000</v>
      </c>
      <c r="P30" s="19"/>
      <c r="Q30" s="19"/>
      <c r="R30" s="19"/>
      <c r="S30" s="19">
        <f t="shared" si="3"/>
        <v>3000</v>
      </c>
      <c r="T30" s="48">
        <f t="shared" si="18"/>
        <v>3000</v>
      </c>
    </row>
    <row r="31" spans="1:20" hidden="1" x14ac:dyDescent="0.25">
      <c r="A31" s="59">
        <v>519</v>
      </c>
      <c r="B31" s="25" t="s">
        <v>44</v>
      </c>
      <c r="C31" s="31">
        <f>C32</f>
        <v>4800</v>
      </c>
      <c r="D31" s="31">
        <f t="shared" ref="D31:G31" si="19">D32</f>
        <v>0</v>
      </c>
      <c r="E31" s="31">
        <f t="shared" si="19"/>
        <v>0</v>
      </c>
      <c r="F31" s="31">
        <f t="shared" si="19"/>
        <v>0</v>
      </c>
      <c r="G31" s="32">
        <f t="shared" si="19"/>
        <v>4800</v>
      </c>
      <c r="H31" s="35">
        <f>H32</f>
        <v>0</v>
      </c>
      <c r="I31" s="31">
        <f t="shared" ref="I31:R31" si="20">I32</f>
        <v>0</v>
      </c>
      <c r="J31" s="31">
        <f t="shared" si="20"/>
        <v>0</v>
      </c>
      <c r="K31" s="31">
        <f t="shared" si="20"/>
        <v>0</v>
      </c>
      <c r="L31" s="31">
        <f t="shared" si="20"/>
        <v>0</v>
      </c>
      <c r="M31" s="31">
        <f t="shared" si="20"/>
        <v>0</v>
      </c>
      <c r="N31" s="36">
        <f t="shared" si="20"/>
        <v>0</v>
      </c>
      <c r="O31" s="581">
        <f t="shared" si="20"/>
        <v>500</v>
      </c>
      <c r="P31" s="31">
        <f t="shared" si="20"/>
        <v>0</v>
      </c>
      <c r="Q31" s="31">
        <f t="shared" si="20"/>
        <v>0</v>
      </c>
      <c r="R31" s="31">
        <f t="shared" si="20"/>
        <v>0</v>
      </c>
      <c r="S31" s="31">
        <f>S32</f>
        <v>500</v>
      </c>
      <c r="T31" s="36">
        <f t="shared" ref="T31" si="21">T32</f>
        <v>5300</v>
      </c>
    </row>
    <row r="32" spans="1:20" hidden="1" x14ac:dyDescent="0.25">
      <c r="A32" s="60">
        <v>51901</v>
      </c>
      <c r="B32" s="7" t="s">
        <v>45</v>
      </c>
      <c r="C32" s="19">
        <v>4800</v>
      </c>
      <c r="D32" s="19"/>
      <c r="E32" s="19"/>
      <c r="F32" s="19"/>
      <c r="G32" s="49">
        <f t="shared" si="7"/>
        <v>4800</v>
      </c>
      <c r="H32" s="37"/>
      <c r="I32" s="19"/>
      <c r="J32" s="19"/>
      <c r="K32" s="19"/>
      <c r="L32" s="19"/>
      <c r="M32" s="19"/>
      <c r="N32" s="38">
        <f t="shared" si="2"/>
        <v>0</v>
      </c>
      <c r="O32" s="582">
        <v>500</v>
      </c>
      <c r="P32" s="19"/>
      <c r="Q32" s="19"/>
      <c r="R32" s="19"/>
      <c r="S32" s="19">
        <f t="shared" si="3"/>
        <v>500</v>
      </c>
      <c r="T32" s="48">
        <f t="shared" si="18"/>
        <v>5300</v>
      </c>
    </row>
    <row r="33" spans="1:20" hidden="1" x14ac:dyDescent="0.25">
      <c r="A33" s="59">
        <v>54</v>
      </c>
      <c r="B33" s="25" t="s">
        <v>46</v>
      </c>
      <c r="C33" s="31">
        <f>C34+C53+C59</f>
        <v>119847.8</v>
      </c>
      <c r="D33" s="31">
        <f t="shared" ref="D33:T33" si="22">D34+D53+D59</f>
        <v>1000</v>
      </c>
      <c r="E33" s="31">
        <f t="shared" si="22"/>
        <v>500</v>
      </c>
      <c r="F33" s="31">
        <f t="shared" si="22"/>
        <v>500</v>
      </c>
      <c r="G33" s="32">
        <f>G34+G53+G59+G70+G80+G74</f>
        <v>121847.8</v>
      </c>
      <c r="H33" s="35">
        <f t="shared" si="22"/>
        <v>0</v>
      </c>
      <c r="I33" s="31">
        <f t="shared" si="22"/>
        <v>0</v>
      </c>
      <c r="J33" s="31">
        <f t="shared" si="22"/>
        <v>0</v>
      </c>
      <c r="K33" s="31">
        <f t="shared" si="22"/>
        <v>0</v>
      </c>
      <c r="L33" s="31">
        <f t="shared" si="22"/>
        <v>0</v>
      </c>
      <c r="M33" s="31">
        <f t="shared" si="22"/>
        <v>0</v>
      </c>
      <c r="N33" s="36">
        <f t="shared" si="22"/>
        <v>0</v>
      </c>
      <c r="O33" s="581">
        <f t="shared" si="22"/>
        <v>123825</v>
      </c>
      <c r="P33" s="31">
        <f t="shared" si="22"/>
        <v>8600</v>
      </c>
      <c r="Q33" s="31">
        <f t="shared" si="22"/>
        <v>7600</v>
      </c>
      <c r="R33" s="31">
        <f t="shared" si="22"/>
        <v>4100</v>
      </c>
      <c r="S33" s="31">
        <f>S34+S53+S59+S70+S80+S74</f>
        <v>152886.35999999999</v>
      </c>
      <c r="T33" s="36">
        <f t="shared" si="22"/>
        <v>265972.8</v>
      </c>
    </row>
    <row r="34" spans="1:20" hidden="1" x14ac:dyDescent="0.25">
      <c r="A34" s="59">
        <v>541</v>
      </c>
      <c r="B34" s="25" t="s">
        <v>47</v>
      </c>
      <c r="C34" s="31">
        <f>SUM(C35:C52)</f>
        <v>9102.36</v>
      </c>
      <c r="D34" s="31">
        <f t="shared" ref="D34:T34" si="23">SUM(D35:D52)</f>
        <v>1000</v>
      </c>
      <c r="E34" s="31">
        <f t="shared" si="23"/>
        <v>500</v>
      </c>
      <c r="F34" s="31">
        <f t="shared" si="23"/>
        <v>500</v>
      </c>
      <c r="G34" s="32">
        <f>SUM(G35:G52)</f>
        <v>11102.36</v>
      </c>
      <c r="H34" s="35">
        <f t="shared" si="23"/>
        <v>0</v>
      </c>
      <c r="I34" s="31">
        <f t="shared" si="23"/>
        <v>0</v>
      </c>
      <c r="J34" s="31">
        <f t="shared" si="23"/>
        <v>0</v>
      </c>
      <c r="K34" s="31">
        <f t="shared" si="23"/>
        <v>0</v>
      </c>
      <c r="L34" s="31">
        <f t="shared" si="23"/>
        <v>0</v>
      </c>
      <c r="M34" s="31">
        <f t="shared" si="23"/>
        <v>0</v>
      </c>
      <c r="N34" s="36">
        <f t="shared" si="23"/>
        <v>0</v>
      </c>
      <c r="O34" s="581">
        <f t="shared" si="23"/>
        <v>38600</v>
      </c>
      <c r="P34" s="31">
        <f t="shared" si="23"/>
        <v>8600</v>
      </c>
      <c r="Q34" s="31">
        <f t="shared" si="23"/>
        <v>7600</v>
      </c>
      <c r="R34" s="31">
        <f t="shared" si="23"/>
        <v>4100</v>
      </c>
      <c r="S34" s="31">
        <f>SUM(S35:S52)</f>
        <v>58900</v>
      </c>
      <c r="T34" s="36">
        <f t="shared" si="23"/>
        <v>70002.36</v>
      </c>
    </row>
    <row r="35" spans="1:20" hidden="1" x14ac:dyDescent="0.25">
      <c r="A35" s="60">
        <v>54101</v>
      </c>
      <c r="B35" s="7" t="s">
        <v>48</v>
      </c>
      <c r="C35" s="19"/>
      <c r="D35" s="19"/>
      <c r="E35" s="19"/>
      <c r="F35" s="19"/>
      <c r="G35" s="49">
        <f t="shared" si="7"/>
        <v>0</v>
      </c>
      <c r="H35" s="37"/>
      <c r="I35" s="19"/>
      <c r="J35" s="19"/>
      <c r="K35" s="19"/>
      <c r="L35" s="19"/>
      <c r="M35" s="19"/>
      <c r="N35" s="38">
        <f t="shared" si="2"/>
        <v>0</v>
      </c>
      <c r="O35" s="582">
        <v>1000</v>
      </c>
      <c r="P35" s="19"/>
      <c r="Q35" s="19"/>
      <c r="R35" s="19"/>
      <c r="S35" s="19">
        <f t="shared" ref="S35:S52" si="24">SUM(O35:R35)</f>
        <v>1000</v>
      </c>
      <c r="T35" s="48">
        <f t="shared" ref="T35:T52" si="25">S35+N35+G35</f>
        <v>1000</v>
      </c>
    </row>
    <row r="36" spans="1:20" hidden="1" x14ac:dyDescent="0.25">
      <c r="A36" s="60">
        <v>54103</v>
      </c>
      <c r="B36" s="7" t="s">
        <v>49</v>
      </c>
      <c r="C36" s="19"/>
      <c r="D36" s="19"/>
      <c r="E36" s="19"/>
      <c r="F36" s="19"/>
      <c r="G36" s="49">
        <f t="shared" si="7"/>
        <v>0</v>
      </c>
      <c r="H36" s="37"/>
      <c r="I36" s="19"/>
      <c r="J36" s="19"/>
      <c r="K36" s="19"/>
      <c r="L36" s="19"/>
      <c r="M36" s="19"/>
      <c r="N36" s="38">
        <f t="shared" si="2"/>
        <v>0</v>
      </c>
      <c r="O36" s="582">
        <v>500</v>
      </c>
      <c r="P36" s="19"/>
      <c r="Q36" s="19"/>
      <c r="R36" s="19"/>
      <c r="S36" s="19">
        <f t="shared" si="24"/>
        <v>500</v>
      </c>
      <c r="T36" s="48">
        <f t="shared" si="25"/>
        <v>500</v>
      </c>
    </row>
    <row r="37" spans="1:20" hidden="1" x14ac:dyDescent="0.25">
      <c r="A37" s="60">
        <v>54104</v>
      </c>
      <c r="B37" s="7" t="s">
        <v>50</v>
      </c>
      <c r="C37" s="19">
        <f>3605.36</f>
        <v>3605.36</v>
      </c>
      <c r="D37" s="19"/>
      <c r="E37" s="19"/>
      <c r="F37" s="19"/>
      <c r="G37" s="49">
        <f t="shared" si="7"/>
        <v>3605.36</v>
      </c>
      <c r="H37" s="37"/>
      <c r="I37" s="19"/>
      <c r="J37" s="19"/>
      <c r="K37" s="19"/>
      <c r="L37" s="19"/>
      <c r="M37" s="19"/>
      <c r="N37" s="38">
        <f t="shared" si="2"/>
        <v>0</v>
      </c>
      <c r="O37" s="582">
        <v>5400</v>
      </c>
      <c r="P37" s="19"/>
      <c r="Q37" s="19"/>
      <c r="R37" s="19"/>
      <c r="S37" s="19">
        <f t="shared" si="24"/>
        <v>5400</v>
      </c>
      <c r="T37" s="48">
        <f t="shared" si="25"/>
        <v>9005.36</v>
      </c>
    </row>
    <row r="38" spans="1:20" hidden="1" x14ac:dyDescent="0.25">
      <c r="A38" s="60">
        <v>54105</v>
      </c>
      <c r="B38" s="7" t="s">
        <v>51</v>
      </c>
      <c r="C38" s="19"/>
      <c r="D38" s="19"/>
      <c r="E38" s="19"/>
      <c r="F38" s="19"/>
      <c r="G38" s="49">
        <f t="shared" si="7"/>
        <v>0</v>
      </c>
      <c r="H38" s="37"/>
      <c r="I38" s="19"/>
      <c r="J38" s="19"/>
      <c r="K38" s="19"/>
      <c r="L38" s="19"/>
      <c r="M38" s="19"/>
      <c r="N38" s="38">
        <f t="shared" si="2"/>
        <v>0</v>
      </c>
      <c r="O38" s="582">
        <v>2000</v>
      </c>
      <c r="P38" s="19">
        <v>1500</v>
      </c>
      <c r="Q38" s="19">
        <v>1000</v>
      </c>
      <c r="R38" s="19">
        <v>500</v>
      </c>
      <c r="S38" s="19">
        <f t="shared" si="24"/>
        <v>5000</v>
      </c>
      <c r="T38" s="48">
        <f t="shared" si="25"/>
        <v>5000</v>
      </c>
    </row>
    <row r="39" spans="1:20" hidden="1" x14ac:dyDescent="0.25">
      <c r="A39" s="60">
        <v>54106</v>
      </c>
      <c r="B39" s="7" t="s">
        <v>52</v>
      </c>
      <c r="C39" s="19"/>
      <c r="D39" s="19"/>
      <c r="E39" s="19"/>
      <c r="F39" s="19"/>
      <c r="G39" s="49">
        <f t="shared" si="7"/>
        <v>0</v>
      </c>
      <c r="H39" s="37"/>
      <c r="I39" s="19"/>
      <c r="J39" s="19"/>
      <c r="K39" s="19"/>
      <c r="L39" s="19"/>
      <c r="M39" s="19"/>
      <c r="N39" s="38">
        <f t="shared" si="2"/>
        <v>0</v>
      </c>
      <c r="O39" s="582">
        <v>100</v>
      </c>
      <c r="P39" s="37">
        <v>100</v>
      </c>
      <c r="Q39" s="37">
        <v>100</v>
      </c>
      <c r="R39" s="37">
        <v>100</v>
      </c>
      <c r="S39" s="19">
        <f t="shared" si="24"/>
        <v>400</v>
      </c>
      <c r="T39" s="48">
        <f t="shared" si="25"/>
        <v>400</v>
      </c>
    </row>
    <row r="40" spans="1:20" hidden="1" x14ac:dyDescent="0.25">
      <c r="A40" s="60">
        <v>54107</v>
      </c>
      <c r="B40" s="7" t="s">
        <v>53</v>
      </c>
      <c r="C40" s="19"/>
      <c r="D40" s="19"/>
      <c r="E40" s="19"/>
      <c r="F40" s="19"/>
      <c r="G40" s="49">
        <f t="shared" si="7"/>
        <v>0</v>
      </c>
      <c r="H40" s="37"/>
      <c r="I40" s="19"/>
      <c r="J40" s="19"/>
      <c r="K40" s="19"/>
      <c r="L40" s="19"/>
      <c r="M40" s="19"/>
      <c r="N40" s="38">
        <f t="shared" si="2"/>
        <v>0</v>
      </c>
      <c r="O40" s="582">
        <v>2000</v>
      </c>
      <c r="P40" s="19">
        <v>1000</v>
      </c>
      <c r="Q40" s="19">
        <v>500</v>
      </c>
      <c r="R40" s="19">
        <v>500</v>
      </c>
      <c r="S40" s="19">
        <f t="shared" si="24"/>
        <v>4000</v>
      </c>
      <c r="T40" s="48">
        <f t="shared" si="25"/>
        <v>4000</v>
      </c>
    </row>
    <row r="41" spans="1:20" hidden="1" x14ac:dyDescent="0.25">
      <c r="A41" s="60">
        <v>54108</v>
      </c>
      <c r="B41" s="7" t="s">
        <v>54</v>
      </c>
      <c r="C41" s="19"/>
      <c r="D41" s="19"/>
      <c r="E41" s="19"/>
      <c r="F41" s="19"/>
      <c r="G41" s="49">
        <f t="shared" si="7"/>
        <v>0</v>
      </c>
      <c r="H41" s="37"/>
      <c r="I41" s="19"/>
      <c r="J41" s="19"/>
      <c r="K41" s="19"/>
      <c r="L41" s="19"/>
      <c r="M41" s="19"/>
      <c r="N41" s="38">
        <f t="shared" si="2"/>
        <v>0</v>
      </c>
      <c r="O41" s="582">
        <v>100</v>
      </c>
      <c r="P41" s="19"/>
      <c r="Q41" s="19"/>
      <c r="R41" s="19"/>
      <c r="S41" s="19">
        <f t="shared" si="24"/>
        <v>100</v>
      </c>
      <c r="T41" s="48">
        <f t="shared" si="25"/>
        <v>100</v>
      </c>
    </row>
    <row r="42" spans="1:20" hidden="1" x14ac:dyDescent="0.25">
      <c r="A42" s="60">
        <v>54109</v>
      </c>
      <c r="B42" s="7" t="s">
        <v>55</v>
      </c>
      <c r="C42" s="19"/>
      <c r="D42" s="19"/>
      <c r="E42" s="19"/>
      <c r="F42" s="19"/>
      <c r="G42" s="49">
        <f t="shared" si="7"/>
        <v>0</v>
      </c>
      <c r="H42" s="37"/>
      <c r="I42" s="19"/>
      <c r="J42" s="19"/>
      <c r="K42" s="19"/>
      <c r="L42" s="19"/>
      <c r="M42" s="19"/>
      <c r="N42" s="38">
        <f t="shared" si="2"/>
        <v>0</v>
      </c>
      <c r="O42" s="582">
        <v>9000</v>
      </c>
      <c r="P42" s="19"/>
      <c r="Q42" s="19"/>
      <c r="R42" s="19"/>
      <c r="S42" s="19">
        <f t="shared" si="24"/>
        <v>9000</v>
      </c>
      <c r="T42" s="48">
        <f t="shared" si="25"/>
        <v>9000</v>
      </c>
    </row>
    <row r="43" spans="1:20" hidden="1" x14ac:dyDescent="0.25">
      <c r="A43" s="60">
        <v>54110</v>
      </c>
      <c r="B43" s="7" t="s">
        <v>56</v>
      </c>
      <c r="C43" s="19">
        <v>1497</v>
      </c>
      <c r="D43" s="19">
        <v>1000</v>
      </c>
      <c r="E43" s="19">
        <v>500</v>
      </c>
      <c r="F43" s="19">
        <v>500</v>
      </c>
      <c r="G43" s="49">
        <f>C43+D43+E43+F43</f>
        <v>3497</v>
      </c>
      <c r="H43" s="37"/>
      <c r="I43" s="19"/>
      <c r="J43" s="19"/>
      <c r="K43" s="19"/>
      <c r="L43" s="19"/>
      <c r="M43" s="19"/>
      <c r="N43" s="38">
        <f t="shared" si="2"/>
        <v>0</v>
      </c>
      <c r="O43" s="582">
        <v>3000</v>
      </c>
      <c r="P43" s="19">
        <v>2000</v>
      </c>
      <c r="Q43" s="19">
        <v>2000</v>
      </c>
      <c r="R43" s="19">
        <v>1000</v>
      </c>
      <c r="S43" s="19">
        <f t="shared" si="24"/>
        <v>8000</v>
      </c>
      <c r="T43" s="48">
        <f t="shared" si="25"/>
        <v>11497</v>
      </c>
    </row>
    <row r="44" spans="1:20" hidden="1" x14ac:dyDescent="0.25">
      <c r="A44" s="60">
        <v>54111</v>
      </c>
      <c r="B44" s="7" t="s">
        <v>57</v>
      </c>
      <c r="C44" s="19"/>
      <c r="D44" s="19"/>
      <c r="E44" s="19"/>
      <c r="F44" s="19"/>
      <c r="G44" s="49">
        <f t="shared" si="7"/>
        <v>0</v>
      </c>
      <c r="H44" s="37"/>
      <c r="I44" s="19"/>
      <c r="J44" s="19"/>
      <c r="K44" s="19"/>
      <c r="L44" s="19"/>
      <c r="M44" s="19"/>
      <c r="N44" s="38">
        <f t="shared" si="2"/>
        <v>0</v>
      </c>
      <c r="O44" s="582">
        <v>1000</v>
      </c>
      <c r="P44" s="19"/>
      <c r="Q44" s="19"/>
      <c r="R44" s="19"/>
      <c r="S44" s="19">
        <f t="shared" si="24"/>
        <v>1000</v>
      </c>
      <c r="T44" s="48">
        <f t="shared" si="25"/>
        <v>1000</v>
      </c>
    </row>
    <row r="45" spans="1:20" hidden="1" x14ac:dyDescent="0.25">
      <c r="A45" s="60">
        <v>54112</v>
      </c>
      <c r="B45" s="7" t="s">
        <v>58</v>
      </c>
      <c r="C45" s="19"/>
      <c r="D45" s="19"/>
      <c r="E45" s="19"/>
      <c r="F45" s="19"/>
      <c r="G45" s="49">
        <f t="shared" si="7"/>
        <v>0</v>
      </c>
      <c r="H45" s="37"/>
      <c r="I45" s="19"/>
      <c r="J45" s="19"/>
      <c r="K45" s="19"/>
      <c r="L45" s="19"/>
      <c r="M45" s="19"/>
      <c r="N45" s="38">
        <f t="shared" si="2"/>
        <v>0</v>
      </c>
      <c r="O45" s="582">
        <v>1000</v>
      </c>
      <c r="P45" s="19"/>
      <c r="Q45" s="19"/>
      <c r="R45" s="19"/>
      <c r="S45" s="19">
        <f t="shared" si="24"/>
        <v>1000</v>
      </c>
      <c r="T45" s="48">
        <f t="shared" si="25"/>
        <v>1000</v>
      </c>
    </row>
    <row r="46" spans="1:20" hidden="1" x14ac:dyDescent="0.25">
      <c r="A46" s="60">
        <v>54114</v>
      </c>
      <c r="B46" s="7" t="s">
        <v>59</v>
      </c>
      <c r="C46" s="19"/>
      <c r="D46" s="19"/>
      <c r="E46" s="19"/>
      <c r="F46" s="19"/>
      <c r="G46" s="49">
        <f t="shared" si="7"/>
        <v>0</v>
      </c>
      <c r="H46" s="37"/>
      <c r="I46" s="19"/>
      <c r="J46" s="19"/>
      <c r="K46" s="19"/>
      <c r="L46" s="19"/>
      <c r="M46" s="19"/>
      <c r="N46" s="38">
        <f t="shared" si="2"/>
        <v>0</v>
      </c>
      <c r="O46" s="582">
        <v>3000</v>
      </c>
      <c r="P46" s="19">
        <v>2000</v>
      </c>
      <c r="Q46" s="19">
        <v>2000</v>
      </c>
      <c r="R46" s="19">
        <v>1000</v>
      </c>
      <c r="S46" s="19">
        <f t="shared" si="24"/>
        <v>8000</v>
      </c>
      <c r="T46" s="48">
        <f t="shared" si="25"/>
        <v>8000</v>
      </c>
    </row>
    <row r="47" spans="1:20" hidden="1" x14ac:dyDescent="0.25">
      <c r="A47" s="60">
        <v>54115</v>
      </c>
      <c r="B47" s="7" t="s">
        <v>60</v>
      </c>
      <c r="C47" s="19"/>
      <c r="D47" s="19"/>
      <c r="E47" s="19"/>
      <c r="F47" s="19"/>
      <c r="G47" s="49">
        <f t="shared" si="7"/>
        <v>0</v>
      </c>
      <c r="H47" s="37"/>
      <c r="I47" s="19"/>
      <c r="J47" s="19"/>
      <c r="K47" s="19"/>
      <c r="L47" s="19"/>
      <c r="M47" s="19"/>
      <c r="N47" s="38">
        <f t="shared" si="2"/>
        <v>0</v>
      </c>
      <c r="O47" s="582">
        <v>6000</v>
      </c>
      <c r="P47" s="19">
        <v>2000</v>
      </c>
      <c r="Q47" s="19">
        <v>2000</v>
      </c>
      <c r="R47" s="19">
        <v>1000</v>
      </c>
      <c r="S47" s="19">
        <f t="shared" si="24"/>
        <v>11000</v>
      </c>
      <c r="T47" s="48">
        <f t="shared" si="25"/>
        <v>11000</v>
      </c>
    </row>
    <row r="48" spans="1:20" hidden="1" x14ac:dyDescent="0.25">
      <c r="A48" s="60">
        <v>54116</v>
      </c>
      <c r="B48" s="7" t="s">
        <v>61</v>
      </c>
      <c r="C48" s="19"/>
      <c r="D48" s="19"/>
      <c r="E48" s="19"/>
      <c r="F48" s="19"/>
      <c r="G48" s="49">
        <f t="shared" si="7"/>
        <v>0</v>
      </c>
      <c r="H48" s="37"/>
      <c r="I48" s="19"/>
      <c r="J48" s="19"/>
      <c r="K48" s="19"/>
      <c r="L48" s="19"/>
      <c r="M48" s="19"/>
      <c r="N48" s="38">
        <f t="shared" si="2"/>
        <v>0</v>
      </c>
      <c r="O48" s="582">
        <v>1000</v>
      </c>
      <c r="P48" s="19"/>
      <c r="Q48" s="19"/>
      <c r="R48" s="19"/>
      <c r="S48" s="19">
        <f t="shared" si="24"/>
        <v>1000</v>
      </c>
      <c r="T48" s="48">
        <f t="shared" si="25"/>
        <v>1000</v>
      </c>
    </row>
    <row r="49" spans="1:20" hidden="1" x14ac:dyDescent="0.25">
      <c r="A49" s="60">
        <v>54118</v>
      </c>
      <c r="B49" s="7" t="s">
        <v>62</v>
      </c>
      <c r="C49" s="19"/>
      <c r="D49" s="19"/>
      <c r="E49" s="19"/>
      <c r="F49" s="19"/>
      <c r="G49" s="49">
        <f t="shared" si="7"/>
        <v>0</v>
      </c>
      <c r="H49" s="37"/>
      <c r="I49" s="19"/>
      <c r="J49" s="19"/>
      <c r="K49" s="19"/>
      <c r="L49" s="19"/>
      <c r="M49" s="19"/>
      <c r="N49" s="38">
        <f t="shared" si="2"/>
        <v>0</v>
      </c>
      <c r="O49" s="582">
        <v>1000</v>
      </c>
      <c r="P49" s="19"/>
      <c r="Q49" s="19"/>
      <c r="R49" s="19"/>
      <c r="S49" s="19">
        <f t="shared" si="24"/>
        <v>1000</v>
      </c>
      <c r="T49" s="48">
        <f t="shared" si="25"/>
        <v>1000</v>
      </c>
    </row>
    <row r="50" spans="1:20" hidden="1" x14ac:dyDescent="0.25">
      <c r="A50" s="60">
        <v>54119</v>
      </c>
      <c r="B50" s="7" t="s">
        <v>63</v>
      </c>
      <c r="C50" s="19"/>
      <c r="D50" s="19"/>
      <c r="E50" s="19"/>
      <c r="F50" s="19"/>
      <c r="G50" s="49">
        <f t="shared" si="7"/>
        <v>0</v>
      </c>
      <c r="H50" s="37"/>
      <c r="I50" s="19"/>
      <c r="J50" s="19"/>
      <c r="K50" s="19"/>
      <c r="L50" s="19"/>
      <c r="M50" s="19"/>
      <c r="N50" s="38">
        <f t="shared" si="2"/>
        <v>0</v>
      </c>
      <c r="O50" s="582">
        <v>1500</v>
      </c>
      <c r="P50" s="19"/>
      <c r="Q50" s="19"/>
      <c r="R50" s="19"/>
      <c r="S50" s="19">
        <f t="shared" si="24"/>
        <v>1500</v>
      </c>
      <c r="T50" s="48">
        <f t="shared" si="25"/>
        <v>1500</v>
      </c>
    </row>
    <row r="51" spans="1:20" hidden="1" x14ac:dyDescent="0.25">
      <c r="A51" s="60">
        <v>54121</v>
      </c>
      <c r="B51" s="7" t="s">
        <v>64</v>
      </c>
      <c r="C51" s="19">
        <v>4000</v>
      </c>
      <c r="D51" s="19"/>
      <c r="E51" s="19"/>
      <c r="F51" s="19"/>
      <c r="G51" s="49">
        <f t="shared" si="7"/>
        <v>4000</v>
      </c>
      <c r="H51" s="37"/>
      <c r="I51" s="19"/>
      <c r="J51" s="19"/>
      <c r="K51" s="19"/>
      <c r="L51" s="19"/>
      <c r="M51" s="19"/>
      <c r="N51" s="38">
        <f t="shared" si="2"/>
        <v>0</v>
      </c>
      <c r="O51" s="582"/>
      <c r="P51" s="19"/>
      <c r="Q51" s="19"/>
      <c r="R51" s="19"/>
      <c r="S51" s="19">
        <f t="shared" si="24"/>
        <v>0</v>
      </c>
      <c r="T51" s="48">
        <f t="shared" si="25"/>
        <v>4000</v>
      </c>
    </row>
    <row r="52" spans="1:20" hidden="1" x14ac:dyDescent="0.25">
      <c r="A52" s="60">
        <v>54199</v>
      </c>
      <c r="B52" s="7" t="s">
        <v>47</v>
      </c>
      <c r="C52" s="19"/>
      <c r="D52" s="19"/>
      <c r="E52" s="19"/>
      <c r="F52" s="19"/>
      <c r="G52" s="49">
        <f t="shared" si="7"/>
        <v>0</v>
      </c>
      <c r="H52" s="37"/>
      <c r="I52" s="19"/>
      <c r="J52" s="19"/>
      <c r="K52" s="19"/>
      <c r="L52" s="19"/>
      <c r="M52" s="19"/>
      <c r="N52" s="38">
        <f t="shared" si="2"/>
        <v>0</v>
      </c>
      <c r="O52" s="582">
        <v>1000</v>
      </c>
      <c r="P52" s="19"/>
      <c r="Q52" s="19"/>
      <c r="R52" s="19"/>
      <c r="S52" s="19">
        <f t="shared" si="24"/>
        <v>1000</v>
      </c>
      <c r="T52" s="48">
        <f t="shared" si="25"/>
        <v>1000</v>
      </c>
    </row>
    <row r="53" spans="1:20" hidden="1" x14ac:dyDescent="0.25">
      <c r="A53" s="59">
        <v>542</v>
      </c>
      <c r="B53" s="25" t="s">
        <v>65</v>
      </c>
      <c r="C53" s="31">
        <f>SUM(C54:C58)</f>
        <v>110745.44</v>
      </c>
      <c r="D53" s="31">
        <f t="shared" ref="D53:T53" si="26">SUM(D54:D58)</f>
        <v>0</v>
      </c>
      <c r="E53" s="31">
        <f t="shared" si="26"/>
        <v>0</v>
      </c>
      <c r="F53" s="31">
        <f t="shared" si="26"/>
        <v>0</v>
      </c>
      <c r="G53" s="32">
        <f>SUM(G54:G58)</f>
        <v>110745.44</v>
      </c>
      <c r="H53" s="35">
        <f t="shared" si="26"/>
        <v>0</v>
      </c>
      <c r="I53" s="31">
        <f t="shared" si="26"/>
        <v>0</v>
      </c>
      <c r="J53" s="31">
        <f t="shared" si="26"/>
        <v>0</v>
      </c>
      <c r="K53" s="31">
        <f t="shared" si="26"/>
        <v>0</v>
      </c>
      <c r="L53" s="31">
        <f t="shared" si="26"/>
        <v>0</v>
      </c>
      <c r="M53" s="31">
        <f t="shared" si="26"/>
        <v>0</v>
      </c>
      <c r="N53" s="36">
        <f t="shared" si="26"/>
        <v>0</v>
      </c>
      <c r="O53" s="581">
        <f t="shared" si="26"/>
        <v>37125</v>
      </c>
      <c r="P53" s="31">
        <f t="shared" si="26"/>
        <v>0</v>
      </c>
      <c r="Q53" s="31">
        <f t="shared" si="26"/>
        <v>0</v>
      </c>
      <c r="R53" s="31">
        <f t="shared" si="26"/>
        <v>0</v>
      </c>
      <c r="S53" s="31">
        <f t="shared" si="26"/>
        <v>37125</v>
      </c>
      <c r="T53" s="36">
        <f t="shared" si="26"/>
        <v>147870.44</v>
      </c>
    </row>
    <row r="54" spans="1:20" hidden="1" x14ac:dyDescent="0.25">
      <c r="A54" s="60">
        <v>54201</v>
      </c>
      <c r="B54" s="7" t="s">
        <v>66</v>
      </c>
      <c r="C54" s="19">
        <v>49082.94</v>
      </c>
      <c r="D54" s="19"/>
      <c r="E54" s="19"/>
      <c r="F54" s="19"/>
      <c r="G54" s="49">
        <f t="shared" si="7"/>
        <v>49082.94</v>
      </c>
      <c r="H54" s="37"/>
      <c r="I54" s="19"/>
      <c r="J54" s="19"/>
      <c r="K54" s="19"/>
      <c r="L54" s="19"/>
      <c r="M54" s="19"/>
      <c r="N54" s="38">
        <f t="shared" si="2"/>
        <v>0</v>
      </c>
      <c r="O54" s="582">
        <v>16400</v>
      </c>
      <c r="P54" s="19"/>
      <c r="Q54" s="19"/>
      <c r="R54" s="19"/>
      <c r="S54" s="19">
        <f t="shared" ref="S54:S58" si="27">SUM(O54:R54)</f>
        <v>16400</v>
      </c>
      <c r="T54" s="48">
        <f t="shared" ref="T54:T58" si="28">S54+N54+G54</f>
        <v>65482.94</v>
      </c>
    </row>
    <row r="55" spans="1:20" hidden="1" x14ac:dyDescent="0.25">
      <c r="A55" s="61">
        <v>54202</v>
      </c>
      <c r="B55" s="7" t="s">
        <v>67</v>
      </c>
      <c r="C55" s="19">
        <f>944.73</f>
        <v>944.73</v>
      </c>
      <c r="D55" s="19"/>
      <c r="E55" s="19"/>
      <c r="F55" s="19"/>
      <c r="G55" s="49">
        <f t="shared" si="7"/>
        <v>944.73</v>
      </c>
      <c r="H55" s="37"/>
      <c r="I55" s="19"/>
      <c r="J55" s="19"/>
      <c r="K55" s="19"/>
      <c r="L55" s="19"/>
      <c r="M55" s="19"/>
      <c r="N55" s="38">
        <f t="shared" si="2"/>
        <v>0</v>
      </c>
      <c r="O55" s="582">
        <v>350</v>
      </c>
      <c r="P55" s="19"/>
      <c r="Q55" s="19"/>
      <c r="R55" s="19"/>
      <c r="S55" s="19">
        <f t="shared" si="27"/>
        <v>350</v>
      </c>
      <c r="T55" s="48">
        <f t="shared" si="28"/>
        <v>1294.73</v>
      </c>
    </row>
    <row r="56" spans="1:20" hidden="1" x14ac:dyDescent="0.25">
      <c r="A56" s="61">
        <v>54203</v>
      </c>
      <c r="B56" s="7" t="s">
        <v>68</v>
      </c>
      <c r="C56" s="19">
        <f>3217.77+4500+3500</f>
        <v>11217.77</v>
      </c>
      <c r="D56" s="19"/>
      <c r="E56" s="19"/>
      <c r="F56" s="19"/>
      <c r="G56" s="49">
        <f t="shared" si="7"/>
        <v>11217.77</v>
      </c>
      <c r="H56" s="37"/>
      <c r="I56" s="19"/>
      <c r="J56" s="19"/>
      <c r="K56" s="19"/>
      <c r="L56" s="19"/>
      <c r="M56" s="19"/>
      <c r="N56" s="38">
        <f t="shared" si="2"/>
        <v>0</v>
      </c>
      <c r="O56" s="582">
        <v>3775</v>
      </c>
      <c r="P56" s="19"/>
      <c r="Q56" s="19"/>
      <c r="R56" s="19"/>
      <c r="S56" s="19">
        <f t="shared" si="27"/>
        <v>3775</v>
      </c>
      <c r="T56" s="48">
        <f t="shared" si="28"/>
        <v>14992.77</v>
      </c>
    </row>
    <row r="57" spans="1:20" hidden="1" x14ac:dyDescent="0.25">
      <c r="A57" s="61">
        <v>54204</v>
      </c>
      <c r="B57" s="7" t="s">
        <v>69</v>
      </c>
      <c r="C57" s="19"/>
      <c r="D57" s="19"/>
      <c r="E57" s="19"/>
      <c r="F57" s="19"/>
      <c r="G57" s="49">
        <f t="shared" si="7"/>
        <v>0</v>
      </c>
      <c r="H57" s="37"/>
      <c r="I57" s="19"/>
      <c r="J57" s="19"/>
      <c r="K57" s="19"/>
      <c r="L57" s="19"/>
      <c r="M57" s="19"/>
      <c r="N57" s="38">
        <f t="shared" si="2"/>
        <v>0</v>
      </c>
      <c r="O57" s="582">
        <v>100</v>
      </c>
      <c r="P57" s="19"/>
      <c r="Q57" s="19"/>
      <c r="R57" s="19"/>
      <c r="S57" s="19">
        <f t="shared" si="27"/>
        <v>100</v>
      </c>
      <c r="T57" s="48">
        <f t="shared" si="28"/>
        <v>100</v>
      </c>
    </row>
    <row r="58" spans="1:20" hidden="1" x14ac:dyDescent="0.25">
      <c r="A58" s="61">
        <v>54205</v>
      </c>
      <c r="B58" s="7" t="s">
        <v>70</v>
      </c>
      <c r="C58" s="19">
        <v>49500</v>
      </c>
      <c r="D58" s="19"/>
      <c r="E58" s="19"/>
      <c r="F58" s="19"/>
      <c r="G58" s="49">
        <f t="shared" si="7"/>
        <v>49500</v>
      </c>
      <c r="H58" s="37"/>
      <c r="I58" s="19"/>
      <c r="J58" s="19"/>
      <c r="K58" s="19"/>
      <c r="L58" s="19"/>
      <c r="M58" s="19"/>
      <c r="N58" s="38">
        <f t="shared" si="2"/>
        <v>0</v>
      </c>
      <c r="O58" s="582">
        <v>16500</v>
      </c>
      <c r="P58" s="19"/>
      <c r="Q58" s="19"/>
      <c r="R58" s="19"/>
      <c r="S58" s="19">
        <f t="shared" si="27"/>
        <v>16500</v>
      </c>
      <c r="T58" s="48">
        <f t="shared" si="28"/>
        <v>66000</v>
      </c>
    </row>
    <row r="59" spans="1:20" hidden="1" x14ac:dyDescent="0.25">
      <c r="A59" s="62">
        <v>543</v>
      </c>
      <c r="B59" s="25" t="s">
        <v>71</v>
      </c>
      <c r="C59" s="31">
        <f>SUM(C60:C69)</f>
        <v>0</v>
      </c>
      <c r="D59" s="31">
        <f t="shared" ref="D59:S59" si="29">SUM(D60:D69)</f>
        <v>0</v>
      </c>
      <c r="E59" s="31">
        <f t="shared" si="29"/>
        <v>0</v>
      </c>
      <c r="F59" s="31">
        <f t="shared" si="29"/>
        <v>0</v>
      </c>
      <c r="G59" s="32">
        <f>SUM(G60:G69)</f>
        <v>0</v>
      </c>
      <c r="H59" s="35">
        <f t="shared" si="29"/>
        <v>0</v>
      </c>
      <c r="I59" s="31">
        <f t="shared" si="29"/>
        <v>0</v>
      </c>
      <c r="J59" s="31">
        <f t="shared" si="29"/>
        <v>0</v>
      </c>
      <c r="K59" s="31">
        <f t="shared" si="29"/>
        <v>0</v>
      </c>
      <c r="L59" s="31">
        <f t="shared" si="29"/>
        <v>0</v>
      </c>
      <c r="M59" s="31">
        <f t="shared" si="29"/>
        <v>0</v>
      </c>
      <c r="N59" s="36">
        <f t="shared" si="29"/>
        <v>0</v>
      </c>
      <c r="O59" s="581">
        <f t="shared" si="29"/>
        <v>48100</v>
      </c>
      <c r="P59" s="31">
        <f t="shared" si="29"/>
        <v>0</v>
      </c>
      <c r="Q59" s="31">
        <f t="shared" si="29"/>
        <v>0</v>
      </c>
      <c r="R59" s="31">
        <f t="shared" si="29"/>
        <v>0</v>
      </c>
      <c r="S59" s="31">
        <f t="shared" si="29"/>
        <v>48100</v>
      </c>
      <c r="T59" s="36">
        <f>SUM(T60:T69)</f>
        <v>48100</v>
      </c>
    </row>
    <row r="60" spans="1:20" hidden="1" x14ac:dyDescent="0.25">
      <c r="A60" s="61">
        <v>54301</v>
      </c>
      <c r="B60" s="7" t="s">
        <v>72</v>
      </c>
      <c r="C60" s="19"/>
      <c r="D60" s="19"/>
      <c r="E60" s="19"/>
      <c r="F60" s="19"/>
      <c r="G60" s="49">
        <f t="shared" si="7"/>
        <v>0</v>
      </c>
      <c r="H60" s="37"/>
      <c r="I60" s="19"/>
      <c r="J60" s="19"/>
      <c r="K60" s="19"/>
      <c r="L60" s="19"/>
      <c r="M60" s="19"/>
      <c r="N60" s="38">
        <f t="shared" si="2"/>
        <v>0</v>
      </c>
      <c r="O60" s="582">
        <v>10000</v>
      </c>
      <c r="P60" s="19"/>
      <c r="Q60" s="19"/>
      <c r="R60" s="19"/>
      <c r="S60" s="19">
        <f t="shared" ref="S60:S81" si="30">SUM(O60:R60)</f>
        <v>10000</v>
      </c>
      <c r="T60" s="48">
        <f t="shared" ref="T60:T69" si="31">S60+N60+G60</f>
        <v>10000</v>
      </c>
    </row>
    <row r="61" spans="1:20" hidden="1" x14ac:dyDescent="0.25">
      <c r="A61" s="61">
        <v>54302</v>
      </c>
      <c r="B61" s="7" t="s">
        <v>73</v>
      </c>
      <c r="C61" s="19"/>
      <c r="D61" s="19"/>
      <c r="E61" s="19"/>
      <c r="F61" s="19"/>
      <c r="G61" s="49">
        <f t="shared" si="7"/>
        <v>0</v>
      </c>
      <c r="H61" s="37"/>
      <c r="I61" s="19"/>
      <c r="J61" s="19"/>
      <c r="K61" s="19"/>
      <c r="L61" s="19"/>
      <c r="M61" s="19"/>
      <c r="N61" s="38">
        <f t="shared" si="2"/>
        <v>0</v>
      </c>
      <c r="O61" s="582">
        <v>100</v>
      </c>
      <c r="P61" s="19"/>
      <c r="Q61" s="19"/>
      <c r="R61" s="19"/>
      <c r="S61" s="19">
        <f t="shared" si="30"/>
        <v>100</v>
      </c>
      <c r="T61" s="48">
        <f t="shared" si="31"/>
        <v>100</v>
      </c>
    </row>
    <row r="62" spans="1:20" hidden="1" x14ac:dyDescent="0.25">
      <c r="A62" s="61">
        <v>54303</v>
      </c>
      <c r="B62" s="7" t="s">
        <v>74</v>
      </c>
      <c r="C62" s="19"/>
      <c r="D62" s="19"/>
      <c r="E62" s="19"/>
      <c r="F62" s="19"/>
      <c r="G62" s="49">
        <f t="shared" si="7"/>
        <v>0</v>
      </c>
      <c r="H62" s="37"/>
      <c r="I62" s="19"/>
      <c r="J62" s="19"/>
      <c r="K62" s="19"/>
      <c r="L62" s="19"/>
      <c r="M62" s="19"/>
      <c r="N62" s="38">
        <f t="shared" si="2"/>
        <v>0</v>
      </c>
      <c r="O62" s="582">
        <v>1500</v>
      </c>
      <c r="P62" s="19"/>
      <c r="Q62" s="19"/>
      <c r="R62" s="19"/>
      <c r="S62" s="19">
        <f t="shared" si="30"/>
        <v>1500</v>
      </c>
      <c r="T62" s="48">
        <f t="shared" si="31"/>
        <v>1500</v>
      </c>
    </row>
    <row r="63" spans="1:20" hidden="1" x14ac:dyDescent="0.25">
      <c r="A63" s="61">
        <v>54304</v>
      </c>
      <c r="B63" s="7" t="s">
        <v>75</v>
      </c>
      <c r="C63" s="19"/>
      <c r="D63" s="19"/>
      <c r="E63" s="19"/>
      <c r="F63" s="19"/>
      <c r="G63" s="49">
        <f t="shared" si="7"/>
        <v>0</v>
      </c>
      <c r="H63" s="37"/>
      <c r="I63" s="19"/>
      <c r="J63" s="19"/>
      <c r="K63" s="19"/>
      <c r="L63" s="19"/>
      <c r="M63" s="19"/>
      <c r="N63" s="38">
        <f t="shared" si="2"/>
        <v>0</v>
      </c>
      <c r="O63" s="582">
        <f>500*12</f>
        <v>6000</v>
      </c>
      <c r="P63" s="19"/>
      <c r="Q63" s="19"/>
      <c r="R63" s="19"/>
      <c r="S63" s="19">
        <f t="shared" si="30"/>
        <v>6000</v>
      </c>
      <c r="T63" s="48">
        <f t="shared" si="31"/>
        <v>6000</v>
      </c>
    </row>
    <row r="64" spans="1:20" hidden="1" x14ac:dyDescent="0.25">
      <c r="A64" s="61">
        <v>54305</v>
      </c>
      <c r="B64" s="7" t="s">
        <v>76</v>
      </c>
      <c r="C64" s="19"/>
      <c r="D64" s="19"/>
      <c r="E64" s="19"/>
      <c r="F64" s="19"/>
      <c r="G64" s="49">
        <f t="shared" si="7"/>
        <v>0</v>
      </c>
      <c r="H64" s="37"/>
      <c r="I64" s="19"/>
      <c r="J64" s="19"/>
      <c r="K64" s="19"/>
      <c r="L64" s="19"/>
      <c r="M64" s="19"/>
      <c r="N64" s="38">
        <f t="shared" si="2"/>
        <v>0</v>
      </c>
      <c r="O64" s="582">
        <f>600*12</f>
        <v>7200</v>
      </c>
      <c r="P64" s="19"/>
      <c r="Q64" s="19"/>
      <c r="R64" s="19"/>
      <c r="S64" s="19">
        <f t="shared" si="30"/>
        <v>7200</v>
      </c>
      <c r="T64" s="48">
        <f t="shared" si="31"/>
        <v>7200</v>
      </c>
    </row>
    <row r="65" spans="1:20" hidden="1" x14ac:dyDescent="0.25">
      <c r="A65" s="61">
        <v>54307</v>
      </c>
      <c r="B65" s="7" t="s">
        <v>77</v>
      </c>
      <c r="C65" s="19"/>
      <c r="D65" s="19"/>
      <c r="E65" s="19"/>
      <c r="F65" s="19"/>
      <c r="G65" s="49">
        <f t="shared" si="7"/>
        <v>0</v>
      </c>
      <c r="H65" s="37"/>
      <c r="I65" s="19"/>
      <c r="J65" s="19"/>
      <c r="K65" s="19"/>
      <c r="L65" s="19"/>
      <c r="M65" s="19"/>
      <c r="N65" s="38">
        <f t="shared" si="2"/>
        <v>0</v>
      </c>
      <c r="O65" s="582">
        <v>100</v>
      </c>
      <c r="P65" s="19"/>
      <c r="Q65" s="19"/>
      <c r="R65" s="19"/>
      <c r="S65" s="19">
        <f t="shared" si="30"/>
        <v>100</v>
      </c>
      <c r="T65" s="48">
        <f t="shared" si="31"/>
        <v>100</v>
      </c>
    </row>
    <row r="66" spans="1:20" hidden="1" x14ac:dyDescent="0.25">
      <c r="A66" s="61">
        <v>54311</v>
      </c>
      <c r="B66" s="7" t="s">
        <v>78</v>
      </c>
      <c r="C66" s="19"/>
      <c r="D66" s="19"/>
      <c r="E66" s="19"/>
      <c r="F66" s="19"/>
      <c r="G66" s="49">
        <f t="shared" si="7"/>
        <v>0</v>
      </c>
      <c r="H66" s="37"/>
      <c r="I66" s="19"/>
      <c r="J66" s="19"/>
      <c r="K66" s="19"/>
      <c r="L66" s="19"/>
      <c r="M66" s="19"/>
      <c r="N66" s="38">
        <f t="shared" si="2"/>
        <v>0</v>
      </c>
      <c r="O66" s="582">
        <v>100</v>
      </c>
      <c r="P66" s="19"/>
      <c r="Q66" s="19"/>
      <c r="R66" s="19"/>
      <c r="S66" s="19">
        <f t="shared" si="30"/>
        <v>100</v>
      </c>
      <c r="T66" s="48">
        <f t="shared" si="31"/>
        <v>100</v>
      </c>
    </row>
    <row r="67" spans="1:20" hidden="1" x14ac:dyDescent="0.25">
      <c r="A67" s="61">
        <v>54313</v>
      </c>
      <c r="B67" s="7" t="s">
        <v>79</v>
      </c>
      <c r="C67" s="19"/>
      <c r="D67" s="19"/>
      <c r="E67" s="19"/>
      <c r="F67" s="19"/>
      <c r="G67" s="49">
        <f t="shared" si="7"/>
        <v>0</v>
      </c>
      <c r="H67" s="37"/>
      <c r="I67" s="19"/>
      <c r="J67" s="19"/>
      <c r="K67" s="19"/>
      <c r="L67" s="19"/>
      <c r="M67" s="19"/>
      <c r="N67" s="38">
        <f t="shared" si="2"/>
        <v>0</v>
      </c>
      <c r="O67" s="582">
        <f>300*12</f>
        <v>3600</v>
      </c>
      <c r="P67" s="19"/>
      <c r="Q67" s="19"/>
      <c r="R67" s="19"/>
      <c r="S67" s="19">
        <f t="shared" si="30"/>
        <v>3600</v>
      </c>
      <c r="T67" s="48">
        <f t="shared" si="31"/>
        <v>3600</v>
      </c>
    </row>
    <row r="68" spans="1:20" hidden="1" x14ac:dyDescent="0.25">
      <c r="A68" s="61">
        <v>54314</v>
      </c>
      <c r="B68" s="7" t="s">
        <v>80</v>
      </c>
      <c r="C68" s="19"/>
      <c r="D68" s="19"/>
      <c r="E68" s="19"/>
      <c r="F68" s="19"/>
      <c r="G68" s="49">
        <f t="shared" si="7"/>
        <v>0</v>
      </c>
      <c r="H68" s="37"/>
      <c r="I68" s="19"/>
      <c r="J68" s="19"/>
      <c r="K68" s="19"/>
      <c r="L68" s="19"/>
      <c r="M68" s="19"/>
      <c r="N68" s="38">
        <f t="shared" si="2"/>
        <v>0</v>
      </c>
      <c r="O68" s="582">
        <v>17000</v>
      </c>
      <c r="P68" s="19"/>
      <c r="Q68" s="19"/>
      <c r="R68" s="19"/>
      <c r="S68" s="19">
        <f t="shared" si="30"/>
        <v>17000</v>
      </c>
      <c r="T68" s="48">
        <f t="shared" si="31"/>
        <v>17000</v>
      </c>
    </row>
    <row r="69" spans="1:20" hidden="1" x14ac:dyDescent="0.25">
      <c r="A69" s="61">
        <v>54316</v>
      </c>
      <c r="B69" s="7" t="s">
        <v>136</v>
      </c>
      <c r="C69" s="19"/>
      <c r="D69" s="19"/>
      <c r="E69" s="19"/>
      <c r="F69" s="19"/>
      <c r="G69" s="49">
        <f t="shared" si="7"/>
        <v>0</v>
      </c>
      <c r="H69" s="37"/>
      <c r="I69" s="19"/>
      <c r="J69" s="19"/>
      <c r="K69" s="19"/>
      <c r="L69" s="19"/>
      <c r="M69" s="19"/>
      <c r="N69" s="38">
        <f t="shared" si="2"/>
        <v>0</v>
      </c>
      <c r="O69" s="582">
        <v>2500</v>
      </c>
      <c r="P69" s="19"/>
      <c r="Q69" s="19"/>
      <c r="R69" s="19"/>
      <c r="S69" s="19">
        <f t="shared" si="30"/>
        <v>2500</v>
      </c>
      <c r="T69" s="48">
        <f t="shared" si="31"/>
        <v>2500</v>
      </c>
    </row>
    <row r="70" spans="1:20" hidden="1" x14ac:dyDescent="0.25">
      <c r="A70" s="62">
        <v>544</v>
      </c>
      <c r="B70" s="25" t="s">
        <v>87</v>
      </c>
      <c r="C70" s="25"/>
      <c r="D70" s="29">
        <f t="shared" ref="D70:S70" si="32">SUM(D71:D73)</f>
        <v>0</v>
      </c>
      <c r="E70" s="29">
        <f t="shared" si="32"/>
        <v>0</v>
      </c>
      <c r="F70" s="29">
        <f t="shared" si="32"/>
        <v>0</v>
      </c>
      <c r="G70" s="34">
        <f>SUM(G71:G73)</f>
        <v>0</v>
      </c>
      <c r="H70" s="39">
        <f t="shared" si="32"/>
        <v>0</v>
      </c>
      <c r="I70" s="29">
        <f t="shared" si="32"/>
        <v>0</v>
      </c>
      <c r="J70" s="29">
        <f t="shared" si="32"/>
        <v>0</v>
      </c>
      <c r="K70" s="29">
        <f t="shared" si="32"/>
        <v>0</v>
      </c>
      <c r="L70" s="29">
        <f t="shared" si="32"/>
        <v>0</v>
      </c>
      <c r="M70" s="29">
        <f t="shared" si="32"/>
        <v>0</v>
      </c>
      <c r="N70" s="40">
        <f t="shared" si="32"/>
        <v>0</v>
      </c>
      <c r="O70" s="581">
        <f t="shared" si="32"/>
        <v>3500</v>
      </c>
      <c r="P70" s="29">
        <f t="shared" si="32"/>
        <v>0</v>
      </c>
      <c r="Q70" s="29">
        <f t="shared" si="32"/>
        <v>0</v>
      </c>
      <c r="R70" s="29">
        <f t="shared" si="32"/>
        <v>0</v>
      </c>
      <c r="S70" s="31">
        <f t="shared" si="32"/>
        <v>3500</v>
      </c>
      <c r="T70" s="40">
        <f>SUM(T71:T73)</f>
        <v>3500</v>
      </c>
    </row>
    <row r="71" spans="1:20" hidden="1" x14ac:dyDescent="0.25">
      <c r="A71" s="61">
        <v>54401</v>
      </c>
      <c r="B71" s="7" t="s">
        <v>88</v>
      </c>
      <c r="C71" s="7"/>
      <c r="D71" s="30"/>
      <c r="E71" s="19"/>
      <c r="F71" s="19"/>
      <c r="G71" s="49">
        <f t="shared" si="7"/>
        <v>0</v>
      </c>
      <c r="H71" s="37"/>
      <c r="I71" s="19"/>
      <c r="J71" s="19"/>
      <c r="K71" s="19"/>
      <c r="L71" s="19"/>
      <c r="M71" s="19"/>
      <c r="N71" s="41"/>
      <c r="O71" s="582">
        <v>800</v>
      </c>
      <c r="P71" s="19"/>
      <c r="Q71" s="19"/>
      <c r="R71" s="19"/>
      <c r="S71" s="19">
        <f t="shared" si="30"/>
        <v>800</v>
      </c>
      <c r="T71" s="48">
        <f t="shared" ref="T71:T73" si="33">S71+N71+G71</f>
        <v>800</v>
      </c>
    </row>
    <row r="72" spans="1:20" hidden="1" x14ac:dyDescent="0.25">
      <c r="A72" s="61">
        <v>54402</v>
      </c>
      <c r="B72" s="7" t="s">
        <v>89</v>
      </c>
      <c r="C72" s="7"/>
      <c r="D72" s="30"/>
      <c r="E72" s="19"/>
      <c r="F72" s="19"/>
      <c r="G72" s="49">
        <f t="shared" si="7"/>
        <v>0</v>
      </c>
      <c r="H72" s="37"/>
      <c r="I72" s="19"/>
      <c r="J72" s="19"/>
      <c r="K72" s="19"/>
      <c r="L72" s="19"/>
      <c r="M72" s="19"/>
      <c r="N72" s="41"/>
      <c r="O72" s="582">
        <v>2000</v>
      </c>
      <c r="P72" s="19"/>
      <c r="Q72" s="19"/>
      <c r="R72" s="19"/>
      <c r="S72" s="19">
        <f t="shared" si="30"/>
        <v>2000</v>
      </c>
      <c r="T72" s="48">
        <f t="shared" si="33"/>
        <v>2000</v>
      </c>
    </row>
    <row r="73" spans="1:20" hidden="1" x14ac:dyDescent="0.25">
      <c r="A73" s="61">
        <v>54403</v>
      </c>
      <c r="B73" s="7" t="s">
        <v>90</v>
      </c>
      <c r="C73" s="7"/>
      <c r="D73" s="30"/>
      <c r="E73" s="19"/>
      <c r="F73" s="19"/>
      <c r="G73" s="49">
        <f t="shared" si="7"/>
        <v>0</v>
      </c>
      <c r="H73" s="37"/>
      <c r="I73" s="19"/>
      <c r="J73" s="19"/>
      <c r="K73" s="19"/>
      <c r="L73" s="19"/>
      <c r="M73" s="19"/>
      <c r="N73" s="41"/>
      <c r="O73" s="582">
        <v>700</v>
      </c>
      <c r="P73" s="19"/>
      <c r="Q73" s="19"/>
      <c r="R73" s="19"/>
      <c r="S73" s="19">
        <f t="shared" si="30"/>
        <v>700</v>
      </c>
      <c r="T73" s="48">
        <f t="shared" si="33"/>
        <v>700</v>
      </c>
    </row>
    <row r="74" spans="1:20" hidden="1" x14ac:dyDescent="0.25">
      <c r="A74" s="62">
        <v>545</v>
      </c>
      <c r="B74" s="25" t="s">
        <v>91</v>
      </c>
      <c r="C74" s="25"/>
      <c r="D74" s="31">
        <f>SUM(D75:D79)</f>
        <v>0</v>
      </c>
      <c r="E74" s="31">
        <f>SUM(E75:E79)</f>
        <v>0</v>
      </c>
      <c r="F74" s="31">
        <f t="shared" ref="F74:T74" si="34">SUM(F75:F79)</f>
        <v>0</v>
      </c>
      <c r="G74" s="32">
        <f t="shared" si="34"/>
        <v>0</v>
      </c>
      <c r="H74" s="35">
        <f t="shared" si="34"/>
        <v>0</v>
      </c>
      <c r="I74" s="31">
        <f t="shared" si="34"/>
        <v>0</v>
      </c>
      <c r="J74" s="31">
        <f t="shared" si="34"/>
        <v>0</v>
      </c>
      <c r="K74" s="31">
        <f t="shared" si="34"/>
        <v>0</v>
      </c>
      <c r="L74" s="31">
        <f t="shared" si="34"/>
        <v>0</v>
      </c>
      <c r="M74" s="31">
        <f t="shared" si="34"/>
        <v>0</v>
      </c>
      <c r="N74" s="36">
        <f t="shared" si="34"/>
        <v>0</v>
      </c>
      <c r="O74" s="581">
        <f t="shared" si="34"/>
        <v>5261.3600000000006</v>
      </c>
      <c r="P74" s="31">
        <f t="shared" si="34"/>
        <v>0</v>
      </c>
      <c r="Q74" s="31">
        <f t="shared" si="34"/>
        <v>0</v>
      </c>
      <c r="R74" s="31">
        <f t="shared" si="34"/>
        <v>0</v>
      </c>
      <c r="S74" s="31">
        <f t="shared" si="34"/>
        <v>5261.3600000000006</v>
      </c>
      <c r="T74" s="36">
        <f t="shared" si="34"/>
        <v>5261.3600000000006</v>
      </c>
    </row>
    <row r="75" spans="1:20" hidden="1" x14ac:dyDescent="0.25">
      <c r="A75" s="61">
        <v>54502</v>
      </c>
      <c r="B75" s="7" t="s">
        <v>92</v>
      </c>
      <c r="C75" s="7"/>
      <c r="D75" s="30"/>
      <c r="E75" s="19"/>
      <c r="F75" s="19"/>
      <c r="G75" s="49">
        <f t="shared" si="7"/>
        <v>0</v>
      </c>
      <c r="H75" s="37"/>
      <c r="I75" s="19"/>
      <c r="J75" s="19"/>
      <c r="K75" s="19"/>
      <c r="L75" s="19"/>
      <c r="M75" s="19"/>
      <c r="N75" s="41"/>
      <c r="O75" s="582"/>
      <c r="P75" s="19"/>
      <c r="Q75" s="19"/>
      <c r="R75" s="19"/>
      <c r="S75" s="19">
        <f t="shared" si="30"/>
        <v>0</v>
      </c>
      <c r="T75" s="48">
        <f t="shared" ref="T75:T79" si="35">S75+N75+G75</f>
        <v>0</v>
      </c>
    </row>
    <row r="76" spans="1:20" hidden="1" x14ac:dyDescent="0.25">
      <c r="A76" s="61">
        <v>54503</v>
      </c>
      <c r="B76" s="7" t="s">
        <v>93</v>
      </c>
      <c r="C76" s="7"/>
      <c r="D76" s="30"/>
      <c r="E76" s="19"/>
      <c r="F76" s="19"/>
      <c r="G76" s="49">
        <f t="shared" si="7"/>
        <v>0</v>
      </c>
      <c r="H76" s="37"/>
      <c r="I76" s="19"/>
      <c r="J76" s="19"/>
      <c r="K76" s="19"/>
      <c r="L76" s="19"/>
      <c r="M76" s="19"/>
      <c r="N76" s="41"/>
      <c r="O76" s="582">
        <v>761.36</v>
      </c>
      <c r="P76" s="19"/>
      <c r="Q76" s="19"/>
      <c r="R76" s="19"/>
      <c r="S76" s="19">
        <f t="shared" si="30"/>
        <v>761.36</v>
      </c>
      <c r="T76" s="48">
        <f t="shared" si="35"/>
        <v>761.36</v>
      </c>
    </row>
    <row r="77" spans="1:20" hidden="1" x14ac:dyDescent="0.25">
      <c r="A77" s="61">
        <v>54504</v>
      </c>
      <c r="B77" s="7" t="s">
        <v>94</v>
      </c>
      <c r="C77" s="7"/>
      <c r="D77" s="30"/>
      <c r="E77" s="19"/>
      <c r="F77" s="19"/>
      <c r="G77" s="49">
        <f t="shared" si="7"/>
        <v>0</v>
      </c>
      <c r="H77" s="37"/>
      <c r="I77" s="19"/>
      <c r="J77" s="19"/>
      <c r="K77" s="19"/>
      <c r="L77" s="19"/>
      <c r="M77" s="19"/>
      <c r="N77" s="41"/>
      <c r="O77" s="582">
        <v>3000</v>
      </c>
      <c r="P77" s="19"/>
      <c r="Q77" s="19"/>
      <c r="R77" s="19"/>
      <c r="S77" s="19">
        <f t="shared" si="30"/>
        <v>3000</v>
      </c>
      <c r="T77" s="48">
        <f t="shared" si="35"/>
        <v>3000</v>
      </c>
    </row>
    <row r="78" spans="1:20" hidden="1" x14ac:dyDescent="0.25">
      <c r="A78" s="61">
        <v>54505</v>
      </c>
      <c r="B78" s="7" t="s">
        <v>95</v>
      </c>
      <c r="C78" s="7"/>
      <c r="D78" s="30"/>
      <c r="E78" s="19"/>
      <c r="F78" s="19"/>
      <c r="G78" s="49">
        <f t="shared" si="7"/>
        <v>0</v>
      </c>
      <c r="H78" s="37"/>
      <c r="I78" s="19"/>
      <c r="J78" s="19"/>
      <c r="K78" s="19"/>
      <c r="L78" s="19"/>
      <c r="M78" s="19"/>
      <c r="N78" s="41"/>
      <c r="O78" s="582">
        <v>1500</v>
      </c>
      <c r="P78" s="19"/>
      <c r="Q78" s="19"/>
      <c r="R78" s="19"/>
      <c r="S78" s="19">
        <f t="shared" si="30"/>
        <v>1500</v>
      </c>
      <c r="T78" s="48">
        <f t="shared" si="35"/>
        <v>1500</v>
      </c>
    </row>
    <row r="79" spans="1:20" hidden="1" x14ac:dyDescent="0.25">
      <c r="A79" s="61">
        <v>54599</v>
      </c>
      <c r="B79" s="7" t="s">
        <v>96</v>
      </c>
      <c r="C79" s="7"/>
      <c r="D79" s="30"/>
      <c r="E79" s="19"/>
      <c r="F79" s="19"/>
      <c r="G79" s="49">
        <f t="shared" si="7"/>
        <v>0</v>
      </c>
      <c r="H79" s="37"/>
      <c r="I79" s="19"/>
      <c r="J79" s="19"/>
      <c r="K79" s="19"/>
      <c r="L79" s="19"/>
      <c r="M79" s="19"/>
      <c r="N79" s="41"/>
      <c r="O79" s="582"/>
      <c r="P79" s="19"/>
      <c r="Q79" s="19"/>
      <c r="R79" s="19"/>
      <c r="S79" s="19">
        <f t="shared" si="30"/>
        <v>0</v>
      </c>
      <c r="T79" s="48">
        <f t="shared" si="35"/>
        <v>0</v>
      </c>
    </row>
    <row r="80" spans="1:20" hidden="1" x14ac:dyDescent="0.25">
      <c r="A80" s="62">
        <v>546</v>
      </c>
      <c r="B80" s="25" t="s">
        <v>97</v>
      </c>
      <c r="C80" s="25"/>
      <c r="D80" s="31">
        <f>D81</f>
        <v>0</v>
      </c>
      <c r="E80" s="31">
        <f>E81</f>
        <v>0</v>
      </c>
      <c r="F80" s="31">
        <f t="shared" ref="F80:T80" si="36">F81</f>
        <v>0</v>
      </c>
      <c r="G80" s="32">
        <f t="shared" si="36"/>
        <v>0</v>
      </c>
      <c r="H80" s="35">
        <f t="shared" si="36"/>
        <v>0</v>
      </c>
      <c r="I80" s="31">
        <f t="shared" si="36"/>
        <v>0</v>
      </c>
      <c r="J80" s="31">
        <f t="shared" si="36"/>
        <v>0</v>
      </c>
      <c r="K80" s="31">
        <f t="shared" si="36"/>
        <v>0</v>
      </c>
      <c r="L80" s="31">
        <f t="shared" si="36"/>
        <v>0</v>
      </c>
      <c r="M80" s="31">
        <f t="shared" si="36"/>
        <v>0</v>
      </c>
      <c r="N80" s="36">
        <f t="shared" si="36"/>
        <v>0</v>
      </c>
      <c r="O80" s="581">
        <f t="shared" si="36"/>
        <v>0</v>
      </c>
      <c r="P80" s="31">
        <f t="shared" si="36"/>
        <v>0</v>
      </c>
      <c r="Q80" s="31">
        <f t="shared" si="36"/>
        <v>0</v>
      </c>
      <c r="R80" s="31">
        <f t="shared" si="36"/>
        <v>0</v>
      </c>
      <c r="S80" s="31">
        <f>S81</f>
        <v>0</v>
      </c>
      <c r="T80" s="36">
        <f t="shared" si="36"/>
        <v>0</v>
      </c>
    </row>
    <row r="81" spans="1:20" hidden="1" x14ac:dyDescent="0.25">
      <c r="A81" s="61">
        <v>54602</v>
      </c>
      <c r="B81" s="7" t="s">
        <v>98</v>
      </c>
      <c r="C81" s="7"/>
      <c r="D81" s="19"/>
      <c r="E81" s="19"/>
      <c r="F81" s="19"/>
      <c r="G81" s="49">
        <f t="shared" si="7"/>
        <v>0</v>
      </c>
      <c r="H81" s="37"/>
      <c r="I81" s="19"/>
      <c r="J81" s="19"/>
      <c r="K81" s="19"/>
      <c r="L81" s="19"/>
      <c r="M81" s="19"/>
      <c r="N81" s="41"/>
      <c r="O81" s="582"/>
      <c r="P81" s="19"/>
      <c r="Q81" s="19"/>
      <c r="R81" s="19"/>
      <c r="S81" s="19">
        <f t="shared" si="30"/>
        <v>0</v>
      </c>
      <c r="T81" s="48">
        <f t="shared" ref="T81" si="37">S81+N81+G81</f>
        <v>0</v>
      </c>
    </row>
    <row r="82" spans="1:20" hidden="1" x14ac:dyDescent="0.25">
      <c r="A82" s="62">
        <v>55</v>
      </c>
      <c r="B82" s="25" t="s">
        <v>99</v>
      </c>
      <c r="C82" s="25"/>
      <c r="D82" s="31">
        <f>D83+D86+D89</f>
        <v>0</v>
      </c>
      <c r="E82" s="31">
        <f>E83+E86+E89</f>
        <v>0</v>
      </c>
      <c r="F82" s="31">
        <f t="shared" ref="F82:T82" si="38">F83+F86+F89</f>
        <v>0</v>
      </c>
      <c r="G82" s="32">
        <f t="shared" si="38"/>
        <v>0</v>
      </c>
      <c r="H82" s="35">
        <f t="shared" si="38"/>
        <v>0</v>
      </c>
      <c r="I82" s="31">
        <f t="shared" si="38"/>
        <v>0</v>
      </c>
      <c r="J82" s="31">
        <f t="shared" si="38"/>
        <v>0</v>
      </c>
      <c r="K82" s="31">
        <f t="shared" si="38"/>
        <v>0</v>
      </c>
      <c r="L82" s="31">
        <f t="shared" si="38"/>
        <v>0</v>
      </c>
      <c r="M82" s="31">
        <f t="shared" si="38"/>
        <v>0</v>
      </c>
      <c r="N82" s="36">
        <f t="shared" si="38"/>
        <v>0</v>
      </c>
      <c r="O82" s="581">
        <f t="shared" si="38"/>
        <v>3000</v>
      </c>
      <c r="P82" s="31">
        <f t="shared" si="38"/>
        <v>0</v>
      </c>
      <c r="Q82" s="31">
        <f t="shared" si="38"/>
        <v>0</v>
      </c>
      <c r="R82" s="31">
        <f t="shared" si="38"/>
        <v>0</v>
      </c>
      <c r="S82" s="31">
        <f>S83+S86+S89</f>
        <v>3000</v>
      </c>
      <c r="T82" s="36">
        <f t="shared" si="38"/>
        <v>3000</v>
      </c>
    </row>
    <row r="83" spans="1:20" hidden="1" x14ac:dyDescent="0.25">
      <c r="A83" s="62">
        <v>553</v>
      </c>
      <c r="B83" s="25" t="s">
        <v>100</v>
      </c>
      <c r="C83" s="25"/>
      <c r="D83" s="31">
        <f>SUM(D84:D85)</f>
        <v>0</v>
      </c>
      <c r="E83" s="31">
        <f>SUM(E84:E85)</f>
        <v>0</v>
      </c>
      <c r="F83" s="31">
        <f t="shared" ref="F83:T83" si="39">SUM(F84:F85)</f>
        <v>0</v>
      </c>
      <c r="G83" s="32">
        <f t="shared" si="39"/>
        <v>0</v>
      </c>
      <c r="H83" s="35">
        <f t="shared" si="39"/>
        <v>0</v>
      </c>
      <c r="I83" s="31">
        <f t="shared" si="39"/>
        <v>0</v>
      </c>
      <c r="J83" s="31">
        <f t="shared" si="39"/>
        <v>0</v>
      </c>
      <c r="K83" s="31">
        <f t="shared" si="39"/>
        <v>0</v>
      </c>
      <c r="L83" s="31">
        <f t="shared" si="39"/>
        <v>0</v>
      </c>
      <c r="M83" s="31">
        <f t="shared" si="39"/>
        <v>0</v>
      </c>
      <c r="N83" s="36">
        <f t="shared" si="39"/>
        <v>0</v>
      </c>
      <c r="O83" s="581">
        <f t="shared" si="39"/>
        <v>0</v>
      </c>
      <c r="P83" s="31">
        <f t="shared" si="39"/>
        <v>0</v>
      </c>
      <c r="Q83" s="31">
        <f t="shared" si="39"/>
        <v>0</v>
      </c>
      <c r="R83" s="31">
        <f t="shared" si="39"/>
        <v>0</v>
      </c>
      <c r="S83" s="31">
        <f t="shared" si="39"/>
        <v>0</v>
      </c>
      <c r="T83" s="36">
        <f t="shared" si="39"/>
        <v>0</v>
      </c>
    </row>
    <row r="84" spans="1:20" hidden="1" x14ac:dyDescent="0.25">
      <c r="A84" s="61">
        <v>55302</v>
      </c>
      <c r="B84" s="7" t="s">
        <v>101</v>
      </c>
      <c r="C84" s="7"/>
      <c r="D84" s="19"/>
      <c r="E84" s="19"/>
      <c r="F84" s="19"/>
      <c r="G84" s="49">
        <f t="shared" ref="G84:G85" si="40">C84+D84+E84+F84</f>
        <v>0</v>
      </c>
      <c r="H84" s="37"/>
      <c r="I84" s="19"/>
      <c r="J84" s="19"/>
      <c r="K84" s="19"/>
      <c r="L84" s="19"/>
      <c r="M84" s="19"/>
      <c r="N84" s="41"/>
      <c r="O84" s="582"/>
      <c r="P84" s="19"/>
      <c r="Q84" s="19"/>
      <c r="R84" s="19"/>
      <c r="S84" s="19">
        <f t="shared" ref="S84:S85" si="41">SUM(O84:R84)</f>
        <v>0</v>
      </c>
      <c r="T84" s="48">
        <f t="shared" ref="T84:T85" si="42">S84+N84+G84</f>
        <v>0</v>
      </c>
    </row>
    <row r="85" spans="1:20" hidden="1" x14ac:dyDescent="0.25">
      <c r="A85" s="61">
        <v>55304</v>
      </c>
      <c r="B85" s="7" t="s">
        <v>102</v>
      </c>
      <c r="C85" s="7"/>
      <c r="D85" s="19"/>
      <c r="E85" s="19"/>
      <c r="F85" s="19"/>
      <c r="G85" s="49">
        <f t="shared" si="40"/>
        <v>0</v>
      </c>
      <c r="H85" s="37"/>
      <c r="I85" s="19"/>
      <c r="J85" s="19"/>
      <c r="K85" s="19"/>
      <c r="L85" s="19"/>
      <c r="M85" s="19"/>
      <c r="N85" s="41"/>
      <c r="O85" s="582"/>
      <c r="P85" s="19"/>
      <c r="Q85" s="19"/>
      <c r="R85" s="19"/>
      <c r="S85" s="19">
        <f t="shared" si="41"/>
        <v>0</v>
      </c>
      <c r="T85" s="48">
        <f t="shared" si="42"/>
        <v>0</v>
      </c>
    </row>
    <row r="86" spans="1:20" hidden="1" x14ac:dyDescent="0.25">
      <c r="A86" s="62">
        <v>556</v>
      </c>
      <c r="B86" s="25" t="s">
        <v>103</v>
      </c>
      <c r="C86" s="25"/>
      <c r="D86" s="31">
        <f>SUM(D87:D88)</f>
        <v>0</v>
      </c>
      <c r="E86" s="31">
        <f>SUM(E87:E88)</f>
        <v>0</v>
      </c>
      <c r="F86" s="31">
        <f t="shared" ref="F86:T86" si="43">SUM(F87:F88)</f>
        <v>0</v>
      </c>
      <c r="G86" s="32">
        <f t="shared" si="43"/>
        <v>0</v>
      </c>
      <c r="H86" s="35">
        <f t="shared" si="43"/>
        <v>0</v>
      </c>
      <c r="I86" s="31">
        <f t="shared" si="43"/>
        <v>0</v>
      </c>
      <c r="J86" s="31">
        <f t="shared" si="43"/>
        <v>0</v>
      </c>
      <c r="K86" s="31">
        <f t="shared" si="43"/>
        <v>0</v>
      </c>
      <c r="L86" s="31">
        <f t="shared" si="43"/>
        <v>0</v>
      </c>
      <c r="M86" s="31">
        <f t="shared" si="43"/>
        <v>0</v>
      </c>
      <c r="N86" s="36">
        <f t="shared" si="43"/>
        <v>0</v>
      </c>
      <c r="O86" s="581">
        <f t="shared" si="43"/>
        <v>3000</v>
      </c>
      <c r="P86" s="31">
        <f t="shared" si="43"/>
        <v>0</v>
      </c>
      <c r="Q86" s="31">
        <f t="shared" si="43"/>
        <v>0</v>
      </c>
      <c r="R86" s="31">
        <f t="shared" si="43"/>
        <v>0</v>
      </c>
      <c r="S86" s="31">
        <f t="shared" si="43"/>
        <v>3000</v>
      </c>
      <c r="T86" s="36">
        <f t="shared" si="43"/>
        <v>3000</v>
      </c>
    </row>
    <row r="87" spans="1:20" hidden="1" x14ac:dyDescent="0.25">
      <c r="A87" s="61">
        <v>55602</v>
      </c>
      <c r="B87" s="7" t="s">
        <v>104</v>
      </c>
      <c r="C87" s="7"/>
      <c r="D87" s="19"/>
      <c r="E87" s="19"/>
      <c r="F87" s="19"/>
      <c r="G87" s="49">
        <f t="shared" ref="G87:G88" si="44">C87+D87+E87+F87</f>
        <v>0</v>
      </c>
      <c r="H87" s="37"/>
      <c r="I87" s="19"/>
      <c r="J87" s="19"/>
      <c r="K87" s="19"/>
      <c r="L87" s="19"/>
      <c r="M87" s="19"/>
      <c r="N87" s="41"/>
      <c r="O87" s="582">
        <v>3000</v>
      </c>
      <c r="P87" s="19"/>
      <c r="Q87" s="19"/>
      <c r="R87" s="19"/>
      <c r="S87" s="19">
        <f t="shared" ref="S87:S88" si="45">SUM(O87:R87)</f>
        <v>3000</v>
      </c>
      <c r="T87" s="48">
        <f t="shared" ref="T87:T88" si="46">S87+N87+G87</f>
        <v>3000</v>
      </c>
    </row>
    <row r="88" spans="1:20" hidden="1" x14ac:dyDescent="0.25">
      <c r="A88" s="61">
        <v>55603</v>
      </c>
      <c r="B88" s="7" t="s">
        <v>105</v>
      </c>
      <c r="C88" s="7"/>
      <c r="D88" s="19"/>
      <c r="E88" s="19"/>
      <c r="F88" s="19"/>
      <c r="G88" s="49">
        <f t="shared" si="44"/>
        <v>0</v>
      </c>
      <c r="H88" s="37"/>
      <c r="I88" s="19"/>
      <c r="J88" s="19"/>
      <c r="K88" s="19"/>
      <c r="L88" s="19"/>
      <c r="M88" s="19"/>
      <c r="N88" s="41"/>
      <c r="O88" s="582"/>
      <c r="P88" s="19"/>
      <c r="Q88" s="19"/>
      <c r="R88" s="19"/>
      <c r="S88" s="19">
        <f t="shared" si="45"/>
        <v>0</v>
      </c>
      <c r="T88" s="48">
        <f t="shared" si="46"/>
        <v>0</v>
      </c>
    </row>
    <row r="89" spans="1:20" hidden="1" x14ac:dyDescent="0.25">
      <c r="A89" s="62">
        <v>557</v>
      </c>
      <c r="B89" s="25" t="s">
        <v>106</v>
      </c>
      <c r="C89" s="25"/>
      <c r="D89" s="31">
        <f>SUM(D90:D91)</f>
        <v>0</v>
      </c>
      <c r="E89" s="31">
        <f>SUM(E90:E91)</f>
        <v>0</v>
      </c>
      <c r="F89" s="31">
        <f t="shared" ref="F89:T89" si="47">SUM(F90:F91)</f>
        <v>0</v>
      </c>
      <c r="G89" s="32">
        <f t="shared" si="47"/>
        <v>0</v>
      </c>
      <c r="H89" s="35">
        <f t="shared" si="47"/>
        <v>0</v>
      </c>
      <c r="I89" s="31">
        <f t="shared" si="47"/>
        <v>0</v>
      </c>
      <c r="J89" s="31">
        <f t="shared" si="47"/>
        <v>0</v>
      </c>
      <c r="K89" s="31">
        <f t="shared" si="47"/>
        <v>0</v>
      </c>
      <c r="L89" s="31">
        <f t="shared" si="47"/>
        <v>0</v>
      </c>
      <c r="M89" s="31">
        <f t="shared" si="47"/>
        <v>0</v>
      </c>
      <c r="N89" s="36">
        <f t="shared" si="47"/>
        <v>0</v>
      </c>
      <c r="O89" s="581">
        <f t="shared" si="47"/>
        <v>0</v>
      </c>
      <c r="P89" s="31">
        <f t="shared" si="47"/>
        <v>0</v>
      </c>
      <c r="Q89" s="31">
        <f t="shared" si="47"/>
        <v>0</v>
      </c>
      <c r="R89" s="31">
        <f t="shared" si="47"/>
        <v>0</v>
      </c>
      <c r="S89" s="31">
        <f t="shared" si="47"/>
        <v>0</v>
      </c>
      <c r="T89" s="36">
        <f t="shared" si="47"/>
        <v>0</v>
      </c>
    </row>
    <row r="90" spans="1:20" hidden="1" x14ac:dyDescent="0.25">
      <c r="A90" s="61">
        <v>55703</v>
      </c>
      <c r="B90" s="7" t="s">
        <v>107</v>
      </c>
      <c r="C90" s="7"/>
      <c r="D90" s="19"/>
      <c r="E90" s="19"/>
      <c r="F90" s="19"/>
      <c r="G90" s="49">
        <f t="shared" ref="G90:G91" si="48">C90+D90+E90+F90</f>
        <v>0</v>
      </c>
      <c r="H90" s="37"/>
      <c r="I90" s="19"/>
      <c r="J90" s="19"/>
      <c r="K90" s="19"/>
      <c r="L90" s="19"/>
      <c r="M90" s="19"/>
      <c r="N90" s="41"/>
      <c r="O90" s="582"/>
      <c r="P90" s="19"/>
      <c r="Q90" s="19"/>
      <c r="R90" s="19"/>
      <c r="S90" s="19">
        <f t="shared" ref="S90:S91" si="49">SUM(O90:R90)</f>
        <v>0</v>
      </c>
      <c r="T90" s="48">
        <f t="shared" ref="T90:T91" si="50">S90+N90+G90</f>
        <v>0</v>
      </c>
    </row>
    <row r="91" spans="1:20" hidden="1" x14ac:dyDescent="0.25">
      <c r="A91" s="61">
        <v>55799</v>
      </c>
      <c r="B91" s="7" t="s">
        <v>108</v>
      </c>
      <c r="C91" s="7"/>
      <c r="D91" s="19"/>
      <c r="E91" s="19"/>
      <c r="F91" s="19"/>
      <c r="G91" s="49">
        <f t="shared" si="48"/>
        <v>0</v>
      </c>
      <c r="H91" s="37"/>
      <c r="I91" s="19"/>
      <c r="J91" s="19"/>
      <c r="K91" s="19"/>
      <c r="L91" s="19"/>
      <c r="M91" s="19"/>
      <c r="N91" s="41"/>
      <c r="O91" s="582"/>
      <c r="P91" s="19"/>
      <c r="Q91" s="19"/>
      <c r="R91" s="19"/>
      <c r="S91" s="19">
        <f t="shared" si="49"/>
        <v>0</v>
      </c>
      <c r="T91" s="48">
        <f t="shared" si="50"/>
        <v>0</v>
      </c>
    </row>
    <row r="92" spans="1:20" hidden="1" x14ac:dyDescent="0.25">
      <c r="A92" s="62">
        <v>56</v>
      </c>
      <c r="B92" s="25" t="s">
        <v>109</v>
      </c>
      <c r="C92" s="25"/>
      <c r="D92" s="31">
        <f>D93</f>
        <v>6000</v>
      </c>
      <c r="E92" s="31">
        <f t="shared" ref="E92:R93" si="51">E93</f>
        <v>0</v>
      </c>
      <c r="F92" s="31">
        <f t="shared" si="51"/>
        <v>0</v>
      </c>
      <c r="G92" s="31">
        <f>SUM(D92:F92)</f>
        <v>6000</v>
      </c>
      <c r="H92" s="35"/>
      <c r="I92" s="31"/>
      <c r="J92" s="31"/>
      <c r="K92" s="31"/>
      <c r="L92" s="31"/>
      <c r="M92" s="31"/>
      <c r="N92" s="36"/>
      <c r="O92" s="581"/>
      <c r="P92" s="31"/>
      <c r="Q92" s="31"/>
      <c r="R92" s="31"/>
      <c r="S92" s="31">
        <f>S93+S95</f>
        <v>25329.16</v>
      </c>
      <c r="T92" s="36">
        <f>T93+T95</f>
        <v>31329.16</v>
      </c>
    </row>
    <row r="93" spans="1:20" hidden="1" x14ac:dyDescent="0.25">
      <c r="A93" s="62">
        <v>562</v>
      </c>
      <c r="B93" s="25" t="s">
        <v>110</v>
      </c>
      <c r="C93" s="25"/>
      <c r="D93" s="31">
        <f>D94</f>
        <v>6000</v>
      </c>
      <c r="E93" s="31">
        <f>E94</f>
        <v>0</v>
      </c>
      <c r="F93" s="31">
        <f t="shared" si="51"/>
        <v>0</v>
      </c>
      <c r="G93" s="32">
        <f t="shared" si="51"/>
        <v>6000</v>
      </c>
      <c r="H93" s="35">
        <f t="shared" si="51"/>
        <v>0</v>
      </c>
      <c r="I93" s="31">
        <f t="shared" si="51"/>
        <v>0</v>
      </c>
      <c r="J93" s="31">
        <f t="shared" si="51"/>
        <v>0</v>
      </c>
      <c r="K93" s="31">
        <f t="shared" si="51"/>
        <v>0</v>
      </c>
      <c r="L93" s="31">
        <f t="shared" si="51"/>
        <v>0</v>
      </c>
      <c r="M93" s="31">
        <f t="shared" si="51"/>
        <v>0</v>
      </c>
      <c r="N93" s="36">
        <f t="shared" si="51"/>
        <v>0</v>
      </c>
      <c r="O93" s="581">
        <f t="shared" si="51"/>
        <v>66.12</v>
      </c>
      <c r="P93" s="31">
        <f t="shared" si="51"/>
        <v>95.88</v>
      </c>
      <c r="Q93" s="31">
        <f t="shared" si="51"/>
        <v>36.24</v>
      </c>
      <c r="R93" s="31">
        <f t="shared" si="51"/>
        <v>205.92000000000002</v>
      </c>
      <c r="S93" s="31">
        <f>S94</f>
        <v>404.16</v>
      </c>
      <c r="T93" s="36">
        <f>T94</f>
        <v>6404.16</v>
      </c>
    </row>
    <row r="94" spans="1:20" hidden="1" x14ac:dyDescent="0.25">
      <c r="A94" s="61">
        <v>56201</v>
      </c>
      <c r="B94" s="7" t="s">
        <v>111</v>
      </c>
      <c r="C94" s="7"/>
      <c r="D94" s="19">
        <f>500*12</f>
        <v>6000</v>
      </c>
      <c r="E94" s="19"/>
      <c r="F94" s="19"/>
      <c r="G94" s="49">
        <f t="shared" ref="G94" si="52">C94+D94+E94+F94</f>
        <v>6000</v>
      </c>
      <c r="H94" s="37"/>
      <c r="I94" s="19"/>
      <c r="J94" s="19"/>
      <c r="K94" s="19"/>
      <c r="L94" s="19"/>
      <c r="M94" s="19"/>
      <c r="N94" s="41"/>
      <c r="O94" s="582">
        <f>5.51*12</f>
        <v>66.12</v>
      </c>
      <c r="P94" s="19">
        <f>7.99*12</f>
        <v>95.88</v>
      </c>
      <c r="Q94" s="19">
        <f>3.02*12</f>
        <v>36.24</v>
      </c>
      <c r="R94" s="19">
        <f>17.16*12</f>
        <v>205.92000000000002</v>
      </c>
      <c r="S94" s="19">
        <f t="shared" ref="S94" si="53">SUM(O94:R94)</f>
        <v>404.16</v>
      </c>
      <c r="T94" s="48">
        <f t="shared" ref="T94" si="54">S94+N94+G94</f>
        <v>6404.16</v>
      </c>
    </row>
    <row r="95" spans="1:20" hidden="1" x14ac:dyDescent="0.25">
      <c r="A95" s="62">
        <v>563</v>
      </c>
      <c r="B95" s="25" t="s">
        <v>112</v>
      </c>
      <c r="C95" s="25"/>
      <c r="D95" s="31">
        <f>SUM(D96:D98)</f>
        <v>0</v>
      </c>
      <c r="E95" s="31">
        <f>SUM(E96:E98)</f>
        <v>0</v>
      </c>
      <c r="F95" s="31">
        <f t="shared" ref="F95:T95" si="55">SUM(F96:F98)</f>
        <v>0</v>
      </c>
      <c r="G95" s="32">
        <f t="shared" si="55"/>
        <v>0</v>
      </c>
      <c r="H95" s="35">
        <f t="shared" si="55"/>
        <v>0</v>
      </c>
      <c r="I95" s="31">
        <f t="shared" si="55"/>
        <v>0</v>
      </c>
      <c r="J95" s="31">
        <f t="shared" si="55"/>
        <v>0</v>
      </c>
      <c r="K95" s="31">
        <f t="shared" si="55"/>
        <v>0</v>
      </c>
      <c r="L95" s="31">
        <f t="shared" si="55"/>
        <v>0</v>
      </c>
      <c r="M95" s="31">
        <f t="shared" si="55"/>
        <v>0</v>
      </c>
      <c r="N95" s="36">
        <f t="shared" si="55"/>
        <v>0</v>
      </c>
      <c r="O95" s="581">
        <f t="shared" si="55"/>
        <v>24925</v>
      </c>
      <c r="P95" s="31">
        <f t="shared" si="55"/>
        <v>0</v>
      </c>
      <c r="Q95" s="31">
        <f t="shared" si="55"/>
        <v>0</v>
      </c>
      <c r="R95" s="31">
        <f t="shared" si="55"/>
        <v>0</v>
      </c>
      <c r="S95" s="31">
        <f>SUM(S96:S98)</f>
        <v>24925</v>
      </c>
      <c r="T95" s="36">
        <f t="shared" si="55"/>
        <v>24925</v>
      </c>
    </row>
    <row r="96" spans="1:20" hidden="1" x14ac:dyDescent="0.25">
      <c r="A96" s="61">
        <v>56301</v>
      </c>
      <c r="B96" s="7" t="s">
        <v>113</v>
      </c>
      <c r="C96" s="7"/>
      <c r="D96" s="19"/>
      <c r="E96" s="19"/>
      <c r="F96" s="19"/>
      <c r="G96" s="49">
        <f t="shared" ref="G96:G98" si="56">C96+D96+E96+F96</f>
        <v>0</v>
      </c>
      <c r="H96" s="37"/>
      <c r="I96" s="19"/>
      <c r="J96" s="19"/>
      <c r="K96" s="19"/>
      <c r="L96" s="19"/>
      <c r="M96" s="19"/>
      <c r="N96" s="41"/>
      <c r="O96" s="582"/>
      <c r="P96" s="19"/>
      <c r="Q96" s="19"/>
      <c r="R96" s="19"/>
      <c r="S96" s="19">
        <f t="shared" ref="S96:S98" si="57">SUM(O96:R96)</f>
        <v>0</v>
      </c>
      <c r="T96" s="48">
        <f t="shared" ref="T96:T98" si="58">S96+N96+G96</f>
        <v>0</v>
      </c>
    </row>
    <row r="97" spans="1:21" hidden="1" x14ac:dyDescent="0.25">
      <c r="A97" s="61">
        <v>56303</v>
      </c>
      <c r="B97" s="7" t="s">
        <v>114</v>
      </c>
      <c r="C97" s="7"/>
      <c r="D97" s="19"/>
      <c r="E97" s="19"/>
      <c r="F97" s="19"/>
      <c r="G97" s="49">
        <f t="shared" si="56"/>
        <v>0</v>
      </c>
      <c r="H97" s="37"/>
      <c r="I97" s="19"/>
      <c r="J97" s="19"/>
      <c r="K97" s="19"/>
      <c r="L97" s="19"/>
      <c r="M97" s="19"/>
      <c r="N97" s="41"/>
      <c r="O97" s="582">
        <v>24925</v>
      </c>
      <c r="P97" s="19"/>
      <c r="Q97" s="19"/>
      <c r="R97" s="19"/>
      <c r="S97" s="19">
        <f t="shared" si="57"/>
        <v>24925</v>
      </c>
      <c r="T97" s="48">
        <f t="shared" si="58"/>
        <v>24925</v>
      </c>
    </row>
    <row r="98" spans="1:21" hidden="1" x14ac:dyDescent="0.25">
      <c r="A98" s="61">
        <v>56305</v>
      </c>
      <c r="B98" s="7" t="s">
        <v>115</v>
      </c>
      <c r="C98" s="7"/>
      <c r="D98" s="19"/>
      <c r="E98" s="19"/>
      <c r="F98" s="19"/>
      <c r="G98" s="49">
        <f t="shared" si="56"/>
        <v>0</v>
      </c>
      <c r="H98" s="37"/>
      <c r="I98" s="19"/>
      <c r="J98" s="19"/>
      <c r="K98" s="19"/>
      <c r="L98" s="19"/>
      <c r="M98" s="19"/>
      <c r="N98" s="41"/>
      <c r="O98" s="582"/>
      <c r="P98" s="19"/>
      <c r="Q98" s="19"/>
      <c r="R98" s="19"/>
      <c r="S98" s="19">
        <f t="shared" si="57"/>
        <v>0</v>
      </c>
      <c r="T98" s="48">
        <f t="shared" si="58"/>
        <v>0</v>
      </c>
    </row>
    <row r="99" spans="1:21" x14ac:dyDescent="0.25">
      <c r="A99" s="585">
        <v>61</v>
      </c>
      <c r="B99" s="565" t="s">
        <v>116</v>
      </c>
      <c r="C99" s="565"/>
      <c r="D99" s="566">
        <f>D100+D104+D106+D108</f>
        <v>0</v>
      </c>
      <c r="E99" s="566">
        <f>E100+E104+E106+E108</f>
        <v>0</v>
      </c>
      <c r="F99" s="566">
        <f t="shared" ref="F99:R99" si="59">F100+F104+F106+F108</f>
        <v>0</v>
      </c>
      <c r="G99" s="567">
        <f t="shared" si="59"/>
        <v>0</v>
      </c>
      <c r="H99" s="568">
        <f t="shared" si="59"/>
        <v>19840.509999999998</v>
      </c>
      <c r="I99" s="566">
        <f>I100+I104+I106+I108</f>
        <v>1335354</v>
      </c>
      <c r="J99" s="566">
        <f t="shared" si="59"/>
        <v>0</v>
      </c>
      <c r="K99" s="566">
        <f t="shared" si="59"/>
        <v>0</v>
      </c>
      <c r="L99" s="566">
        <f t="shared" si="59"/>
        <v>0</v>
      </c>
      <c r="M99" s="566">
        <f t="shared" si="59"/>
        <v>0</v>
      </c>
      <c r="N99" s="569">
        <f>N100+N104+N106+N108</f>
        <v>1355194.51</v>
      </c>
      <c r="O99" s="581">
        <f t="shared" si="59"/>
        <v>4000</v>
      </c>
      <c r="P99" s="31">
        <f t="shared" si="59"/>
        <v>0</v>
      </c>
      <c r="Q99" s="31">
        <f t="shared" si="59"/>
        <v>0</v>
      </c>
      <c r="R99" s="31">
        <f t="shared" si="59"/>
        <v>0</v>
      </c>
      <c r="S99" s="31">
        <f>S100+S104+S106+S108</f>
        <v>4000</v>
      </c>
      <c r="T99" s="36">
        <f>T100+T104+T106+T108</f>
        <v>1083194.51</v>
      </c>
    </row>
    <row r="100" spans="1:21" x14ac:dyDescent="0.25">
      <c r="A100" s="585">
        <v>611</v>
      </c>
      <c r="B100" s="565" t="s">
        <v>117</v>
      </c>
      <c r="C100" s="565"/>
      <c r="D100" s="566">
        <f>SUM(D101:D103)</f>
        <v>0</v>
      </c>
      <c r="E100" s="566">
        <f>SUM(E101:E103)</f>
        <v>0</v>
      </c>
      <c r="F100" s="566">
        <f t="shared" ref="F100:T100" si="60">SUM(F101:F103)</f>
        <v>0</v>
      </c>
      <c r="G100" s="567">
        <f t="shared" si="60"/>
        <v>0</v>
      </c>
      <c r="H100" s="568">
        <f t="shared" si="60"/>
        <v>0</v>
      </c>
      <c r="I100" s="566">
        <f t="shared" si="60"/>
        <v>25000</v>
      </c>
      <c r="J100" s="566">
        <f t="shared" si="60"/>
        <v>0</v>
      </c>
      <c r="K100" s="566">
        <f t="shared" si="60"/>
        <v>0</v>
      </c>
      <c r="L100" s="566">
        <f t="shared" si="60"/>
        <v>0</v>
      </c>
      <c r="M100" s="566">
        <f t="shared" si="60"/>
        <v>0</v>
      </c>
      <c r="N100" s="569">
        <f>SUM(N101:N103)</f>
        <v>25000</v>
      </c>
      <c r="O100" s="581">
        <f t="shared" si="60"/>
        <v>4000</v>
      </c>
      <c r="P100" s="31">
        <f t="shared" si="60"/>
        <v>0</v>
      </c>
      <c r="Q100" s="31">
        <f t="shared" si="60"/>
        <v>0</v>
      </c>
      <c r="R100" s="31">
        <f t="shared" si="60"/>
        <v>0</v>
      </c>
      <c r="S100" s="31">
        <f>SUM(S101:S103)</f>
        <v>4000</v>
      </c>
      <c r="T100" s="36">
        <f t="shared" si="60"/>
        <v>29000</v>
      </c>
    </row>
    <row r="101" spans="1:21" hidden="1" x14ac:dyDescent="0.25">
      <c r="A101" s="586">
        <v>61102</v>
      </c>
      <c r="B101" s="570" t="s">
        <v>118</v>
      </c>
      <c r="C101" s="570"/>
      <c r="D101" s="571"/>
      <c r="E101" s="571"/>
      <c r="F101" s="571"/>
      <c r="G101" s="572">
        <f t="shared" ref="G101:G103" si="61">C101+D101+E101+F101</f>
        <v>0</v>
      </c>
      <c r="H101" s="573"/>
      <c r="I101" s="571">
        <v>20000</v>
      </c>
      <c r="J101" s="571"/>
      <c r="K101" s="571"/>
      <c r="L101" s="571"/>
      <c r="M101" s="571"/>
      <c r="N101" s="574">
        <f>SUM(H101:M101)</f>
        <v>20000</v>
      </c>
      <c r="O101" s="582"/>
      <c r="P101" s="19"/>
      <c r="Q101" s="19"/>
      <c r="R101" s="19"/>
      <c r="S101" s="19">
        <f t="shared" ref="S101:S103" si="62">SUM(O101:R101)</f>
        <v>0</v>
      </c>
      <c r="T101" s="48">
        <f t="shared" ref="T101:T103" si="63">S101+N101+G101</f>
        <v>20000</v>
      </c>
    </row>
    <row r="102" spans="1:21" hidden="1" x14ac:dyDescent="0.25">
      <c r="A102" s="586">
        <v>61104</v>
      </c>
      <c r="B102" s="570" t="s">
        <v>119</v>
      </c>
      <c r="C102" s="570"/>
      <c r="D102" s="571"/>
      <c r="E102" s="571"/>
      <c r="F102" s="571"/>
      <c r="G102" s="572">
        <f t="shared" si="61"/>
        <v>0</v>
      </c>
      <c r="H102" s="573"/>
      <c r="I102" s="571">
        <v>5000</v>
      </c>
      <c r="J102" s="571"/>
      <c r="K102" s="571"/>
      <c r="L102" s="571"/>
      <c r="M102" s="571"/>
      <c r="N102" s="574">
        <f t="shared" ref="N102:N105" si="64">SUM(H102:M102)</f>
        <v>5000</v>
      </c>
      <c r="O102" s="582">
        <v>4000</v>
      </c>
      <c r="P102" s="19"/>
      <c r="Q102" s="19"/>
      <c r="R102" s="19"/>
      <c r="S102" s="19">
        <f t="shared" si="62"/>
        <v>4000</v>
      </c>
      <c r="T102" s="48">
        <f t="shared" si="63"/>
        <v>9000</v>
      </c>
    </row>
    <row r="103" spans="1:21" hidden="1" x14ac:dyDescent="0.25">
      <c r="A103" s="586">
        <v>61199</v>
      </c>
      <c r="B103" s="570" t="s">
        <v>120</v>
      </c>
      <c r="C103" s="570"/>
      <c r="D103" s="571"/>
      <c r="E103" s="571"/>
      <c r="F103" s="571"/>
      <c r="G103" s="572">
        <f t="shared" si="61"/>
        <v>0</v>
      </c>
      <c r="H103" s="573"/>
      <c r="I103" s="571"/>
      <c r="J103" s="571"/>
      <c r="K103" s="571"/>
      <c r="L103" s="571"/>
      <c r="M103" s="571"/>
      <c r="N103" s="574">
        <f t="shared" si="64"/>
        <v>0</v>
      </c>
      <c r="O103" s="582"/>
      <c r="P103" s="19"/>
      <c r="Q103" s="19"/>
      <c r="R103" s="19"/>
      <c r="S103" s="19">
        <f t="shared" si="62"/>
        <v>0</v>
      </c>
      <c r="T103" s="48">
        <f t="shared" si="63"/>
        <v>0</v>
      </c>
    </row>
    <row r="104" spans="1:21" x14ac:dyDescent="0.25">
      <c r="A104" s="585">
        <v>612</v>
      </c>
      <c r="B104" s="565" t="s">
        <v>121</v>
      </c>
      <c r="C104" s="565"/>
      <c r="D104" s="566">
        <f>D105</f>
        <v>0</v>
      </c>
      <c r="E104" s="566">
        <f>E105</f>
        <v>0</v>
      </c>
      <c r="F104" s="566">
        <f t="shared" ref="F104:T104" si="65">F105</f>
        <v>0</v>
      </c>
      <c r="G104" s="567">
        <f t="shared" si="65"/>
        <v>0</v>
      </c>
      <c r="H104" s="568">
        <f t="shared" si="65"/>
        <v>0</v>
      </c>
      <c r="I104" s="566">
        <f t="shared" si="65"/>
        <v>0</v>
      </c>
      <c r="J104" s="566">
        <f t="shared" si="65"/>
        <v>0</v>
      </c>
      <c r="K104" s="566">
        <f t="shared" si="65"/>
        <v>0</v>
      </c>
      <c r="L104" s="566">
        <f t="shared" si="65"/>
        <v>0</v>
      </c>
      <c r="M104" s="566">
        <f t="shared" si="65"/>
        <v>0</v>
      </c>
      <c r="N104" s="569">
        <f t="shared" si="65"/>
        <v>0</v>
      </c>
      <c r="O104" s="581">
        <f t="shared" si="65"/>
        <v>0</v>
      </c>
      <c r="P104" s="31">
        <f t="shared" si="65"/>
        <v>0</v>
      </c>
      <c r="Q104" s="31">
        <f t="shared" si="65"/>
        <v>0</v>
      </c>
      <c r="R104" s="31">
        <f t="shared" si="65"/>
        <v>0</v>
      </c>
      <c r="S104" s="31">
        <f>S105</f>
        <v>0</v>
      </c>
      <c r="T104" s="36">
        <f t="shared" si="65"/>
        <v>0</v>
      </c>
    </row>
    <row r="105" spans="1:21" hidden="1" x14ac:dyDescent="0.25">
      <c r="A105" s="586">
        <v>61201</v>
      </c>
      <c r="B105" s="570" t="s">
        <v>122</v>
      </c>
      <c r="C105" s="570"/>
      <c r="D105" s="571"/>
      <c r="E105" s="571"/>
      <c r="F105" s="571"/>
      <c r="G105" s="572">
        <f t="shared" ref="G105" si="66">C105+D105+E105+F105</f>
        <v>0</v>
      </c>
      <c r="H105" s="573"/>
      <c r="I105" s="571">
        <v>0</v>
      </c>
      <c r="J105" s="571"/>
      <c r="K105" s="571"/>
      <c r="L105" s="571"/>
      <c r="M105" s="571"/>
      <c r="N105" s="574">
        <f t="shared" si="64"/>
        <v>0</v>
      </c>
      <c r="O105" s="582"/>
      <c r="P105" s="19"/>
      <c r="Q105" s="19"/>
      <c r="R105" s="19"/>
      <c r="S105" s="19">
        <f t="shared" ref="S105" si="67">SUM(O105:R105)</f>
        <v>0</v>
      </c>
      <c r="T105" s="48">
        <f t="shared" ref="T105" si="68">S105+N105+G105</f>
        <v>0</v>
      </c>
    </row>
    <row r="106" spans="1:21" x14ac:dyDescent="0.25">
      <c r="A106" s="585">
        <v>615</v>
      </c>
      <c r="B106" s="565" t="s">
        <v>123</v>
      </c>
      <c r="C106" s="565"/>
      <c r="D106" s="566">
        <f>D107</f>
        <v>0</v>
      </c>
      <c r="E106" s="566">
        <f>E107</f>
        <v>0</v>
      </c>
      <c r="F106" s="566">
        <f t="shared" ref="F106:T106" si="69">F107</f>
        <v>0</v>
      </c>
      <c r="G106" s="567">
        <f t="shared" si="69"/>
        <v>0</v>
      </c>
      <c r="H106" s="568">
        <f>H107</f>
        <v>19840.509999999998</v>
      </c>
      <c r="I106" s="566">
        <f t="shared" si="69"/>
        <v>0</v>
      </c>
      <c r="J106" s="566">
        <f t="shared" si="69"/>
        <v>0</v>
      </c>
      <c r="K106" s="566">
        <f t="shared" si="69"/>
        <v>0</v>
      </c>
      <c r="L106" s="566">
        <f t="shared" si="69"/>
        <v>0</v>
      </c>
      <c r="M106" s="566">
        <f t="shared" si="69"/>
        <v>0</v>
      </c>
      <c r="N106" s="569">
        <f>N107</f>
        <v>19840.509999999998</v>
      </c>
      <c r="O106" s="581">
        <f t="shared" si="69"/>
        <v>0</v>
      </c>
      <c r="P106" s="31">
        <f t="shared" si="69"/>
        <v>0</v>
      </c>
      <c r="Q106" s="31">
        <f t="shared" si="69"/>
        <v>0</v>
      </c>
      <c r="R106" s="31">
        <f t="shared" si="69"/>
        <v>0</v>
      </c>
      <c r="S106" s="31">
        <f>S107</f>
        <v>0</v>
      </c>
      <c r="T106" s="36">
        <f t="shared" si="69"/>
        <v>19840.509999999998</v>
      </c>
      <c r="U106" s="386"/>
    </row>
    <row r="107" spans="1:21" hidden="1" x14ac:dyDescent="0.25">
      <c r="A107" s="586">
        <v>61599</v>
      </c>
      <c r="B107" s="570" t="s">
        <v>124</v>
      </c>
      <c r="C107" s="570"/>
      <c r="D107" s="571"/>
      <c r="E107" s="571"/>
      <c r="F107" s="571"/>
      <c r="G107" s="572">
        <f t="shared" ref="G107" si="70">C107+D107+E107+F107</f>
        <v>0</v>
      </c>
      <c r="H107" s="575">
        <v>19840.509999999998</v>
      </c>
      <c r="I107" s="571"/>
      <c r="J107" s="571"/>
      <c r="K107" s="571"/>
      <c r="L107" s="571"/>
      <c r="M107" s="571"/>
      <c r="N107" s="574">
        <f t="shared" ref="N107" si="71">SUM(H107:M107)</f>
        <v>19840.509999999998</v>
      </c>
      <c r="O107" s="582"/>
      <c r="P107" s="19"/>
      <c r="Q107" s="19"/>
      <c r="R107" s="19"/>
      <c r="S107" s="19">
        <f t="shared" ref="S107" si="72">SUM(O107:R107)</f>
        <v>0</v>
      </c>
      <c r="T107" s="48">
        <f t="shared" ref="T107" si="73">S107+N107+G107</f>
        <v>19840.509999999998</v>
      </c>
    </row>
    <row r="108" spans="1:21" x14ac:dyDescent="0.25">
      <c r="A108" s="585">
        <v>616</v>
      </c>
      <c r="B108" s="565" t="s">
        <v>125</v>
      </c>
      <c r="C108" s="565"/>
      <c r="D108" s="566">
        <f>SUM(D109:D113)</f>
        <v>0</v>
      </c>
      <c r="E108" s="566">
        <f>SUM(E109:E113)</f>
        <v>0</v>
      </c>
      <c r="F108" s="566">
        <f t="shared" ref="F108:T108" si="74">SUM(F109:F113)</f>
        <v>0</v>
      </c>
      <c r="G108" s="567">
        <f t="shared" si="74"/>
        <v>0</v>
      </c>
      <c r="H108" s="568">
        <f t="shared" si="74"/>
        <v>0</v>
      </c>
      <c r="I108" s="566">
        <f>SUM(I109:I115)</f>
        <v>1310354</v>
      </c>
      <c r="J108" s="566">
        <f t="shared" ref="J108:M108" si="75">SUM(J109:J115)</f>
        <v>0</v>
      </c>
      <c r="K108" s="566">
        <f t="shared" si="75"/>
        <v>0</v>
      </c>
      <c r="L108" s="566">
        <f t="shared" si="75"/>
        <v>0</v>
      </c>
      <c r="M108" s="566">
        <f t="shared" si="75"/>
        <v>0</v>
      </c>
      <c r="N108" s="569">
        <f>SUM(N109:N115)</f>
        <v>1310354</v>
      </c>
      <c r="O108" s="581">
        <f t="shared" si="74"/>
        <v>0</v>
      </c>
      <c r="P108" s="31">
        <f t="shared" si="74"/>
        <v>0</v>
      </c>
      <c r="Q108" s="31">
        <f t="shared" si="74"/>
        <v>0</v>
      </c>
      <c r="R108" s="31">
        <f t="shared" si="74"/>
        <v>0</v>
      </c>
      <c r="S108" s="31">
        <f>SUM(S109:S113)</f>
        <v>0</v>
      </c>
      <c r="T108" s="36">
        <f t="shared" si="74"/>
        <v>1034354</v>
      </c>
    </row>
    <row r="109" spans="1:21" hidden="1" x14ac:dyDescent="0.25">
      <c r="A109" s="586">
        <v>61601</v>
      </c>
      <c r="B109" s="570" t="s">
        <v>126</v>
      </c>
      <c r="C109" s="570"/>
      <c r="D109" s="571"/>
      <c r="E109" s="571"/>
      <c r="F109" s="571"/>
      <c r="G109" s="572">
        <f t="shared" ref="G109:G115" si="76">C109+D109+E109+F109</f>
        <v>0</v>
      </c>
      <c r="H109" s="573"/>
      <c r="I109" s="571">
        <v>512000</v>
      </c>
      <c r="J109" s="571"/>
      <c r="K109" s="571"/>
      <c r="L109" s="571"/>
      <c r="M109" s="571"/>
      <c r="N109" s="574">
        <f t="shared" ref="N109:N115" si="77">SUM(H109:M109)</f>
        <v>512000</v>
      </c>
      <c r="O109" s="582"/>
      <c r="P109" s="19"/>
      <c r="Q109" s="19"/>
      <c r="R109" s="19"/>
      <c r="S109" s="19">
        <f t="shared" ref="S109:S115" si="78">SUM(O109:R109)</f>
        <v>0</v>
      </c>
      <c r="T109" s="48">
        <f t="shared" ref="T109:T115" si="79">S109+N109+G109</f>
        <v>512000</v>
      </c>
    </row>
    <row r="110" spans="1:21" hidden="1" x14ac:dyDescent="0.25">
      <c r="A110" s="586">
        <v>61603</v>
      </c>
      <c r="B110" s="570" t="s">
        <v>127</v>
      </c>
      <c r="C110" s="570"/>
      <c r="D110" s="571"/>
      <c r="E110" s="571"/>
      <c r="F110" s="571"/>
      <c r="G110" s="572">
        <f t="shared" si="76"/>
        <v>0</v>
      </c>
      <c r="H110" s="573"/>
      <c r="I110" s="571">
        <v>256192</v>
      </c>
      <c r="J110" s="571"/>
      <c r="K110" s="571"/>
      <c r="L110" s="571"/>
      <c r="M110" s="571"/>
      <c r="N110" s="574">
        <f t="shared" si="77"/>
        <v>256192</v>
      </c>
      <c r="O110" s="582"/>
      <c r="P110" s="19"/>
      <c r="Q110" s="19"/>
      <c r="R110" s="19"/>
      <c r="S110" s="19">
        <f t="shared" si="78"/>
        <v>0</v>
      </c>
      <c r="T110" s="48">
        <f t="shared" si="79"/>
        <v>256192</v>
      </c>
    </row>
    <row r="111" spans="1:21" hidden="1" x14ac:dyDescent="0.25">
      <c r="A111" s="586">
        <v>61606</v>
      </c>
      <c r="B111" s="570" t="s">
        <v>128</v>
      </c>
      <c r="C111" s="570"/>
      <c r="D111" s="571"/>
      <c r="E111" s="571"/>
      <c r="F111" s="571"/>
      <c r="G111" s="572">
        <f t="shared" si="76"/>
        <v>0</v>
      </c>
      <c r="H111" s="573"/>
      <c r="I111" s="571">
        <v>110162</v>
      </c>
      <c r="J111" s="571"/>
      <c r="K111" s="571"/>
      <c r="L111" s="571"/>
      <c r="M111" s="571"/>
      <c r="N111" s="574">
        <f t="shared" si="77"/>
        <v>110162</v>
      </c>
      <c r="O111" s="582"/>
      <c r="P111" s="19"/>
      <c r="Q111" s="19"/>
      <c r="R111" s="19"/>
      <c r="S111" s="19">
        <f t="shared" si="78"/>
        <v>0</v>
      </c>
      <c r="T111" s="48">
        <f t="shared" si="79"/>
        <v>110162</v>
      </c>
    </row>
    <row r="112" spans="1:21" hidden="1" x14ac:dyDescent="0.25">
      <c r="A112" s="586">
        <v>61608</v>
      </c>
      <c r="B112" s="570" t="s">
        <v>129</v>
      </c>
      <c r="C112" s="570"/>
      <c r="D112" s="571"/>
      <c r="E112" s="571"/>
      <c r="F112" s="571"/>
      <c r="G112" s="572">
        <f t="shared" si="76"/>
        <v>0</v>
      </c>
      <c r="H112" s="573"/>
      <c r="I112" s="571"/>
      <c r="J112" s="571"/>
      <c r="K112" s="571"/>
      <c r="L112" s="571"/>
      <c r="M112" s="571"/>
      <c r="N112" s="574">
        <f t="shared" si="77"/>
        <v>0</v>
      </c>
      <c r="O112" s="582"/>
      <c r="P112" s="19"/>
      <c r="Q112" s="19"/>
      <c r="R112" s="19"/>
      <c r="S112" s="19">
        <f t="shared" si="78"/>
        <v>0</v>
      </c>
      <c r="T112" s="48">
        <f t="shared" si="79"/>
        <v>0</v>
      </c>
    </row>
    <row r="113" spans="1:21" hidden="1" x14ac:dyDescent="0.25">
      <c r="A113" s="586">
        <v>61609</v>
      </c>
      <c r="B113" s="570" t="s">
        <v>130</v>
      </c>
      <c r="C113" s="570"/>
      <c r="D113" s="571"/>
      <c r="E113" s="571"/>
      <c r="F113" s="571"/>
      <c r="G113" s="572">
        <f t="shared" si="76"/>
        <v>0</v>
      </c>
      <c r="H113" s="573"/>
      <c r="I113" s="571">
        <v>156000</v>
      </c>
      <c r="J113" s="571"/>
      <c r="K113" s="571"/>
      <c r="L113" s="571"/>
      <c r="M113" s="571"/>
      <c r="N113" s="574">
        <f>SUM(H113:M113)</f>
        <v>156000</v>
      </c>
      <c r="O113" s="582"/>
      <c r="P113" s="19"/>
      <c r="Q113" s="19"/>
      <c r="R113" s="19"/>
      <c r="S113" s="19">
        <f t="shared" si="78"/>
        <v>0</v>
      </c>
      <c r="T113" s="48">
        <f t="shared" si="79"/>
        <v>156000</v>
      </c>
    </row>
    <row r="114" spans="1:21" hidden="1" x14ac:dyDescent="0.25">
      <c r="A114" s="586">
        <v>61610</v>
      </c>
      <c r="B114" s="570" t="s">
        <v>137</v>
      </c>
      <c r="C114" s="570"/>
      <c r="D114" s="571"/>
      <c r="E114" s="571"/>
      <c r="F114" s="571"/>
      <c r="G114" s="572">
        <f t="shared" si="76"/>
        <v>0</v>
      </c>
      <c r="H114" s="573"/>
      <c r="I114" s="571">
        <v>276000</v>
      </c>
      <c r="J114" s="571"/>
      <c r="K114" s="571"/>
      <c r="L114" s="571"/>
      <c r="M114" s="571"/>
      <c r="N114" s="574">
        <f t="shared" si="77"/>
        <v>276000</v>
      </c>
      <c r="O114" s="582"/>
      <c r="P114" s="19"/>
      <c r="Q114" s="19"/>
      <c r="R114" s="19"/>
      <c r="S114" s="19">
        <f t="shared" si="78"/>
        <v>0</v>
      </c>
      <c r="T114" s="48">
        <f t="shared" si="79"/>
        <v>276000</v>
      </c>
    </row>
    <row r="115" spans="1:21" hidden="1" x14ac:dyDescent="0.25">
      <c r="A115" s="586">
        <v>61611</v>
      </c>
      <c r="B115" s="570" t="s">
        <v>138</v>
      </c>
      <c r="C115" s="570"/>
      <c r="D115" s="571"/>
      <c r="E115" s="571"/>
      <c r="F115" s="571"/>
      <c r="G115" s="572">
        <f t="shared" si="76"/>
        <v>0</v>
      </c>
      <c r="H115" s="573"/>
      <c r="I115" s="571"/>
      <c r="J115" s="571"/>
      <c r="K115" s="571"/>
      <c r="L115" s="571"/>
      <c r="M115" s="571"/>
      <c r="N115" s="574">
        <f t="shared" si="77"/>
        <v>0</v>
      </c>
      <c r="O115" s="582"/>
      <c r="P115" s="19"/>
      <c r="Q115" s="19"/>
      <c r="R115" s="19"/>
      <c r="S115" s="19">
        <f t="shared" si="78"/>
        <v>0</v>
      </c>
      <c r="T115" s="48">
        <f t="shared" si="79"/>
        <v>0</v>
      </c>
    </row>
    <row r="116" spans="1:21" x14ac:dyDescent="0.25">
      <c r="A116" s="585">
        <v>71</v>
      </c>
      <c r="B116" s="565" t="s">
        <v>131</v>
      </c>
      <c r="C116" s="565"/>
      <c r="D116" s="566">
        <f>D117</f>
        <v>0</v>
      </c>
      <c r="E116" s="566">
        <f>E117</f>
        <v>0</v>
      </c>
      <c r="F116" s="566">
        <f t="shared" ref="F116:T117" si="80">F117</f>
        <v>0</v>
      </c>
      <c r="G116" s="567">
        <f t="shared" si="80"/>
        <v>0</v>
      </c>
      <c r="H116" s="568">
        <f t="shared" si="80"/>
        <v>0</v>
      </c>
      <c r="I116" s="566">
        <f t="shared" si="80"/>
        <v>0</v>
      </c>
      <c r="J116" s="566">
        <f t="shared" si="80"/>
        <v>0</v>
      </c>
      <c r="K116" s="566">
        <f t="shared" si="80"/>
        <v>0</v>
      </c>
      <c r="L116" s="566">
        <f t="shared" si="80"/>
        <v>0</v>
      </c>
      <c r="M116" s="566">
        <f>M117</f>
        <v>158531.39000000001</v>
      </c>
      <c r="N116" s="569">
        <f t="shared" si="80"/>
        <v>158531.39000000001</v>
      </c>
      <c r="O116" s="581">
        <f t="shared" si="80"/>
        <v>0</v>
      </c>
      <c r="P116" s="31">
        <f t="shared" si="80"/>
        <v>0</v>
      </c>
      <c r="Q116" s="31">
        <f t="shared" si="80"/>
        <v>0</v>
      </c>
      <c r="R116" s="31">
        <f t="shared" si="80"/>
        <v>0</v>
      </c>
      <c r="S116" s="31">
        <f>S117</f>
        <v>0</v>
      </c>
      <c r="T116" s="36">
        <f>T117</f>
        <v>158531.39000000001</v>
      </c>
    </row>
    <row r="117" spans="1:21" x14ac:dyDescent="0.25">
      <c r="A117" s="585">
        <v>713</v>
      </c>
      <c r="B117" s="565" t="s">
        <v>132</v>
      </c>
      <c r="C117" s="565"/>
      <c r="D117" s="566">
        <f>D118</f>
        <v>0</v>
      </c>
      <c r="E117" s="566">
        <f>E118</f>
        <v>0</v>
      </c>
      <c r="F117" s="566">
        <f t="shared" si="80"/>
        <v>0</v>
      </c>
      <c r="G117" s="567">
        <f t="shared" si="80"/>
        <v>0</v>
      </c>
      <c r="H117" s="568">
        <f t="shared" si="80"/>
        <v>0</v>
      </c>
      <c r="I117" s="566">
        <f t="shared" si="80"/>
        <v>0</v>
      </c>
      <c r="J117" s="566">
        <f t="shared" si="80"/>
        <v>0</v>
      </c>
      <c r="K117" s="566">
        <f t="shared" si="80"/>
        <v>0</v>
      </c>
      <c r="L117" s="566">
        <f t="shared" si="80"/>
        <v>0</v>
      </c>
      <c r="M117" s="566">
        <f>M118</f>
        <v>158531.39000000001</v>
      </c>
      <c r="N117" s="569">
        <f t="shared" si="80"/>
        <v>158531.39000000001</v>
      </c>
      <c r="O117" s="581">
        <f t="shared" si="80"/>
        <v>0</v>
      </c>
      <c r="P117" s="31">
        <f t="shared" si="80"/>
        <v>0</v>
      </c>
      <c r="Q117" s="31">
        <f t="shared" si="80"/>
        <v>0</v>
      </c>
      <c r="R117" s="31">
        <f t="shared" si="80"/>
        <v>0</v>
      </c>
      <c r="S117" s="31">
        <f t="shared" si="80"/>
        <v>0</v>
      </c>
      <c r="T117" s="36">
        <f t="shared" si="80"/>
        <v>158531.39000000001</v>
      </c>
    </row>
    <row r="118" spans="1:21" hidden="1" x14ac:dyDescent="0.25">
      <c r="A118" s="586">
        <v>71304</v>
      </c>
      <c r="B118" s="570" t="s">
        <v>102</v>
      </c>
      <c r="C118" s="570"/>
      <c r="D118" s="571"/>
      <c r="E118" s="571"/>
      <c r="F118" s="571"/>
      <c r="G118" s="572">
        <f t="shared" ref="G118" si="81">C118+D118+E118+F118</f>
        <v>0</v>
      </c>
      <c r="H118" s="573"/>
      <c r="I118" s="571"/>
      <c r="J118" s="571"/>
      <c r="K118" s="571"/>
      <c r="L118" s="571"/>
      <c r="M118" s="576">
        <v>158531.39000000001</v>
      </c>
      <c r="N118" s="574">
        <f t="shared" ref="N118" si="82">SUM(H118:M118)</f>
        <v>158531.39000000001</v>
      </c>
      <c r="O118" s="582"/>
      <c r="P118" s="19"/>
      <c r="Q118" s="19"/>
      <c r="R118" s="19"/>
      <c r="S118" s="19">
        <f t="shared" ref="S118" si="83">SUM(O118:R118)</f>
        <v>0</v>
      </c>
      <c r="T118" s="48">
        <f t="shared" ref="T118" si="84">S118+N118+G118</f>
        <v>158531.39000000001</v>
      </c>
    </row>
    <row r="119" spans="1:21" x14ac:dyDescent="0.25">
      <c r="A119" s="585">
        <v>72</v>
      </c>
      <c r="B119" s="565" t="s">
        <v>133</v>
      </c>
      <c r="C119" s="565"/>
      <c r="D119" s="566">
        <f>D120</f>
        <v>0</v>
      </c>
      <c r="E119" s="566">
        <f>E120</f>
        <v>0</v>
      </c>
      <c r="F119" s="566">
        <f t="shared" ref="F119:T120" si="85">F120</f>
        <v>0</v>
      </c>
      <c r="G119" s="567">
        <f t="shared" si="85"/>
        <v>0</v>
      </c>
      <c r="H119" s="568">
        <f t="shared" si="85"/>
        <v>0</v>
      </c>
      <c r="I119" s="566">
        <f t="shared" si="85"/>
        <v>0</v>
      </c>
      <c r="J119" s="566">
        <f t="shared" si="85"/>
        <v>0</v>
      </c>
      <c r="K119" s="566">
        <f t="shared" si="85"/>
        <v>0</v>
      </c>
      <c r="L119" s="566">
        <f t="shared" si="85"/>
        <v>0</v>
      </c>
      <c r="M119" s="566">
        <f t="shared" si="85"/>
        <v>0</v>
      </c>
      <c r="N119" s="569">
        <f t="shared" si="85"/>
        <v>0</v>
      </c>
      <c r="O119" s="581">
        <f t="shared" si="85"/>
        <v>0</v>
      </c>
      <c r="P119" s="31">
        <f t="shared" si="85"/>
        <v>0</v>
      </c>
      <c r="Q119" s="31">
        <f t="shared" si="85"/>
        <v>0</v>
      </c>
      <c r="R119" s="31">
        <f t="shared" si="85"/>
        <v>0</v>
      </c>
      <c r="S119" s="31">
        <f>S120</f>
        <v>0</v>
      </c>
      <c r="T119" s="36">
        <f>T120</f>
        <v>0</v>
      </c>
    </row>
    <row r="120" spans="1:21" x14ac:dyDescent="0.25">
      <c r="A120" s="585">
        <v>721</v>
      </c>
      <c r="B120" s="565" t="s">
        <v>134</v>
      </c>
      <c r="C120" s="565"/>
      <c r="D120" s="566">
        <f>D121</f>
        <v>0</v>
      </c>
      <c r="E120" s="566">
        <f>E121</f>
        <v>0</v>
      </c>
      <c r="F120" s="566">
        <f t="shared" si="85"/>
        <v>0</v>
      </c>
      <c r="G120" s="567">
        <f t="shared" si="85"/>
        <v>0</v>
      </c>
      <c r="H120" s="568">
        <f t="shared" si="85"/>
        <v>0</v>
      </c>
      <c r="I120" s="566">
        <f t="shared" si="85"/>
        <v>0</v>
      </c>
      <c r="J120" s="566">
        <f t="shared" si="85"/>
        <v>0</v>
      </c>
      <c r="K120" s="566">
        <f t="shared" si="85"/>
        <v>0</v>
      </c>
      <c r="L120" s="566">
        <f t="shared" si="85"/>
        <v>0</v>
      </c>
      <c r="M120" s="566">
        <f t="shared" si="85"/>
        <v>0</v>
      </c>
      <c r="N120" s="569">
        <f t="shared" si="85"/>
        <v>0</v>
      </c>
      <c r="O120" s="581">
        <f t="shared" si="85"/>
        <v>0</v>
      </c>
      <c r="P120" s="31">
        <f t="shared" si="85"/>
        <v>0</v>
      </c>
      <c r="Q120" s="31">
        <f t="shared" si="85"/>
        <v>0</v>
      </c>
      <c r="R120" s="31">
        <f t="shared" si="85"/>
        <v>0</v>
      </c>
      <c r="S120" s="31">
        <f t="shared" si="85"/>
        <v>0</v>
      </c>
      <c r="T120" s="36">
        <f t="shared" si="85"/>
        <v>0</v>
      </c>
    </row>
    <row r="121" spans="1:21" hidden="1" x14ac:dyDescent="0.25">
      <c r="A121" s="586">
        <v>72101</v>
      </c>
      <c r="B121" s="570" t="s">
        <v>134</v>
      </c>
      <c r="C121" s="570"/>
      <c r="D121" s="571"/>
      <c r="E121" s="571"/>
      <c r="F121" s="571"/>
      <c r="G121" s="572">
        <f t="shared" ref="G121" si="86">C121+D121+E121+F121</f>
        <v>0</v>
      </c>
      <c r="H121" s="573"/>
      <c r="I121" s="571"/>
      <c r="J121" s="571"/>
      <c r="K121" s="571"/>
      <c r="L121" s="571"/>
      <c r="M121" s="571"/>
      <c r="N121" s="574">
        <f t="shared" ref="N121" si="87">SUM(H121:M121)</f>
        <v>0</v>
      </c>
      <c r="O121" s="582"/>
      <c r="P121" s="19"/>
      <c r="Q121" s="19"/>
      <c r="R121" s="19"/>
      <c r="S121" s="19">
        <f t="shared" ref="S121" si="88">SUM(O121:R121)</f>
        <v>0</v>
      </c>
      <c r="T121" s="48">
        <f t="shared" ref="T121" si="89">S121+N121+G121</f>
        <v>0</v>
      </c>
    </row>
    <row r="122" spans="1:21" x14ac:dyDescent="0.25">
      <c r="A122" s="587" t="s">
        <v>29</v>
      </c>
      <c r="B122" s="565" t="s">
        <v>81</v>
      </c>
      <c r="C122" s="566">
        <f>C10+C33+C82+C92+C99+C116+C119</f>
        <v>244505.59</v>
      </c>
      <c r="D122" s="566">
        <f t="shared" ref="D122:T122" si="90">D10+D33+D82+D92+D99+D116+D119</f>
        <v>110071</v>
      </c>
      <c r="E122" s="566">
        <f t="shared" si="90"/>
        <v>39543</v>
      </c>
      <c r="F122" s="566">
        <f t="shared" si="90"/>
        <v>114595.69</v>
      </c>
      <c r="G122" s="566">
        <f>G10+G33+G82+G92+G99+G116+G119</f>
        <v>508715.27999999997</v>
      </c>
      <c r="H122" s="566">
        <f t="shared" si="90"/>
        <v>19840.509999999998</v>
      </c>
      <c r="I122" s="566">
        <f t="shared" si="90"/>
        <v>1335354</v>
      </c>
      <c r="J122" s="566">
        <f t="shared" si="90"/>
        <v>0</v>
      </c>
      <c r="K122" s="566">
        <f t="shared" si="90"/>
        <v>0</v>
      </c>
      <c r="L122" s="566">
        <f t="shared" si="90"/>
        <v>0</v>
      </c>
      <c r="M122" s="566">
        <f t="shared" si="90"/>
        <v>158531.39000000001</v>
      </c>
      <c r="N122" s="569">
        <f>N10+N33+N82+N92+N99+N116+N119</f>
        <v>1513725.9</v>
      </c>
      <c r="O122" s="581">
        <f t="shared" si="90"/>
        <v>248804.32</v>
      </c>
      <c r="P122" s="31">
        <f t="shared" si="90"/>
        <v>22280.959999999999</v>
      </c>
      <c r="Q122" s="31">
        <f t="shared" si="90"/>
        <v>12764.2</v>
      </c>
      <c r="R122" s="31">
        <f t="shared" si="90"/>
        <v>31265</v>
      </c>
      <c r="S122" s="31">
        <f>S10+S33+S82+S92+S99+S116+S119</f>
        <v>349204.99999999994</v>
      </c>
      <c r="T122" s="31">
        <f t="shared" si="90"/>
        <v>2086884.8200000003</v>
      </c>
    </row>
    <row r="123" spans="1:21" x14ac:dyDescent="0.25">
      <c r="A123" s="587" t="s">
        <v>29</v>
      </c>
      <c r="B123" s="565" t="s">
        <v>82</v>
      </c>
      <c r="C123" s="566">
        <f>C122</f>
        <v>244505.59</v>
      </c>
      <c r="D123" s="566">
        <f t="shared" ref="D123:T124" si="91">D122</f>
        <v>110071</v>
      </c>
      <c r="E123" s="566">
        <f t="shared" si="91"/>
        <v>39543</v>
      </c>
      <c r="F123" s="566">
        <f t="shared" si="91"/>
        <v>114595.69</v>
      </c>
      <c r="G123" s="567">
        <f t="shared" si="91"/>
        <v>508715.27999999997</v>
      </c>
      <c r="H123" s="568">
        <f t="shared" si="91"/>
        <v>19840.509999999998</v>
      </c>
      <c r="I123" s="566">
        <f t="shared" si="91"/>
        <v>1335354</v>
      </c>
      <c r="J123" s="566">
        <f t="shared" si="91"/>
        <v>0</v>
      </c>
      <c r="K123" s="566">
        <f t="shared" si="91"/>
        <v>0</v>
      </c>
      <c r="L123" s="566">
        <f t="shared" si="91"/>
        <v>0</v>
      </c>
      <c r="M123" s="566">
        <f t="shared" si="91"/>
        <v>158531.39000000001</v>
      </c>
      <c r="N123" s="569">
        <f t="shared" si="91"/>
        <v>1513725.9</v>
      </c>
      <c r="O123" s="581">
        <f t="shared" si="91"/>
        <v>248804.32</v>
      </c>
      <c r="P123" s="31">
        <f t="shared" si="91"/>
        <v>22280.959999999999</v>
      </c>
      <c r="Q123" s="31">
        <f t="shared" si="91"/>
        <v>12764.2</v>
      </c>
      <c r="R123" s="31">
        <f t="shared" si="91"/>
        <v>31265</v>
      </c>
      <c r="S123" s="31">
        <f t="shared" si="91"/>
        <v>349204.99999999994</v>
      </c>
      <c r="T123" s="36">
        <f t="shared" si="91"/>
        <v>2086884.8200000003</v>
      </c>
    </row>
    <row r="124" spans="1:21" ht="15.75" thickBot="1" x14ac:dyDescent="0.3">
      <c r="A124" s="588" t="s">
        <v>83</v>
      </c>
      <c r="B124" s="589"/>
      <c r="C124" s="578">
        <f>C123</f>
        <v>244505.59</v>
      </c>
      <c r="D124" s="578">
        <f t="shared" si="91"/>
        <v>110071</v>
      </c>
      <c r="E124" s="578">
        <f t="shared" si="91"/>
        <v>39543</v>
      </c>
      <c r="F124" s="578">
        <f t="shared" si="91"/>
        <v>114595.69</v>
      </c>
      <c r="G124" s="590">
        <f>G123</f>
        <v>508715.27999999997</v>
      </c>
      <c r="H124" s="577">
        <f t="shared" si="91"/>
        <v>19840.509999999998</v>
      </c>
      <c r="I124" s="578">
        <f t="shared" si="91"/>
        <v>1335354</v>
      </c>
      <c r="J124" s="578">
        <f t="shared" si="91"/>
        <v>0</v>
      </c>
      <c r="K124" s="578">
        <f t="shared" si="91"/>
        <v>0</v>
      </c>
      <c r="L124" s="578">
        <f t="shared" si="91"/>
        <v>0</v>
      </c>
      <c r="M124" s="578">
        <f t="shared" si="91"/>
        <v>158531.39000000001</v>
      </c>
      <c r="N124" s="579">
        <f>N123</f>
        <v>1513725.9</v>
      </c>
      <c r="O124" s="583">
        <f t="shared" si="91"/>
        <v>248804.32</v>
      </c>
      <c r="P124" s="43">
        <f t="shared" si="91"/>
        <v>22280.959999999999</v>
      </c>
      <c r="Q124" s="43">
        <f t="shared" si="91"/>
        <v>12764.2</v>
      </c>
      <c r="R124" s="43">
        <f t="shared" si="91"/>
        <v>31265</v>
      </c>
      <c r="S124" s="43">
        <f t="shared" si="91"/>
        <v>349204.99999999994</v>
      </c>
      <c r="T124" s="44">
        <f t="shared" si="91"/>
        <v>2086884.8200000003</v>
      </c>
    </row>
    <row r="125" spans="1:21" hidden="1" x14ac:dyDescent="0.25"/>
    <row r="126" spans="1:21" hidden="1" x14ac:dyDescent="0.25">
      <c r="N126">
        <v>1513725.9</v>
      </c>
    </row>
    <row r="127" spans="1:21" hidden="1" x14ac:dyDescent="0.25">
      <c r="N127" s="65">
        <f>N126-N124</f>
        <v>0</v>
      </c>
      <c r="T127" s="50">
        <v>285705</v>
      </c>
      <c r="U127" s="51"/>
    </row>
    <row r="128" spans="1:21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</sheetData>
  <mergeCells count="11">
    <mergeCell ref="C7:G7"/>
    <mergeCell ref="O7:S7"/>
    <mergeCell ref="C8:G8"/>
    <mergeCell ref="O8:S8"/>
    <mergeCell ref="A1:T1"/>
    <mergeCell ref="A2:T2"/>
    <mergeCell ref="O5:S5"/>
    <mergeCell ref="C6:G6"/>
    <mergeCell ref="H6:N6"/>
    <mergeCell ref="O6:S6"/>
    <mergeCell ref="A3:T3"/>
  </mergeCells>
  <pageMargins left="0.51181102362204722" right="0.51181102362204722" top="0.55118110236220474" bottom="0.55118110236220474" header="0.31496062992125984" footer="0.31496062992125984"/>
  <pageSetup orientation="landscape" horizontalDpi="4294967293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33"/>
  <sheetViews>
    <sheetView tabSelected="1" zoomScale="170" zoomScaleNormal="170" workbookViewId="0">
      <selection activeCell="B61" sqref="B61"/>
    </sheetView>
  </sheetViews>
  <sheetFormatPr baseColWidth="10" defaultRowHeight="15" x14ac:dyDescent="0.25"/>
  <cols>
    <col min="1" max="1" width="8" customWidth="1"/>
    <col min="2" max="2" width="36.5703125" customWidth="1"/>
    <col min="3" max="3" width="15.28515625" hidden="1" customWidth="1"/>
    <col min="4" max="5" width="13.5703125" hidden="1" customWidth="1"/>
    <col min="6" max="6" width="14.7109375" hidden="1" customWidth="1"/>
    <col min="7" max="7" width="14.42578125" hidden="1" customWidth="1"/>
    <col min="8" max="8" width="12.7109375" hidden="1" customWidth="1"/>
    <col min="9" max="9" width="16.42578125" hidden="1" customWidth="1"/>
    <col min="10" max="10" width="11.42578125" hidden="1" customWidth="1"/>
    <col min="11" max="11" width="13" hidden="1" customWidth="1"/>
    <col min="12" max="12" width="11.42578125" hidden="1" customWidth="1"/>
    <col min="13" max="13" width="13.5703125" hidden="1" customWidth="1"/>
    <col min="14" max="14" width="16" hidden="1" customWidth="1"/>
    <col min="15" max="15" width="15" customWidth="1"/>
    <col min="16" max="16" width="13.5703125" customWidth="1"/>
    <col min="17" max="18" width="12.85546875" customWidth="1"/>
    <col min="19" max="19" width="13.7109375" customWidth="1"/>
    <col min="20" max="20" width="17.28515625" hidden="1" customWidth="1"/>
    <col min="21" max="21" width="15.85546875" style="175" hidden="1" customWidth="1"/>
    <col min="22" max="22" width="14.5703125" hidden="1" customWidth="1"/>
    <col min="23" max="23" width="13.7109375" hidden="1" customWidth="1"/>
    <col min="24" max="31" width="0" hidden="1" customWidth="1"/>
  </cols>
  <sheetData>
    <row r="1" spans="1:21" s="591" customFormat="1" ht="15.75" x14ac:dyDescent="0.25">
      <c r="A1" s="656" t="s">
        <v>139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  <c r="T1" s="656"/>
      <c r="U1" s="175"/>
    </row>
    <row r="2" spans="1:21" s="591" customFormat="1" ht="15.75" x14ac:dyDescent="0.25">
      <c r="A2" s="656" t="s">
        <v>637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175"/>
    </row>
    <row r="3" spans="1:21" s="591" customFormat="1" ht="16.5" thickBot="1" x14ac:dyDescent="0.3">
      <c r="A3" s="656" t="s">
        <v>1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656"/>
      <c r="Q3" s="656"/>
      <c r="R3" s="656"/>
      <c r="S3" s="656"/>
      <c r="T3" s="656"/>
      <c r="U3" s="175"/>
    </row>
    <row r="4" spans="1:21" s="591" customFormat="1" ht="15.75" thickBot="1" x14ac:dyDescent="0.3">
      <c r="A4" s="592"/>
      <c r="B4" s="593"/>
      <c r="C4" s="55" t="s">
        <v>26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  <c r="O4" s="657" t="s">
        <v>0</v>
      </c>
      <c r="P4" s="654"/>
      <c r="Q4" s="654"/>
      <c r="R4" s="654"/>
      <c r="S4" s="655"/>
      <c r="T4" s="593"/>
      <c r="U4" s="175"/>
    </row>
    <row r="5" spans="1:21" s="591" customFormat="1" ht="15.75" thickBot="1" x14ac:dyDescent="0.3">
      <c r="A5" s="594"/>
      <c r="B5" s="595"/>
      <c r="C5" s="641" t="s">
        <v>25</v>
      </c>
      <c r="D5" s="641"/>
      <c r="E5" s="641"/>
      <c r="F5" s="641"/>
      <c r="G5" s="642"/>
      <c r="H5" s="657" t="s">
        <v>11</v>
      </c>
      <c r="I5" s="654"/>
      <c r="J5" s="654"/>
      <c r="K5" s="654"/>
      <c r="L5" s="654"/>
      <c r="M5" s="654"/>
      <c r="N5" s="654"/>
      <c r="O5" s="658" t="s">
        <v>1</v>
      </c>
      <c r="P5" s="641"/>
      <c r="Q5" s="641"/>
      <c r="R5" s="641"/>
      <c r="S5" s="642"/>
      <c r="T5" s="54" t="s">
        <v>4</v>
      </c>
      <c r="U5" s="175"/>
    </row>
    <row r="6" spans="1:21" s="591" customFormat="1" x14ac:dyDescent="0.25">
      <c r="A6" s="53" t="s">
        <v>28</v>
      </c>
      <c r="B6" s="54" t="s">
        <v>27</v>
      </c>
      <c r="C6" s="643" t="s">
        <v>2</v>
      </c>
      <c r="D6" s="643"/>
      <c r="E6" s="643"/>
      <c r="F6" s="643"/>
      <c r="G6" s="643"/>
      <c r="H6" s="596" t="s">
        <v>18</v>
      </c>
      <c r="I6" s="597" t="s">
        <v>18</v>
      </c>
      <c r="J6" s="597" t="s">
        <v>18</v>
      </c>
      <c r="K6" s="597" t="s">
        <v>19</v>
      </c>
      <c r="L6" s="597" t="s">
        <v>18</v>
      </c>
      <c r="M6" s="597" t="s">
        <v>20</v>
      </c>
      <c r="N6" s="598"/>
      <c r="O6" s="659" t="s">
        <v>2</v>
      </c>
      <c r="P6" s="651"/>
      <c r="Q6" s="651"/>
      <c r="R6" s="651"/>
      <c r="S6" s="652"/>
      <c r="T6" s="54" t="s">
        <v>5</v>
      </c>
      <c r="U6" s="175"/>
    </row>
    <row r="7" spans="1:21" s="591" customFormat="1" x14ac:dyDescent="0.25">
      <c r="A7" s="594"/>
      <c r="B7" s="595"/>
      <c r="C7" s="645" t="s">
        <v>24</v>
      </c>
      <c r="D7" s="645"/>
      <c r="E7" s="645"/>
      <c r="F7" s="645"/>
      <c r="G7" s="645"/>
      <c r="H7" s="599" t="s">
        <v>21</v>
      </c>
      <c r="I7" s="600" t="s">
        <v>21</v>
      </c>
      <c r="J7" s="600" t="s">
        <v>21</v>
      </c>
      <c r="K7" s="600" t="s">
        <v>22</v>
      </c>
      <c r="L7" s="600" t="s">
        <v>21</v>
      </c>
      <c r="M7" s="600" t="s">
        <v>23</v>
      </c>
      <c r="N7" s="601" t="s">
        <v>12</v>
      </c>
      <c r="O7" s="659" t="s">
        <v>3</v>
      </c>
      <c r="P7" s="651"/>
      <c r="Q7" s="651"/>
      <c r="R7" s="651"/>
      <c r="S7" s="652"/>
      <c r="T7" s="595"/>
      <c r="U7" s="175"/>
    </row>
    <row r="8" spans="1:21" s="591" customFormat="1" ht="30.75" thickBot="1" x14ac:dyDescent="0.3">
      <c r="A8" s="602"/>
      <c r="B8" s="603"/>
      <c r="C8" s="604" t="s">
        <v>6</v>
      </c>
      <c r="D8" s="605" t="s">
        <v>7</v>
      </c>
      <c r="E8" s="605" t="s">
        <v>8</v>
      </c>
      <c r="F8" s="605" t="s">
        <v>9</v>
      </c>
      <c r="G8" s="606" t="s">
        <v>10</v>
      </c>
      <c r="H8" s="607" t="s">
        <v>13</v>
      </c>
      <c r="I8" s="605" t="s">
        <v>14</v>
      </c>
      <c r="J8" s="605" t="s">
        <v>14</v>
      </c>
      <c r="K8" s="605" t="s">
        <v>15</v>
      </c>
      <c r="L8" s="605" t="s">
        <v>16</v>
      </c>
      <c r="M8" s="606" t="s">
        <v>17</v>
      </c>
      <c r="N8" s="608"/>
      <c r="O8" s="609" t="s">
        <v>6</v>
      </c>
      <c r="P8" s="610" t="s">
        <v>7</v>
      </c>
      <c r="Q8" s="610" t="s">
        <v>8</v>
      </c>
      <c r="R8" s="610" t="s">
        <v>9</v>
      </c>
      <c r="S8" s="611" t="s">
        <v>278</v>
      </c>
      <c r="T8" s="603"/>
      <c r="U8" s="175"/>
    </row>
    <row r="9" spans="1:21" x14ac:dyDescent="0.25">
      <c r="A9" s="22">
        <v>51</v>
      </c>
      <c r="B9" s="23" t="s">
        <v>30</v>
      </c>
      <c r="C9" s="31">
        <f t="shared" ref="C9:R9" si="0">C10+C17+C21+C24+C30+C33+C27</f>
        <v>124657.79</v>
      </c>
      <c r="D9" s="31">
        <f t="shared" si="0"/>
        <v>103071</v>
      </c>
      <c r="E9" s="31">
        <f t="shared" si="0"/>
        <v>39043</v>
      </c>
      <c r="F9" s="31">
        <f t="shared" si="0"/>
        <v>114095.69</v>
      </c>
      <c r="G9" s="32">
        <f t="shared" si="0"/>
        <v>380867.48</v>
      </c>
      <c r="H9" s="35">
        <f t="shared" si="0"/>
        <v>0</v>
      </c>
      <c r="I9" s="31">
        <f t="shared" si="0"/>
        <v>0</v>
      </c>
      <c r="J9" s="31">
        <f t="shared" si="0"/>
        <v>0</v>
      </c>
      <c r="K9" s="31">
        <f t="shared" si="0"/>
        <v>0</v>
      </c>
      <c r="L9" s="31">
        <f t="shared" si="0"/>
        <v>0</v>
      </c>
      <c r="M9" s="31">
        <f t="shared" si="0"/>
        <v>0</v>
      </c>
      <c r="N9" s="36">
        <f t="shared" si="0"/>
        <v>0</v>
      </c>
      <c r="O9" s="35">
        <f t="shared" si="0"/>
        <v>129157.28</v>
      </c>
      <c r="P9" s="31">
        <f t="shared" si="0"/>
        <v>47528.349999999991</v>
      </c>
      <c r="Q9" s="31">
        <f t="shared" si="0"/>
        <v>13137.6</v>
      </c>
      <c r="R9" s="31">
        <f t="shared" si="0"/>
        <v>58352.160000000003</v>
      </c>
      <c r="S9" s="31">
        <f>S10+S17+S21+S24+S27+S30+S33</f>
        <v>248175.38999999998</v>
      </c>
      <c r="T9" s="36">
        <f>T10+T17+T21+T24+T30+T33+T27</f>
        <v>365534.10000000003</v>
      </c>
    </row>
    <row r="10" spans="1:21" x14ac:dyDescent="0.25">
      <c r="A10" s="24">
        <v>511</v>
      </c>
      <c r="B10" s="25" t="s">
        <v>31</v>
      </c>
      <c r="C10" s="31">
        <f>C11+C12+C13</f>
        <v>112657.79</v>
      </c>
      <c r="D10" s="31">
        <f t="shared" ref="D10:R10" si="1">D11+D12+D13</f>
        <v>103071</v>
      </c>
      <c r="E10" s="31">
        <f t="shared" si="1"/>
        <v>39043</v>
      </c>
      <c r="F10" s="31">
        <f t="shared" si="1"/>
        <v>114095.69</v>
      </c>
      <c r="G10" s="32">
        <f t="shared" si="1"/>
        <v>368867.48</v>
      </c>
      <c r="H10" s="35">
        <f t="shared" si="1"/>
        <v>0</v>
      </c>
      <c r="I10" s="31">
        <f t="shared" si="1"/>
        <v>0</v>
      </c>
      <c r="J10" s="31">
        <f t="shared" si="1"/>
        <v>0</v>
      </c>
      <c r="K10" s="31">
        <f t="shared" si="1"/>
        <v>0</v>
      </c>
      <c r="L10" s="31">
        <f t="shared" si="1"/>
        <v>0</v>
      </c>
      <c r="M10" s="31">
        <f t="shared" si="1"/>
        <v>0</v>
      </c>
      <c r="N10" s="36">
        <f t="shared" si="1"/>
        <v>0</v>
      </c>
      <c r="O10" s="35">
        <f>O11+O12+O13</f>
        <v>30675</v>
      </c>
      <c r="P10" s="31">
        <f t="shared" si="1"/>
        <v>29421.67</v>
      </c>
      <c r="Q10" s="31">
        <f t="shared" si="1"/>
        <v>8160</v>
      </c>
      <c r="R10" s="31">
        <f t="shared" si="1"/>
        <v>24468</v>
      </c>
      <c r="S10" s="31">
        <f>S11+S12+S13+S14+S15+S16</f>
        <v>92724.67</v>
      </c>
      <c r="T10" s="36">
        <f>T11+T12+T13</f>
        <v>198083.38</v>
      </c>
    </row>
    <row r="11" spans="1:21" hidden="1" x14ac:dyDescent="0.25">
      <c r="A11" s="148">
        <v>51101</v>
      </c>
      <c r="B11" s="149" t="s">
        <v>32</v>
      </c>
      <c r="C11" s="150">
        <v>66166.679999999993</v>
      </c>
      <c r="D11" s="150">
        <v>95880</v>
      </c>
      <c r="E11" s="150">
        <v>36240</v>
      </c>
      <c r="F11" s="150">
        <f>65946.72+32000.04</f>
        <v>97946.760000000009</v>
      </c>
      <c r="G11" s="151">
        <f>C11+D11+E11+F11</f>
        <v>296233.44</v>
      </c>
      <c r="H11" s="152"/>
      <c r="I11" s="150"/>
      <c r="J11" s="150"/>
      <c r="K11" s="150"/>
      <c r="L11" s="150"/>
      <c r="M11" s="150"/>
      <c r="N11" s="200">
        <f t="shared" ref="N11:N71" si="2">SUM(H11:M11)</f>
        <v>0</v>
      </c>
      <c r="O11" s="152">
        <f>4225*3</f>
        <v>12675</v>
      </c>
      <c r="P11" s="150">
        <f>9923.89*3-350</f>
        <v>29421.67</v>
      </c>
      <c r="Q11" s="150">
        <f>2720*3</f>
        <v>8160</v>
      </c>
      <c r="R11" s="215">
        <f>(9406*3)-3750</f>
        <v>24468</v>
      </c>
      <c r="S11" s="150">
        <f>SUM(O11:R11)</f>
        <v>74724.67</v>
      </c>
      <c r="T11" s="190">
        <f>S11+R11+Q11+P11+O11</f>
        <v>149449.34</v>
      </c>
      <c r="U11" s="175" t="s">
        <v>633</v>
      </c>
    </row>
    <row r="12" spans="1:21" hidden="1" x14ac:dyDescent="0.25">
      <c r="A12" s="20">
        <v>51103</v>
      </c>
      <c r="B12" s="7" t="s">
        <v>33</v>
      </c>
      <c r="C12" s="19">
        <v>4491.1099999999997</v>
      </c>
      <c r="D12" s="19">
        <v>7191</v>
      </c>
      <c r="E12" s="19">
        <v>2803</v>
      </c>
      <c r="F12" s="19">
        <f>8032.23+8116.7</f>
        <v>16148.93</v>
      </c>
      <c r="G12" s="49">
        <f>C12+D12+E12+F12</f>
        <v>30634.04</v>
      </c>
      <c r="H12" s="37"/>
      <c r="I12" s="19"/>
      <c r="J12" s="19"/>
      <c r="K12" s="19"/>
      <c r="L12" s="19"/>
      <c r="M12" s="19"/>
      <c r="N12" s="38">
        <f t="shared" si="2"/>
        <v>0</v>
      </c>
      <c r="O12" s="37"/>
      <c r="P12" s="19"/>
      <c r="Q12" s="19"/>
      <c r="R12" s="19"/>
      <c r="S12" s="150">
        <f>SUM(O12:R12)</f>
        <v>0</v>
      </c>
      <c r="T12" s="48">
        <f t="shared" ref="T12" si="3">S12+N12+G12</f>
        <v>30634.04</v>
      </c>
    </row>
    <row r="13" spans="1:21" hidden="1" x14ac:dyDescent="0.25">
      <c r="A13" s="437">
        <v>51105</v>
      </c>
      <c r="B13" s="430" t="s">
        <v>34</v>
      </c>
      <c r="C13" s="431">
        <v>42000</v>
      </c>
      <c r="D13" s="431"/>
      <c r="E13" s="431"/>
      <c r="F13" s="431"/>
      <c r="G13" s="433">
        <f>C13+D13+E13+F13</f>
        <v>42000</v>
      </c>
      <c r="H13" s="434"/>
      <c r="I13" s="431"/>
      <c r="J13" s="431"/>
      <c r="K13" s="431"/>
      <c r="L13" s="431"/>
      <c r="M13" s="431"/>
      <c r="N13" s="435">
        <f t="shared" si="2"/>
        <v>0</v>
      </c>
      <c r="O13" s="434">
        <v>18000</v>
      </c>
      <c r="P13" s="431"/>
      <c r="Q13" s="431"/>
      <c r="R13" s="431"/>
      <c r="S13" s="431">
        <f>SUM(O13:R13)</f>
        <v>18000</v>
      </c>
      <c r="T13" s="190">
        <f>S13</f>
        <v>18000</v>
      </c>
    </row>
    <row r="14" spans="1:21" hidden="1" x14ac:dyDescent="0.25">
      <c r="A14" s="20"/>
      <c r="B14" s="7"/>
      <c r="C14" s="19"/>
      <c r="D14" s="19"/>
      <c r="E14" s="19"/>
      <c r="F14" s="19"/>
      <c r="G14" s="49"/>
      <c r="H14" s="37"/>
      <c r="I14" s="19"/>
      <c r="J14" s="19"/>
      <c r="K14" s="19"/>
      <c r="L14" s="19"/>
      <c r="M14" s="19"/>
      <c r="N14" s="38"/>
      <c r="O14" s="37"/>
      <c r="P14" s="19"/>
      <c r="Q14" s="19"/>
      <c r="R14" s="19"/>
      <c r="S14" s="150">
        <f t="shared" ref="S14:S16" si="4">SUM(O14:R14)</f>
        <v>0</v>
      </c>
      <c r="T14" s="48"/>
    </row>
    <row r="15" spans="1:21" hidden="1" x14ac:dyDescent="0.25">
      <c r="A15" s="20"/>
      <c r="B15" s="7"/>
      <c r="C15" s="19"/>
      <c r="D15" s="19"/>
      <c r="E15" s="19"/>
      <c r="F15" s="19"/>
      <c r="G15" s="49"/>
      <c r="H15" s="37"/>
      <c r="I15" s="19"/>
      <c r="J15" s="19"/>
      <c r="K15" s="19"/>
      <c r="L15" s="19"/>
      <c r="M15" s="19"/>
      <c r="N15" s="38"/>
      <c r="O15" s="37"/>
      <c r="P15" s="19"/>
      <c r="Q15" s="19"/>
      <c r="R15" s="19"/>
      <c r="S15" s="150">
        <f t="shared" si="4"/>
        <v>0</v>
      </c>
      <c r="T15" s="48"/>
    </row>
    <row r="16" spans="1:21" hidden="1" x14ac:dyDescent="0.25">
      <c r="A16" s="20"/>
      <c r="B16" s="7"/>
      <c r="C16" s="19"/>
      <c r="D16" s="19"/>
      <c r="E16" s="19"/>
      <c r="F16" s="19"/>
      <c r="G16" s="49"/>
      <c r="H16" s="37"/>
      <c r="I16" s="19"/>
      <c r="J16" s="19"/>
      <c r="K16" s="19"/>
      <c r="L16" s="19"/>
      <c r="M16" s="19"/>
      <c r="N16" s="38"/>
      <c r="O16" s="37"/>
      <c r="P16" s="19"/>
      <c r="Q16" s="19"/>
      <c r="R16" s="19"/>
      <c r="S16" s="150">
        <f t="shared" si="4"/>
        <v>0</v>
      </c>
      <c r="T16" s="48"/>
    </row>
    <row r="17" spans="1:24" x14ac:dyDescent="0.25">
      <c r="A17" s="24">
        <v>512</v>
      </c>
      <c r="B17" s="25" t="s">
        <v>35</v>
      </c>
      <c r="C17" s="31">
        <f>C18+C19+C20</f>
        <v>7200</v>
      </c>
      <c r="D17" s="31">
        <f t="shared" ref="D17:F17" si="5">D18+D19+D20</f>
        <v>0</v>
      </c>
      <c r="E17" s="31">
        <f t="shared" si="5"/>
        <v>0</v>
      </c>
      <c r="F17" s="31">
        <f t="shared" si="5"/>
        <v>0</v>
      </c>
      <c r="G17" s="32">
        <f>G18+G19+G20</f>
        <v>7200</v>
      </c>
      <c r="H17" s="35">
        <f t="shared" ref="H17:R17" si="6">H18+H19+H20</f>
        <v>0</v>
      </c>
      <c r="I17" s="31">
        <f t="shared" si="6"/>
        <v>0</v>
      </c>
      <c r="J17" s="31">
        <f t="shared" si="6"/>
        <v>0</v>
      </c>
      <c r="K17" s="31">
        <f t="shared" si="6"/>
        <v>0</v>
      </c>
      <c r="L17" s="31">
        <f t="shared" si="6"/>
        <v>0</v>
      </c>
      <c r="M17" s="31">
        <f t="shared" si="6"/>
        <v>0</v>
      </c>
      <c r="N17" s="36">
        <f t="shared" si="6"/>
        <v>0</v>
      </c>
      <c r="O17" s="35">
        <f>O18+O19+O20</f>
        <v>59700</v>
      </c>
      <c r="P17" s="31">
        <f t="shared" si="6"/>
        <v>0</v>
      </c>
      <c r="Q17" s="31">
        <f t="shared" si="6"/>
        <v>0</v>
      </c>
      <c r="R17" s="31">
        <f t="shared" si="6"/>
        <v>0</v>
      </c>
      <c r="S17" s="31">
        <f>S18+S19+S20</f>
        <v>59700</v>
      </c>
      <c r="T17" s="36">
        <f>T18+T19+T20</f>
        <v>66900</v>
      </c>
    </row>
    <row r="18" spans="1:24" hidden="1" x14ac:dyDescent="0.25">
      <c r="A18" s="437">
        <v>51201</v>
      </c>
      <c r="B18" s="430" t="s">
        <v>287</v>
      </c>
      <c r="C18" s="431">
        <v>7200</v>
      </c>
      <c r="D18" s="431"/>
      <c r="E18" s="431"/>
      <c r="F18" s="431"/>
      <c r="G18" s="433">
        <f t="shared" ref="G18:G84" si="7">C18+D18+E18+F18</f>
        <v>7200</v>
      </c>
      <c r="H18" s="434"/>
      <c r="I18" s="431"/>
      <c r="J18" s="431"/>
      <c r="K18" s="431"/>
      <c r="L18" s="431"/>
      <c r="M18" s="431"/>
      <c r="N18" s="435">
        <f t="shared" si="2"/>
        <v>0</v>
      </c>
      <c r="O18" s="434">
        <f>36500+(300*8)-1200</f>
        <v>37700</v>
      </c>
      <c r="P18" s="431">
        <v>0</v>
      </c>
      <c r="Q18" s="441">
        <v>0</v>
      </c>
      <c r="R18" s="431">
        <v>0</v>
      </c>
      <c r="S18" s="431">
        <f>O18+P18+Q18+R18</f>
        <v>37700</v>
      </c>
      <c r="T18" s="432">
        <f>S18+N18+G18</f>
        <v>44900</v>
      </c>
    </row>
    <row r="19" spans="1:24" hidden="1" x14ac:dyDescent="0.25">
      <c r="A19" s="437">
        <v>51202</v>
      </c>
      <c r="B19" s="430" t="s">
        <v>36</v>
      </c>
      <c r="C19" s="431"/>
      <c r="D19" s="431"/>
      <c r="E19" s="431"/>
      <c r="F19" s="431"/>
      <c r="G19" s="433">
        <f t="shared" si="7"/>
        <v>0</v>
      </c>
      <c r="H19" s="434"/>
      <c r="I19" s="431"/>
      <c r="J19" s="431"/>
      <c r="K19" s="431"/>
      <c r="L19" s="431"/>
      <c r="M19" s="431"/>
      <c r="N19" s="435">
        <f t="shared" si="2"/>
        <v>0</v>
      </c>
      <c r="O19" s="434">
        <v>22000</v>
      </c>
      <c r="P19" s="431"/>
      <c r="Q19" s="431"/>
      <c r="R19" s="431"/>
      <c r="S19" s="431">
        <f>SUM(O19:R19)</f>
        <v>22000</v>
      </c>
      <c r="T19" s="432">
        <f t="shared" ref="T19:T20" si="8">S19+N19+G19</f>
        <v>22000</v>
      </c>
      <c r="U19" s="175">
        <f>S19/12</f>
        <v>1833.3333333333333</v>
      </c>
      <c r="W19" t="s">
        <v>383</v>
      </c>
    </row>
    <row r="20" spans="1:24" hidden="1" x14ac:dyDescent="0.25">
      <c r="A20" s="20">
        <v>51203</v>
      </c>
      <c r="B20" s="7" t="s">
        <v>33</v>
      </c>
      <c r="C20" s="19"/>
      <c r="D20" s="19"/>
      <c r="E20" s="19"/>
      <c r="F20" s="19"/>
      <c r="G20" s="49">
        <f t="shared" si="7"/>
        <v>0</v>
      </c>
      <c r="H20" s="37"/>
      <c r="I20" s="19"/>
      <c r="J20" s="19"/>
      <c r="K20" s="19"/>
      <c r="L20" s="19"/>
      <c r="M20" s="19"/>
      <c r="N20" s="38">
        <f t="shared" si="2"/>
        <v>0</v>
      </c>
      <c r="O20" s="37"/>
      <c r="P20" s="19"/>
      <c r="Q20" s="19"/>
      <c r="R20" s="19"/>
      <c r="S20" s="19">
        <f t="shared" ref="S20" si="9">SUM(O20:R20)</f>
        <v>0</v>
      </c>
      <c r="T20" s="48">
        <f t="shared" si="8"/>
        <v>0</v>
      </c>
    </row>
    <row r="21" spans="1:24" x14ac:dyDescent="0.25">
      <c r="A21" s="24">
        <v>514</v>
      </c>
      <c r="B21" s="25" t="s">
        <v>37</v>
      </c>
      <c r="C21" s="31">
        <f>C22+C23</f>
        <v>0</v>
      </c>
      <c r="D21" s="31">
        <f t="shared" ref="D21:T21" si="10">D22+D23</f>
        <v>0</v>
      </c>
      <c r="E21" s="31">
        <f t="shared" si="10"/>
        <v>0</v>
      </c>
      <c r="F21" s="31">
        <f t="shared" si="10"/>
        <v>0</v>
      </c>
      <c r="G21" s="32">
        <f t="shared" si="10"/>
        <v>0</v>
      </c>
      <c r="H21" s="35">
        <f t="shared" si="10"/>
        <v>0</v>
      </c>
      <c r="I21" s="31">
        <f t="shared" si="10"/>
        <v>0</v>
      </c>
      <c r="J21" s="31">
        <f t="shared" si="10"/>
        <v>0</v>
      </c>
      <c r="K21" s="31">
        <f t="shared" si="10"/>
        <v>0</v>
      </c>
      <c r="L21" s="31">
        <f t="shared" si="10"/>
        <v>0</v>
      </c>
      <c r="M21" s="31">
        <f t="shared" si="10"/>
        <v>0</v>
      </c>
      <c r="N21" s="36">
        <f t="shared" si="10"/>
        <v>0</v>
      </c>
      <c r="O21" s="35">
        <f>O22+O23</f>
        <v>3200</v>
      </c>
      <c r="P21" s="31">
        <f>P22+P23</f>
        <v>9435.48</v>
      </c>
      <c r="Q21" s="31">
        <f>Q22+Q23</f>
        <v>2448</v>
      </c>
      <c r="R21" s="31">
        <f>R22+R23</f>
        <v>17496.72</v>
      </c>
      <c r="S21" s="31">
        <f>S22+S23</f>
        <v>32580.2</v>
      </c>
      <c r="T21" s="36">
        <f t="shared" si="10"/>
        <v>32580.2</v>
      </c>
      <c r="W21" t="s">
        <v>384</v>
      </c>
      <c r="X21" t="s">
        <v>385</v>
      </c>
    </row>
    <row r="22" spans="1:24" hidden="1" x14ac:dyDescent="0.25">
      <c r="A22" s="437">
        <v>51401</v>
      </c>
      <c r="B22" s="430" t="s">
        <v>38</v>
      </c>
      <c r="C22" s="431">
        <v>0</v>
      </c>
      <c r="D22" s="431">
        <v>0</v>
      </c>
      <c r="E22" s="431">
        <v>0</v>
      </c>
      <c r="F22" s="431">
        <v>0</v>
      </c>
      <c r="G22" s="433">
        <f t="shared" si="7"/>
        <v>0</v>
      </c>
      <c r="H22" s="434"/>
      <c r="I22" s="431"/>
      <c r="J22" s="431"/>
      <c r="K22" s="431"/>
      <c r="L22" s="431"/>
      <c r="M22" s="431"/>
      <c r="N22" s="435">
        <f t="shared" si="2"/>
        <v>0</v>
      </c>
      <c r="O22" s="434">
        <f>225*12</f>
        <v>2700</v>
      </c>
      <c r="P22" s="431">
        <f>(744.29*12)+(42*12)</f>
        <v>9435.48</v>
      </c>
      <c r="Q22" s="431">
        <f>204*12</f>
        <v>2448</v>
      </c>
      <c r="R22" s="431">
        <f>(705.45*12)+(42*12)+8527.32</f>
        <v>17496.72</v>
      </c>
      <c r="S22" s="431">
        <f>SUM(O22:R22)</f>
        <v>32080.2</v>
      </c>
      <c r="T22" s="432">
        <f t="shared" ref="T22:T23" si="11">S22+N22+G22</f>
        <v>32080.2</v>
      </c>
    </row>
    <row r="23" spans="1:24" hidden="1" x14ac:dyDescent="0.25">
      <c r="A23" s="148">
        <v>51402</v>
      </c>
      <c r="B23" s="149" t="s">
        <v>39</v>
      </c>
      <c r="C23" s="150"/>
      <c r="D23" s="150"/>
      <c r="E23" s="150"/>
      <c r="F23" s="150"/>
      <c r="G23" s="151">
        <f t="shared" si="7"/>
        <v>0</v>
      </c>
      <c r="H23" s="152"/>
      <c r="I23" s="150"/>
      <c r="J23" s="150"/>
      <c r="K23" s="150"/>
      <c r="L23" s="150"/>
      <c r="M23" s="150"/>
      <c r="N23" s="200">
        <f t="shared" si="2"/>
        <v>0</v>
      </c>
      <c r="O23" s="152">
        <v>500</v>
      </c>
      <c r="P23" s="150"/>
      <c r="Q23" s="150"/>
      <c r="R23" s="150"/>
      <c r="S23" s="150">
        <f>SUM(O23:R23)</f>
        <v>500</v>
      </c>
      <c r="T23" s="48">
        <f t="shared" si="11"/>
        <v>500</v>
      </c>
    </row>
    <row r="24" spans="1:24" x14ac:dyDescent="0.25">
      <c r="A24" s="24">
        <v>515</v>
      </c>
      <c r="B24" s="25" t="s">
        <v>40</v>
      </c>
      <c r="C24" s="31">
        <f>C25+C26</f>
        <v>0</v>
      </c>
      <c r="D24" s="31">
        <f t="shared" ref="D24:N24" si="12">D25+D26</f>
        <v>0</v>
      </c>
      <c r="E24" s="31">
        <f t="shared" si="12"/>
        <v>0</v>
      </c>
      <c r="F24" s="31">
        <f t="shared" si="12"/>
        <v>0</v>
      </c>
      <c r="G24" s="32">
        <f t="shared" si="12"/>
        <v>0</v>
      </c>
      <c r="H24" s="35">
        <f t="shared" si="12"/>
        <v>0</v>
      </c>
      <c r="I24" s="31">
        <f t="shared" si="12"/>
        <v>0</v>
      </c>
      <c r="J24" s="31">
        <f t="shared" si="12"/>
        <v>0</v>
      </c>
      <c r="K24" s="31">
        <f t="shared" si="12"/>
        <v>0</v>
      </c>
      <c r="L24" s="31">
        <f t="shared" si="12"/>
        <v>0</v>
      </c>
      <c r="M24" s="31">
        <f t="shared" si="12"/>
        <v>0</v>
      </c>
      <c r="N24" s="36">
        <f t="shared" si="12"/>
        <v>0</v>
      </c>
      <c r="O24" s="35">
        <f>O25+O26</f>
        <v>4482.28</v>
      </c>
      <c r="P24" s="31">
        <f t="shared" ref="P24:R24" si="13">P25+P26</f>
        <v>8671.2000000000007</v>
      </c>
      <c r="Q24" s="31">
        <f t="shared" si="13"/>
        <v>2529.6000000000004</v>
      </c>
      <c r="R24" s="31">
        <f t="shared" si="13"/>
        <v>16387.439999999999</v>
      </c>
      <c r="S24" s="31">
        <f>S25+S26</f>
        <v>32070.519999999997</v>
      </c>
      <c r="T24" s="36">
        <f>T25+T26</f>
        <v>32070.519999999997</v>
      </c>
    </row>
    <row r="25" spans="1:24" hidden="1" x14ac:dyDescent="0.25">
      <c r="A25" s="437">
        <v>51501</v>
      </c>
      <c r="B25" s="430" t="s">
        <v>38</v>
      </c>
      <c r="C25" s="431"/>
      <c r="D25" s="431"/>
      <c r="E25" s="431"/>
      <c r="F25" s="431"/>
      <c r="G25" s="433">
        <f t="shared" si="7"/>
        <v>0</v>
      </c>
      <c r="H25" s="434"/>
      <c r="I25" s="431"/>
      <c r="J25" s="431"/>
      <c r="K25" s="431"/>
      <c r="L25" s="431"/>
      <c r="M25" s="431"/>
      <c r="N25" s="435">
        <f t="shared" si="2"/>
        <v>0</v>
      </c>
      <c r="O25" s="434">
        <f>327.44*12</f>
        <v>3929.2799999999997</v>
      </c>
      <c r="P25" s="431">
        <f>722.6*12</f>
        <v>8671.2000000000007</v>
      </c>
      <c r="Q25" s="431">
        <f>210.8*12</f>
        <v>2529.6000000000004</v>
      </c>
      <c r="R25" s="431">
        <f>(682.47*12)+(683.15*12)</f>
        <v>16387.439999999999</v>
      </c>
      <c r="S25" s="431">
        <f>SUM(O25:R25)</f>
        <v>31517.519999999997</v>
      </c>
      <c r="T25" s="432">
        <f t="shared" ref="T25:T26" si="14">S25+N25+G25</f>
        <v>31517.519999999997</v>
      </c>
    </row>
    <row r="26" spans="1:24" hidden="1" x14ac:dyDescent="0.25">
      <c r="A26" s="148">
        <v>51502</v>
      </c>
      <c r="B26" s="149" t="s">
        <v>39</v>
      </c>
      <c r="C26" s="150"/>
      <c r="D26" s="150"/>
      <c r="E26" s="150"/>
      <c r="F26" s="150"/>
      <c r="G26" s="151">
        <f t="shared" si="7"/>
        <v>0</v>
      </c>
      <c r="H26" s="152"/>
      <c r="I26" s="150"/>
      <c r="J26" s="150"/>
      <c r="K26" s="150"/>
      <c r="L26" s="150"/>
      <c r="M26" s="150"/>
      <c r="N26" s="200">
        <f t="shared" si="2"/>
        <v>0</v>
      </c>
      <c r="O26" s="152">
        <v>553</v>
      </c>
      <c r="P26" s="150"/>
      <c r="Q26" s="150"/>
      <c r="R26" s="150"/>
      <c r="S26" s="150">
        <f>SUM(O26:R26)</f>
        <v>553</v>
      </c>
      <c r="T26" s="48">
        <f t="shared" si="14"/>
        <v>553</v>
      </c>
    </row>
    <row r="27" spans="1:24" x14ac:dyDescent="0.25">
      <c r="A27" s="24">
        <v>517</v>
      </c>
      <c r="B27" s="25" t="s">
        <v>85</v>
      </c>
      <c r="C27" s="31">
        <f>C28+C29</f>
        <v>0</v>
      </c>
      <c r="D27" s="31">
        <f>D28+D29</f>
        <v>0</v>
      </c>
      <c r="E27" s="31">
        <f t="shared" ref="E27:R27" si="15">E28+E29</f>
        <v>0</v>
      </c>
      <c r="F27" s="31">
        <f t="shared" si="15"/>
        <v>0</v>
      </c>
      <c r="G27" s="32">
        <f t="shared" si="15"/>
        <v>0</v>
      </c>
      <c r="H27" s="35">
        <f t="shared" si="15"/>
        <v>0</v>
      </c>
      <c r="I27" s="31">
        <f t="shared" si="15"/>
        <v>0</v>
      </c>
      <c r="J27" s="31">
        <f t="shared" si="15"/>
        <v>0</v>
      </c>
      <c r="K27" s="31">
        <f t="shared" si="15"/>
        <v>0</v>
      </c>
      <c r="L27" s="31">
        <f t="shared" si="15"/>
        <v>0</v>
      </c>
      <c r="M27" s="31">
        <f t="shared" si="15"/>
        <v>0</v>
      </c>
      <c r="N27" s="36">
        <f t="shared" si="15"/>
        <v>0</v>
      </c>
      <c r="O27" s="31">
        <f>O28+O29</f>
        <v>17100</v>
      </c>
      <c r="P27" s="31">
        <f t="shared" si="15"/>
        <v>0</v>
      </c>
      <c r="Q27" s="31">
        <f t="shared" si="15"/>
        <v>0</v>
      </c>
      <c r="R27" s="31">
        <f t="shared" si="15"/>
        <v>0</v>
      </c>
      <c r="S27" s="31">
        <f>S28+S29</f>
        <v>17100</v>
      </c>
      <c r="T27" s="36">
        <f>T28+T29</f>
        <v>17100</v>
      </c>
    </row>
    <row r="28" spans="1:24" hidden="1" x14ac:dyDescent="0.25">
      <c r="A28" s="437">
        <v>51701</v>
      </c>
      <c r="B28" s="430" t="s">
        <v>135</v>
      </c>
      <c r="C28" s="431"/>
      <c r="D28" s="431">
        <v>0</v>
      </c>
      <c r="E28" s="431">
        <v>0</v>
      </c>
      <c r="F28" s="431">
        <v>0</v>
      </c>
      <c r="G28" s="439">
        <v>0</v>
      </c>
      <c r="H28" s="434">
        <v>0</v>
      </c>
      <c r="I28" s="431">
        <v>0</v>
      </c>
      <c r="J28" s="431">
        <v>0</v>
      </c>
      <c r="K28" s="431">
        <v>0</v>
      </c>
      <c r="L28" s="431">
        <v>0</v>
      </c>
      <c r="M28" s="431">
        <v>0</v>
      </c>
      <c r="N28" s="438">
        <v>0</v>
      </c>
      <c r="O28" s="535">
        <v>17000</v>
      </c>
      <c r="P28" s="431">
        <v>0</v>
      </c>
      <c r="Q28" s="431">
        <v>0</v>
      </c>
      <c r="R28" s="431">
        <v>0</v>
      </c>
      <c r="S28" s="431">
        <f>SUM(O28:R28)</f>
        <v>17000</v>
      </c>
      <c r="T28" s="48">
        <f t="shared" ref="T28:T29" si="16">S28+N28+G28</f>
        <v>17000</v>
      </c>
      <c r="V28" t="s">
        <v>295</v>
      </c>
      <c r="W28">
        <v>9015</v>
      </c>
    </row>
    <row r="29" spans="1:24" hidden="1" x14ac:dyDescent="0.25">
      <c r="A29" s="437">
        <v>51702</v>
      </c>
      <c r="B29" s="430" t="s">
        <v>86</v>
      </c>
      <c r="C29" s="431"/>
      <c r="D29" s="431"/>
      <c r="E29" s="431"/>
      <c r="F29" s="431"/>
      <c r="G29" s="439">
        <v>0</v>
      </c>
      <c r="H29" s="434"/>
      <c r="I29" s="431"/>
      <c r="J29" s="431"/>
      <c r="K29" s="431"/>
      <c r="L29" s="431"/>
      <c r="M29" s="431"/>
      <c r="N29" s="435"/>
      <c r="O29" s="536">
        <v>100</v>
      </c>
      <c r="P29" s="431"/>
      <c r="Q29" s="431"/>
      <c r="R29" s="431"/>
      <c r="S29" s="431">
        <f>SUM(O29:R29)</f>
        <v>100</v>
      </c>
      <c r="T29" s="48">
        <f t="shared" si="16"/>
        <v>100</v>
      </c>
    </row>
    <row r="30" spans="1:24" x14ac:dyDescent="0.25">
      <c r="A30" s="24">
        <v>516</v>
      </c>
      <c r="B30" s="25" t="s">
        <v>41</v>
      </c>
      <c r="C30" s="31">
        <f>C31+C32</f>
        <v>0</v>
      </c>
      <c r="D30" s="31">
        <f t="shared" ref="D30:R30" si="17">D31+D32</f>
        <v>0</v>
      </c>
      <c r="E30" s="31">
        <f t="shared" si="17"/>
        <v>0</v>
      </c>
      <c r="F30" s="31">
        <f t="shared" si="17"/>
        <v>0</v>
      </c>
      <c r="G30" s="32">
        <f t="shared" si="17"/>
        <v>0</v>
      </c>
      <c r="H30" s="35">
        <f t="shared" si="17"/>
        <v>0</v>
      </c>
      <c r="I30" s="31">
        <f t="shared" si="17"/>
        <v>0</v>
      </c>
      <c r="J30" s="31">
        <f t="shared" si="17"/>
        <v>0</v>
      </c>
      <c r="K30" s="31">
        <f t="shared" si="17"/>
        <v>0</v>
      </c>
      <c r="L30" s="31">
        <f t="shared" si="17"/>
        <v>0</v>
      </c>
      <c r="M30" s="31">
        <f t="shared" si="17"/>
        <v>0</v>
      </c>
      <c r="N30" s="36">
        <f t="shared" si="17"/>
        <v>0</v>
      </c>
      <c r="O30" s="35">
        <f>O31+O32</f>
        <v>13000</v>
      </c>
      <c r="P30" s="31">
        <f t="shared" si="17"/>
        <v>0</v>
      </c>
      <c r="Q30" s="31">
        <f t="shared" si="17"/>
        <v>0</v>
      </c>
      <c r="R30" s="31">
        <f t="shared" si="17"/>
        <v>0</v>
      </c>
      <c r="S30" s="31">
        <f>S31+S32</f>
        <v>13000</v>
      </c>
      <c r="T30" s="36">
        <f t="shared" ref="T30" si="18">T31+T32</f>
        <v>13000</v>
      </c>
    </row>
    <row r="31" spans="1:24" hidden="1" x14ac:dyDescent="0.25">
      <c r="A31" s="437">
        <v>51601</v>
      </c>
      <c r="B31" s="430" t="s">
        <v>42</v>
      </c>
      <c r="C31" s="431"/>
      <c r="D31" s="431"/>
      <c r="E31" s="431"/>
      <c r="F31" s="431"/>
      <c r="G31" s="433">
        <f t="shared" si="7"/>
        <v>0</v>
      </c>
      <c r="H31" s="434"/>
      <c r="I31" s="431"/>
      <c r="J31" s="431"/>
      <c r="K31" s="431"/>
      <c r="L31" s="431"/>
      <c r="M31" s="431"/>
      <c r="N31" s="435">
        <f t="shared" si="2"/>
        <v>0</v>
      </c>
      <c r="O31" s="434">
        <v>12000</v>
      </c>
      <c r="P31" s="431"/>
      <c r="Q31" s="431"/>
      <c r="R31" s="431"/>
      <c r="S31" s="431">
        <f>SUM(O31:R31)</f>
        <v>12000</v>
      </c>
      <c r="T31" s="48">
        <f t="shared" ref="T31:T34" si="19">S31+N31+G31</f>
        <v>12000</v>
      </c>
    </row>
    <row r="32" spans="1:24" hidden="1" x14ac:dyDescent="0.25">
      <c r="A32" s="437">
        <v>51602</v>
      </c>
      <c r="B32" s="430" t="s">
        <v>43</v>
      </c>
      <c r="C32" s="431"/>
      <c r="D32" s="431"/>
      <c r="E32" s="431"/>
      <c r="F32" s="431"/>
      <c r="G32" s="433">
        <f t="shared" si="7"/>
        <v>0</v>
      </c>
      <c r="H32" s="434"/>
      <c r="I32" s="431"/>
      <c r="J32" s="431"/>
      <c r="K32" s="431"/>
      <c r="L32" s="431"/>
      <c r="M32" s="431"/>
      <c r="N32" s="435">
        <f t="shared" si="2"/>
        <v>0</v>
      </c>
      <c r="O32" s="434">
        <v>1000</v>
      </c>
      <c r="P32" s="431"/>
      <c r="Q32" s="431"/>
      <c r="R32" s="431"/>
      <c r="S32" s="431">
        <f>SUM(O32:R32)</f>
        <v>1000</v>
      </c>
      <c r="T32" s="48">
        <f t="shared" si="19"/>
        <v>1000</v>
      </c>
    </row>
    <row r="33" spans="1:23" x14ac:dyDescent="0.25">
      <c r="A33" s="24">
        <v>519</v>
      </c>
      <c r="B33" s="25" t="s">
        <v>44</v>
      </c>
      <c r="C33" s="31">
        <f>C34</f>
        <v>4800</v>
      </c>
      <c r="D33" s="31">
        <f t="shared" ref="D33:G33" si="20">D34</f>
        <v>0</v>
      </c>
      <c r="E33" s="31">
        <f t="shared" si="20"/>
        <v>0</v>
      </c>
      <c r="F33" s="31">
        <f t="shared" si="20"/>
        <v>0</v>
      </c>
      <c r="G33" s="32">
        <f t="shared" si="20"/>
        <v>4800</v>
      </c>
      <c r="H33" s="35">
        <f>H34</f>
        <v>0</v>
      </c>
      <c r="I33" s="31">
        <f t="shared" ref="I33:R33" si="21">I34</f>
        <v>0</v>
      </c>
      <c r="J33" s="31">
        <f t="shared" si="21"/>
        <v>0</v>
      </c>
      <c r="K33" s="31">
        <f t="shared" si="21"/>
        <v>0</v>
      </c>
      <c r="L33" s="31">
        <f t="shared" si="21"/>
        <v>0</v>
      </c>
      <c r="M33" s="31">
        <f t="shared" si="21"/>
        <v>0</v>
      </c>
      <c r="N33" s="36">
        <f t="shared" si="21"/>
        <v>0</v>
      </c>
      <c r="O33" s="35">
        <f>O34</f>
        <v>1000</v>
      </c>
      <c r="P33" s="31">
        <f t="shared" si="21"/>
        <v>0</v>
      </c>
      <c r="Q33" s="31">
        <f t="shared" si="21"/>
        <v>0</v>
      </c>
      <c r="R33" s="31">
        <f t="shared" si="21"/>
        <v>0</v>
      </c>
      <c r="S33" s="31">
        <f>S34</f>
        <v>1000</v>
      </c>
      <c r="T33" s="36">
        <f t="shared" ref="T33" si="22">T34</f>
        <v>5800</v>
      </c>
    </row>
    <row r="34" spans="1:23" hidden="1" x14ac:dyDescent="0.25">
      <c r="A34" s="437">
        <v>51901</v>
      </c>
      <c r="B34" s="430" t="s">
        <v>45</v>
      </c>
      <c r="C34" s="431">
        <v>4800</v>
      </c>
      <c r="D34" s="431"/>
      <c r="E34" s="431"/>
      <c r="F34" s="431"/>
      <c r="G34" s="433">
        <f t="shared" si="7"/>
        <v>4800</v>
      </c>
      <c r="H34" s="434"/>
      <c r="I34" s="431"/>
      <c r="J34" s="431"/>
      <c r="K34" s="431"/>
      <c r="L34" s="431"/>
      <c r="M34" s="431"/>
      <c r="N34" s="435">
        <f t="shared" si="2"/>
        <v>0</v>
      </c>
      <c r="O34" s="434">
        <v>1000</v>
      </c>
      <c r="P34" s="431"/>
      <c r="Q34" s="431"/>
      <c r="R34" s="431"/>
      <c r="S34" s="431">
        <f>SUM(O34:R34)</f>
        <v>1000</v>
      </c>
      <c r="T34" s="432">
        <f t="shared" si="19"/>
        <v>5800</v>
      </c>
    </row>
    <row r="35" spans="1:23" x14ac:dyDescent="0.25">
      <c r="A35" s="24">
        <v>54</v>
      </c>
      <c r="B35" s="25" t="s">
        <v>46</v>
      </c>
      <c r="C35" s="31">
        <f>C36+C55+C61</f>
        <v>119847.8</v>
      </c>
      <c r="D35" s="31">
        <f t="shared" ref="D35:N35" si="23">D36+D55+D61</f>
        <v>1000</v>
      </c>
      <c r="E35" s="31">
        <f t="shared" si="23"/>
        <v>500</v>
      </c>
      <c r="F35" s="31">
        <f t="shared" si="23"/>
        <v>500</v>
      </c>
      <c r="G35" s="32">
        <f>G36+G55+G61+G73+G83+G77</f>
        <v>121847.8</v>
      </c>
      <c r="H35" s="35">
        <f t="shared" si="23"/>
        <v>0</v>
      </c>
      <c r="I35" s="31">
        <f t="shared" si="23"/>
        <v>0</v>
      </c>
      <c r="J35" s="31">
        <f t="shared" si="23"/>
        <v>0</v>
      </c>
      <c r="K35" s="31">
        <f t="shared" si="23"/>
        <v>0</v>
      </c>
      <c r="L35" s="31">
        <f t="shared" si="23"/>
        <v>0</v>
      </c>
      <c r="M35" s="31">
        <f t="shared" si="23"/>
        <v>0</v>
      </c>
      <c r="N35" s="36">
        <f t="shared" si="23"/>
        <v>0</v>
      </c>
      <c r="O35" s="35">
        <f>O36+O55+O61+O73+O77+O83</f>
        <v>148960.12</v>
      </c>
      <c r="P35" s="31">
        <f>P36+P55+P61</f>
        <v>6400</v>
      </c>
      <c r="Q35" s="31">
        <f>Q36+Q55+Q61</f>
        <v>5900</v>
      </c>
      <c r="R35" s="31">
        <f>R36+R55+R61</f>
        <v>5800</v>
      </c>
      <c r="S35" s="31">
        <f>S36+S55+S61+S73+S83+S77</f>
        <v>167060.12</v>
      </c>
      <c r="T35" s="36">
        <f>T36+T55+T61</f>
        <v>272797.8</v>
      </c>
    </row>
    <row r="36" spans="1:23" x14ac:dyDescent="0.25">
      <c r="A36" s="24">
        <v>541</v>
      </c>
      <c r="B36" s="25" t="s">
        <v>47</v>
      </c>
      <c r="C36" s="31">
        <f>SUM(C37:C54)</f>
        <v>9102.36</v>
      </c>
      <c r="D36" s="31">
        <f t="shared" ref="D36:T36" si="24">SUM(D37:D54)</f>
        <v>1000</v>
      </c>
      <c r="E36" s="31">
        <f t="shared" si="24"/>
        <v>500</v>
      </c>
      <c r="F36" s="31">
        <f t="shared" si="24"/>
        <v>500</v>
      </c>
      <c r="G36" s="32">
        <f>SUM(G37:G54)</f>
        <v>11102.36</v>
      </c>
      <c r="H36" s="35">
        <f t="shared" si="24"/>
        <v>0</v>
      </c>
      <c r="I36" s="31">
        <f t="shared" si="24"/>
        <v>0</v>
      </c>
      <c r="J36" s="31">
        <f t="shared" si="24"/>
        <v>0</v>
      </c>
      <c r="K36" s="31">
        <f t="shared" si="24"/>
        <v>0</v>
      </c>
      <c r="L36" s="31">
        <f t="shared" si="24"/>
        <v>0</v>
      </c>
      <c r="M36" s="31">
        <f t="shared" si="24"/>
        <v>0</v>
      </c>
      <c r="N36" s="36">
        <f t="shared" si="24"/>
        <v>0</v>
      </c>
      <c r="O36" s="35">
        <f t="shared" si="24"/>
        <v>51550</v>
      </c>
      <c r="P36" s="31">
        <f>SUM(P37:P54)</f>
        <v>6400</v>
      </c>
      <c r="Q36" s="31">
        <f t="shared" si="24"/>
        <v>5900</v>
      </c>
      <c r="R36" s="31">
        <f t="shared" si="24"/>
        <v>5800</v>
      </c>
      <c r="S36" s="31">
        <f>SUM(S37:S54)</f>
        <v>69650</v>
      </c>
      <c r="T36" s="36">
        <f t="shared" si="24"/>
        <v>80752.36</v>
      </c>
    </row>
    <row r="37" spans="1:23" hidden="1" x14ac:dyDescent="0.25">
      <c r="A37" s="437">
        <v>54101</v>
      </c>
      <c r="B37" s="430" t="s">
        <v>48</v>
      </c>
      <c r="C37" s="431"/>
      <c r="D37" s="431"/>
      <c r="E37" s="431"/>
      <c r="F37" s="431"/>
      <c r="G37" s="433">
        <f t="shared" si="7"/>
        <v>0</v>
      </c>
      <c r="H37" s="434"/>
      <c r="I37" s="431"/>
      <c r="J37" s="431"/>
      <c r="K37" s="431"/>
      <c r="L37" s="431"/>
      <c r="M37" s="431"/>
      <c r="N37" s="435">
        <f t="shared" si="2"/>
        <v>0</v>
      </c>
      <c r="O37" s="434">
        <v>5000</v>
      </c>
      <c r="P37" s="431"/>
      <c r="Q37" s="431"/>
      <c r="R37" s="431"/>
      <c r="S37" s="431">
        <f>SUM(O37:R37)</f>
        <v>5000</v>
      </c>
      <c r="T37" s="432">
        <f t="shared" ref="T37:T54" si="25">S37+N37+G37</f>
        <v>5000</v>
      </c>
      <c r="U37" s="209">
        <v>6118.07</v>
      </c>
      <c r="V37" s="210">
        <f>S37-U37</f>
        <v>-1118.0699999999997</v>
      </c>
      <c r="W37" s="211"/>
    </row>
    <row r="38" spans="1:23" hidden="1" x14ac:dyDescent="0.25">
      <c r="A38" s="437">
        <v>54103</v>
      </c>
      <c r="B38" s="430" t="s">
        <v>49</v>
      </c>
      <c r="C38" s="431"/>
      <c r="D38" s="431"/>
      <c r="E38" s="431"/>
      <c r="F38" s="431"/>
      <c r="G38" s="433">
        <f t="shared" si="7"/>
        <v>0</v>
      </c>
      <c r="H38" s="434"/>
      <c r="I38" s="431"/>
      <c r="J38" s="431"/>
      <c r="K38" s="431"/>
      <c r="L38" s="431"/>
      <c r="M38" s="431"/>
      <c r="N38" s="435">
        <f t="shared" si="2"/>
        <v>0</v>
      </c>
      <c r="O38" s="434">
        <v>1000</v>
      </c>
      <c r="P38" s="431"/>
      <c r="Q38" s="431"/>
      <c r="R38" s="431"/>
      <c r="S38" s="431">
        <f>SUM(O38:R38)</f>
        <v>1000</v>
      </c>
      <c r="T38" s="48">
        <f t="shared" si="25"/>
        <v>1000</v>
      </c>
    </row>
    <row r="39" spans="1:23" hidden="1" x14ac:dyDescent="0.25">
      <c r="A39" s="437">
        <v>54104</v>
      </c>
      <c r="B39" s="430" t="s">
        <v>50</v>
      </c>
      <c r="C39" s="431">
        <f>3605.36</f>
        <v>3605.36</v>
      </c>
      <c r="D39" s="431"/>
      <c r="E39" s="431"/>
      <c r="F39" s="431"/>
      <c r="G39" s="433">
        <f t="shared" si="7"/>
        <v>3605.36</v>
      </c>
      <c r="H39" s="434"/>
      <c r="I39" s="431"/>
      <c r="J39" s="431"/>
      <c r="K39" s="431"/>
      <c r="L39" s="431"/>
      <c r="M39" s="431"/>
      <c r="N39" s="435">
        <f t="shared" si="2"/>
        <v>0</v>
      </c>
      <c r="O39" s="434">
        <v>13000</v>
      </c>
      <c r="P39" s="431"/>
      <c r="Q39" s="431"/>
      <c r="R39" s="431"/>
      <c r="S39" s="431">
        <f>SUM(O39:R39)</f>
        <v>13000</v>
      </c>
      <c r="T39" s="432">
        <f t="shared" si="25"/>
        <v>16605.36</v>
      </c>
      <c r="U39" s="209">
        <v>7301.5</v>
      </c>
      <c r="V39" s="187">
        <f>S39-U39</f>
        <v>5698.5</v>
      </c>
    </row>
    <row r="40" spans="1:23" hidden="1" x14ac:dyDescent="0.25">
      <c r="A40" s="437">
        <v>54105</v>
      </c>
      <c r="B40" s="430" t="s">
        <v>51</v>
      </c>
      <c r="C40" s="431"/>
      <c r="D40" s="431"/>
      <c r="E40" s="431"/>
      <c r="F40" s="431"/>
      <c r="G40" s="433">
        <f t="shared" si="7"/>
        <v>0</v>
      </c>
      <c r="H40" s="434"/>
      <c r="I40" s="431"/>
      <c r="J40" s="431"/>
      <c r="K40" s="431"/>
      <c r="L40" s="431"/>
      <c r="M40" s="431"/>
      <c r="N40" s="435">
        <f t="shared" si="2"/>
        <v>0</v>
      </c>
      <c r="O40" s="434">
        <v>3500</v>
      </c>
      <c r="P40" s="431">
        <v>1500</v>
      </c>
      <c r="Q40" s="431">
        <v>1000</v>
      </c>
      <c r="R40" s="431">
        <v>1000</v>
      </c>
      <c r="S40" s="431">
        <f t="shared" ref="S40:S54" si="26">SUM(O40:R40)</f>
        <v>7000</v>
      </c>
      <c r="T40" s="190">
        <f t="shared" si="25"/>
        <v>7000</v>
      </c>
      <c r="U40" s="212">
        <v>4186.24</v>
      </c>
    </row>
    <row r="41" spans="1:23" hidden="1" x14ac:dyDescent="0.25">
      <c r="A41" s="437">
        <v>54106</v>
      </c>
      <c r="B41" s="430" t="s">
        <v>52</v>
      </c>
      <c r="C41" s="431"/>
      <c r="D41" s="431"/>
      <c r="E41" s="431"/>
      <c r="F41" s="431"/>
      <c r="G41" s="433">
        <f t="shared" si="7"/>
        <v>0</v>
      </c>
      <c r="H41" s="434"/>
      <c r="I41" s="431"/>
      <c r="J41" s="431"/>
      <c r="K41" s="431"/>
      <c r="L41" s="431"/>
      <c r="M41" s="431"/>
      <c r="N41" s="435">
        <f t="shared" si="2"/>
        <v>0</v>
      </c>
      <c r="O41" s="434">
        <v>350</v>
      </c>
      <c r="P41" s="434">
        <v>200</v>
      </c>
      <c r="Q41" s="434">
        <v>200</v>
      </c>
      <c r="R41" s="434">
        <v>200</v>
      </c>
      <c r="S41" s="431">
        <f t="shared" si="26"/>
        <v>950</v>
      </c>
      <c r="T41" s="48">
        <f t="shared" si="25"/>
        <v>950</v>
      </c>
    </row>
    <row r="42" spans="1:23" hidden="1" x14ac:dyDescent="0.25">
      <c r="A42" s="437">
        <v>54107</v>
      </c>
      <c r="B42" s="430" t="s">
        <v>53</v>
      </c>
      <c r="C42" s="431"/>
      <c r="D42" s="431"/>
      <c r="E42" s="431"/>
      <c r="F42" s="431"/>
      <c r="G42" s="433">
        <f t="shared" si="7"/>
        <v>0</v>
      </c>
      <c r="H42" s="434"/>
      <c r="I42" s="431"/>
      <c r="J42" s="431"/>
      <c r="K42" s="431"/>
      <c r="L42" s="431"/>
      <c r="M42" s="431"/>
      <c r="N42" s="435">
        <f t="shared" si="2"/>
        <v>0</v>
      </c>
      <c r="O42" s="434">
        <v>1000</v>
      </c>
      <c r="P42" s="431">
        <v>0</v>
      </c>
      <c r="Q42" s="431">
        <v>0</v>
      </c>
      <c r="R42" s="431">
        <v>100</v>
      </c>
      <c r="S42" s="431">
        <f t="shared" si="26"/>
        <v>1100</v>
      </c>
      <c r="T42" s="190">
        <f t="shared" si="25"/>
        <v>1100</v>
      </c>
      <c r="U42" s="212">
        <v>3166.98</v>
      </c>
      <c r="V42" s="187">
        <f>U42/9</f>
        <v>351.88666666666666</v>
      </c>
      <c r="W42" s="187">
        <f>V42*12</f>
        <v>4222.6399999999994</v>
      </c>
    </row>
    <row r="43" spans="1:23" hidden="1" x14ac:dyDescent="0.25">
      <c r="A43" s="437">
        <v>54108</v>
      </c>
      <c r="B43" s="430" t="s">
        <v>54</v>
      </c>
      <c r="C43" s="431"/>
      <c r="D43" s="431"/>
      <c r="E43" s="431"/>
      <c r="F43" s="431"/>
      <c r="G43" s="433">
        <f t="shared" si="7"/>
        <v>0</v>
      </c>
      <c r="H43" s="434"/>
      <c r="I43" s="431"/>
      <c r="J43" s="431"/>
      <c r="K43" s="431"/>
      <c r="L43" s="431"/>
      <c r="M43" s="431"/>
      <c r="N43" s="435">
        <f t="shared" si="2"/>
        <v>0</v>
      </c>
      <c r="O43" s="434">
        <v>100</v>
      </c>
      <c r="P43" s="431"/>
      <c r="Q43" s="431"/>
      <c r="R43" s="431"/>
      <c r="S43" s="431">
        <f t="shared" si="26"/>
        <v>100</v>
      </c>
      <c r="T43" s="190">
        <f t="shared" si="25"/>
        <v>100</v>
      </c>
      <c r="U43" s="209"/>
    </row>
    <row r="44" spans="1:23" hidden="1" x14ac:dyDescent="0.25">
      <c r="A44" s="437">
        <v>54109</v>
      </c>
      <c r="B44" s="430" t="s">
        <v>55</v>
      </c>
      <c r="C44" s="431"/>
      <c r="D44" s="431"/>
      <c r="E44" s="431"/>
      <c r="F44" s="431"/>
      <c r="G44" s="433">
        <f t="shared" si="7"/>
        <v>0</v>
      </c>
      <c r="H44" s="434"/>
      <c r="I44" s="431"/>
      <c r="J44" s="431"/>
      <c r="K44" s="431"/>
      <c r="L44" s="431"/>
      <c r="M44" s="431"/>
      <c r="N44" s="435">
        <f t="shared" si="2"/>
        <v>0</v>
      </c>
      <c r="O44" s="434">
        <v>2000</v>
      </c>
      <c r="P44" s="431"/>
      <c r="Q44" s="431"/>
      <c r="R44" s="431"/>
      <c r="S44" s="431">
        <f t="shared" si="26"/>
        <v>2000</v>
      </c>
      <c r="T44" s="432">
        <f t="shared" si="25"/>
        <v>2000</v>
      </c>
      <c r="U44" s="209"/>
    </row>
    <row r="45" spans="1:23" hidden="1" x14ac:dyDescent="0.25">
      <c r="A45" s="148">
        <v>54110</v>
      </c>
      <c r="B45" s="430" t="s">
        <v>56</v>
      </c>
      <c r="C45" s="431">
        <v>1497</v>
      </c>
      <c r="D45" s="431">
        <v>1000</v>
      </c>
      <c r="E45" s="431">
        <v>500</v>
      </c>
      <c r="F45" s="431">
        <v>500</v>
      </c>
      <c r="G45" s="433">
        <f>C45+D45+E45+F45</f>
        <v>3497</v>
      </c>
      <c r="H45" s="434"/>
      <c r="I45" s="431"/>
      <c r="J45" s="431"/>
      <c r="K45" s="431"/>
      <c r="L45" s="431"/>
      <c r="M45" s="431"/>
      <c r="N45" s="435">
        <f t="shared" si="2"/>
        <v>0</v>
      </c>
      <c r="O45" s="434">
        <v>3500</v>
      </c>
      <c r="P45" s="431">
        <v>2000</v>
      </c>
      <c r="Q45" s="431">
        <v>2000</v>
      </c>
      <c r="R45" s="431">
        <v>2000</v>
      </c>
      <c r="S45" s="431">
        <f>SUM(O45:R45)</f>
        <v>9500</v>
      </c>
      <c r="T45" s="48">
        <f>S45+N45+G45</f>
        <v>12997</v>
      </c>
      <c r="U45" s="198">
        <v>8681.73</v>
      </c>
    </row>
    <row r="46" spans="1:23" hidden="1" x14ac:dyDescent="0.25">
      <c r="A46" s="437">
        <v>54111</v>
      </c>
      <c r="B46" s="430" t="s">
        <v>57</v>
      </c>
      <c r="C46" s="431"/>
      <c r="D46" s="431"/>
      <c r="E46" s="431"/>
      <c r="F46" s="431"/>
      <c r="G46" s="433">
        <f t="shared" si="7"/>
        <v>0</v>
      </c>
      <c r="H46" s="434"/>
      <c r="I46" s="431"/>
      <c r="J46" s="431"/>
      <c r="K46" s="431"/>
      <c r="L46" s="431"/>
      <c r="M46" s="431"/>
      <c r="N46" s="435">
        <f t="shared" si="2"/>
        <v>0</v>
      </c>
      <c r="O46" s="434">
        <v>500</v>
      </c>
      <c r="P46" s="431">
        <v>100</v>
      </c>
      <c r="Q46" s="431">
        <v>100</v>
      </c>
      <c r="R46" s="431"/>
      <c r="S46" s="431">
        <f t="shared" si="26"/>
        <v>700</v>
      </c>
      <c r="T46" s="48">
        <f t="shared" si="25"/>
        <v>700</v>
      </c>
      <c r="V46" s="187"/>
    </row>
    <row r="47" spans="1:23" hidden="1" x14ac:dyDescent="0.25">
      <c r="A47" s="437">
        <v>54112</v>
      </c>
      <c r="B47" s="430" t="s">
        <v>58</v>
      </c>
      <c r="C47" s="431"/>
      <c r="D47" s="431"/>
      <c r="E47" s="431"/>
      <c r="F47" s="431"/>
      <c r="G47" s="433">
        <f t="shared" si="7"/>
        <v>0</v>
      </c>
      <c r="H47" s="434"/>
      <c r="I47" s="431"/>
      <c r="J47" s="431"/>
      <c r="K47" s="431"/>
      <c r="L47" s="431"/>
      <c r="M47" s="431"/>
      <c r="N47" s="435">
        <f t="shared" si="2"/>
        <v>0</v>
      </c>
      <c r="O47" s="434">
        <v>500</v>
      </c>
      <c r="P47" s="431">
        <v>100</v>
      </c>
      <c r="Q47" s="431">
        <v>100</v>
      </c>
      <c r="R47" s="431"/>
      <c r="S47" s="431">
        <f t="shared" si="26"/>
        <v>700</v>
      </c>
      <c r="T47" s="432">
        <f t="shared" si="25"/>
        <v>700</v>
      </c>
      <c r="U47" s="448"/>
    </row>
    <row r="48" spans="1:23" hidden="1" x14ac:dyDescent="0.25">
      <c r="A48" s="437">
        <v>54114</v>
      </c>
      <c r="B48" s="430" t="s">
        <v>59</v>
      </c>
      <c r="C48" s="431"/>
      <c r="D48" s="431"/>
      <c r="E48" s="431"/>
      <c r="F48" s="431"/>
      <c r="G48" s="433">
        <f t="shared" si="7"/>
        <v>0</v>
      </c>
      <c r="H48" s="434"/>
      <c r="I48" s="431"/>
      <c r="J48" s="431"/>
      <c r="K48" s="431"/>
      <c r="L48" s="431"/>
      <c r="M48" s="431"/>
      <c r="N48" s="435">
        <f t="shared" si="2"/>
        <v>0</v>
      </c>
      <c r="O48" s="434">
        <f>1000+1000</f>
        <v>2000</v>
      </c>
      <c r="P48" s="431">
        <v>1000</v>
      </c>
      <c r="Q48" s="431">
        <v>1000</v>
      </c>
      <c r="R48" s="431">
        <v>1000</v>
      </c>
      <c r="S48" s="431">
        <f t="shared" si="26"/>
        <v>5000</v>
      </c>
      <c r="T48" s="432">
        <f t="shared" si="25"/>
        <v>5000</v>
      </c>
      <c r="U48" s="212">
        <v>3206.9</v>
      </c>
    </row>
    <row r="49" spans="1:27" hidden="1" x14ac:dyDescent="0.25">
      <c r="A49" s="437">
        <v>54115</v>
      </c>
      <c r="B49" s="430" t="s">
        <v>60</v>
      </c>
      <c r="C49" s="431"/>
      <c r="D49" s="431"/>
      <c r="E49" s="431"/>
      <c r="F49" s="431"/>
      <c r="G49" s="433">
        <f t="shared" si="7"/>
        <v>0</v>
      </c>
      <c r="H49" s="434"/>
      <c r="I49" s="431"/>
      <c r="J49" s="431"/>
      <c r="K49" s="431"/>
      <c r="L49" s="431"/>
      <c r="M49" s="431"/>
      <c r="N49" s="435">
        <f t="shared" si="2"/>
        <v>0</v>
      </c>
      <c r="O49" s="434">
        <v>7000</v>
      </c>
      <c r="P49" s="431">
        <v>1000</v>
      </c>
      <c r="Q49" s="431">
        <v>1000</v>
      </c>
      <c r="R49" s="431">
        <v>1000</v>
      </c>
      <c r="S49" s="431">
        <f>SUM(O49:R49)</f>
        <v>10000</v>
      </c>
      <c r="T49" s="190">
        <f t="shared" si="25"/>
        <v>10000</v>
      </c>
      <c r="U49" s="212">
        <v>7098.16</v>
      </c>
    </row>
    <row r="50" spans="1:27" hidden="1" x14ac:dyDescent="0.25">
      <c r="A50" s="437">
        <v>54116</v>
      </c>
      <c r="B50" s="430" t="s">
        <v>61</v>
      </c>
      <c r="C50" s="431"/>
      <c r="D50" s="431"/>
      <c r="E50" s="431"/>
      <c r="F50" s="431"/>
      <c r="G50" s="433">
        <f t="shared" si="7"/>
        <v>0</v>
      </c>
      <c r="H50" s="434"/>
      <c r="I50" s="431"/>
      <c r="J50" s="431"/>
      <c r="K50" s="431"/>
      <c r="L50" s="431"/>
      <c r="M50" s="431"/>
      <c r="N50" s="435">
        <f t="shared" si="2"/>
        <v>0</v>
      </c>
      <c r="O50" s="434">
        <v>100</v>
      </c>
      <c r="P50" s="431"/>
      <c r="Q50" s="431"/>
      <c r="R50" s="431"/>
      <c r="S50" s="150">
        <f t="shared" si="26"/>
        <v>100</v>
      </c>
      <c r="T50" s="190">
        <f t="shared" si="25"/>
        <v>100</v>
      </c>
      <c r="U50" s="209"/>
    </row>
    <row r="51" spans="1:27" hidden="1" x14ac:dyDescent="0.25">
      <c r="A51" s="437">
        <v>54118</v>
      </c>
      <c r="B51" s="430" t="s">
        <v>62</v>
      </c>
      <c r="C51" s="431"/>
      <c r="D51" s="431"/>
      <c r="E51" s="431"/>
      <c r="F51" s="431"/>
      <c r="G51" s="433">
        <f t="shared" si="7"/>
        <v>0</v>
      </c>
      <c r="H51" s="434"/>
      <c r="I51" s="431"/>
      <c r="J51" s="431"/>
      <c r="K51" s="431"/>
      <c r="L51" s="431"/>
      <c r="M51" s="431"/>
      <c r="N51" s="435">
        <f t="shared" si="2"/>
        <v>0</v>
      </c>
      <c r="O51" s="434">
        <v>1000</v>
      </c>
      <c r="P51" s="431"/>
      <c r="Q51" s="431"/>
      <c r="R51" s="431"/>
      <c r="S51" s="150">
        <f t="shared" si="26"/>
        <v>1000</v>
      </c>
      <c r="T51" s="48">
        <f t="shared" si="25"/>
        <v>1000</v>
      </c>
    </row>
    <row r="52" spans="1:27" hidden="1" x14ac:dyDescent="0.25">
      <c r="A52" s="437">
        <v>54119</v>
      </c>
      <c r="B52" s="430" t="s">
        <v>63</v>
      </c>
      <c r="C52" s="431"/>
      <c r="D52" s="431"/>
      <c r="E52" s="431"/>
      <c r="F52" s="431"/>
      <c r="G52" s="433">
        <f t="shared" si="7"/>
        <v>0</v>
      </c>
      <c r="H52" s="434"/>
      <c r="I52" s="431"/>
      <c r="J52" s="431"/>
      <c r="K52" s="431"/>
      <c r="L52" s="431"/>
      <c r="M52" s="431"/>
      <c r="N52" s="435">
        <f t="shared" si="2"/>
        <v>0</v>
      </c>
      <c r="O52" s="434">
        <v>1000</v>
      </c>
      <c r="P52" s="431"/>
      <c r="Q52" s="431"/>
      <c r="R52" s="431"/>
      <c r="S52" s="150">
        <f t="shared" si="26"/>
        <v>1000</v>
      </c>
      <c r="T52" s="48">
        <f t="shared" si="25"/>
        <v>1000</v>
      </c>
    </row>
    <row r="53" spans="1:27" hidden="1" x14ac:dyDescent="0.25">
      <c r="A53" s="20">
        <v>54121</v>
      </c>
      <c r="B53" s="7" t="s">
        <v>64</v>
      </c>
      <c r="C53" s="19">
        <v>4000</v>
      </c>
      <c r="D53" s="19"/>
      <c r="E53" s="19"/>
      <c r="F53" s="19"/>
      <c r="G53" s="49">
        <f t="shared" si="7"/>
        <v>4000</v>
      </c>
      <c r="H53" s="37"/>
      <c r="I53" s="19"/>
      <c r="J53" s="19"/>
      <c r="K53" s="19"/>
      <c r="L53" s="19"/>
      <c r="M53" s="19"/>
      <c r="N53" s="38">
        <f t="shared" si="2"/>
        <v>0</v>
      </c>
      <c r="O53" s="37"/>
      <c r="P53" s="19"/>
      <c r="Q53" s="19"/>
      <c r="R53" s="19"/>
      <c r="S53" s="19">
        <f t="shared" si="26"/>
        <v>0</v>
      </c>
      <c r="T53" s="48">
        <f t="shared" si="25"/>
        <v>4000</v>
      </c>
    </row>
    <row r="54" spans="1:27" hidden="1" x14ac:dyDescent="0.25">
      <c r="A54" s="437">
        <v>54199</v>
      </c>
      <c r="B54" s="430" t="s">
        <v>47</v>
      </c>
      <c r="C54" s="431"/>
      <c r="D54" s="431"/>
      <c r="E54" s="431"/>
      <c r="F54" s="431"/>
      <c r="G54" s="433">
        <f t="shared" si="7"/>
        <v>0</v>
      </c>
      <c r="H54" s="434"/>
      <c r="I54" s="431"/>
      <c r="J54" s="431"/>
      <c r="K54" s="431"/>
      <c r="L54" s="431"/>
      <c r="M54" s="431"/>
      <c r="N54" s="435">
        <f t="shared" si="2"/>
        <v>0</v>
      </c>
      <c r="O54" s="434">
        <v>10000</v>
      </c>
      <c r="P54" s="431">
        <v>500</v>
      </c>
      <c r="Q54" s="431">
        <v>500</v>
      </c>
      <c r="R54" s="431">
        <v>500</v>
      </c>
      <c r="S54" s="431">
        <f t="shared" si="26"/>
        <v>11500</v>
      </c>
      <c r="T54" s="190">
        <f t="shared" si="25"/>
        <v>11500</v>
      </c>
      <c r="U54" s="209">
        <v>1063.3</v>
      </c>
    </row>
    <row r="55" spans="1:27" x14ac:dyDescent="0.25">
      <c r="A55" s="24">
        <v>542</v>
      </c>
      <c r="B55" s="25" t="s">
        <v>65</v>
      </c>
      <c r="C55" s="31">
        <f>SUM(C56:C60)</f>
        <v>110745.44</v>
      </c>
      <c r="D55" s="31">
        <f t="shared" ref="D55:T55" si="27">SUM(D56:D60)</f>
        <v>0</v>
      </c>
      <c r="E55" s="31">
        <f t="shared" si="27"/>
        <v>0</v>
      </c>
      <c r="F55" s="31">
        <f t="shared" si="27"/>
        <v>0</v>
      </c>
      <c r="G55" s="32">
        <f>SUM(G56:G60)</f>
        <v>110745.44</v>
      </c>
      <c r="H55" s="35">
        <f t="shared" si="27"/>
        <v>0</v>
      </c>
      <c r="I55" s="31">
        <f t="shared" si="27"/>
        <v>0</v>
      </c>
      <c r="J55" s="31">
        <f t="shared" si="27"/>
        <v>0</v>
      </c>
      <c r="K55" s="31">
        <f t="shared" si="27"/>
        <v>0</v>
      </c>
      <c r="L55" s="31">
        <f t="shared" si="27"/>
        <v>0</v>
      </c>
      <c r="M55" s="31">
        <f t="shared" si="27"/>
        <v>0</v>
      </c>
      <c r="N55" s="36">
        <f t="shared" si="27"/>
        <v>0</v>
      </c>
      <c r="O55" s="35">
        <f t="shared" si="27"/>
        <v>24600</v>
      </c>
      <c r="P55" s="31">
        <f t="shared" si="27"/>
        <v>0</v>
      </c>
      <c r="Q55" s="31">
        <f t="shared" si="27"/>
        <v>0</v>
      </c>
      <c r="R55" s="31">
        <f t="shared" si="27"/>
        <v>0</v>
      </c>
      <c r="S55" s="31">
        <f>SUM(S56:S60)</f>
        <v>24600</v>
      </c>
      <c r="T55" s="36">
        <f t="shared" si="27"/>
        <v>135345.44</v>
      </c>
    </row>
    <row r="56" spans="1:27" hidden="1" x14ac:dyDescent="0.25">
      <c r="A56" s="437">
        <v>54201</v>
      </c>
      <c r="B56" s="430" t="s">
        <v>66</v>
      </c>
      <c r="C56" s="431">
        <v>49082.94</v>
      </c>
      <c r="D56" s="431"/>
      <c r="E56" s="431"/>
      <c r="F56" s="431"/>
      <c r="G56" s="433">
        <f t="shared" si="7"/>
        <v>49082.94</v>
      </c>
      <c r="H56" s="434"/>
      <c r="I56" s="431"/>
      <c r="J56" s="431"/>
      <c r="K56" s="431"/>
      <c r="L56" s="431"/>
      <c r="M56" s="431"/>
      <c r="N56" s="435">
        <f t="shared" si="2"/>
        <v>0</v>
      </c>
      <c r="O56" s="434">
        <v>10000</v>
      </c>
      <c r="P56" s="431"/>
      <c r="Q56" s="431"/>
      <c r="R56" s="431"/>
      <c r="S56" s="431">
        <f>SUM(O56:R56)</f>
        <v>10000</v>
      </c>
      <c r="T56" s="153">
        <f t="shared" ref="T56:T60" si="28">S56+N56+G56</f>
        <v>59082.94</v>
      </c>
      <c r="U56" s="204">
        <v>14967.38</v>
      </c>
      <c r="V56" s="203">
        <f>S56-U56</f>
        <v>-4967.3799999999992</v>
      </c>
      <c r="Y56" t="s">
        <v>288</v>
      </c>
    </row>
    <row r="57" spans="1:27" hidden="1" x14ac:dyDescent="0.25">
      <c r="A57" s="437">
        <v>54202</v>
      </c>
      <c r="B57" s="430" t="s">
        <v>67</v>
      </c>
      <c r="C57" s="431">
        <f>944.73</f>
        <v>944.73</v>
      </c>
      <c r="D57" s="431"/>
      <c r="E57" s="431"/>
      <c r="F57" s="431"/>
      <c r="G57" s="433">
        <f t="shared" si="7"/>
        <v>944.73</v>
      </c>
      <c r="H57" s="434"/>
      <c r="I57" s="431"/>
      <c r="J57" s="431"/>
      <c r="K57" s="431"/>
      <c r="L57" s="431"/>
      <c r="M57" s="431"/>
      <c r="N57" s="435">
        <f t="shared" si="2"/>
        <v>0</v>
      </c>
      <c r="O57" s="434">
        <v>5000</v>
      </c>
      <c r="P57" s="431"/>
      <c r="Q57" s="431"/>
      <c r="R57" s="431"/>
      <c r="S57" s="431">
        <f t="shared" ref="S57:S60" si="29">SUM(O57:R57)</f>
        <v>5000</v>
      </c>
      <c r="T57" s="432">
        <f t="shared" si="28"/>
        <v>5944.73</v>
      </c>
      <c r="U57" s="206">
        <v>3150.95</v>
      </c>
      <c r="V57" s="207">
        <f t="shared" ref="V57:V60" si="30">S57-U57</f>
        <v>1849.0500000000002</v>
      </c>
      <c r="X57" t="s">
        <v>293</v>
      </c>
      <c r="Y57" t="s">
        <v>289</v>
      </c>
      <c r="Z57">
        <v>363</v>
      </c>
      <c r="AA57">
        <f>Z57*12</f>
        <v>4356</v>
      </c>
    </row>
    <row r="58" spans="1:27" hidden="1" x14ac:dyDescent="0.25">
      <c r="A58" s="437">
        <v>54203</v>
      </c>
      <c r="B58" s="430" t="s">
        <v>68</v>
      </c>
      <c r="C58" s="431">
        <f>3217.77+4500+3500</f>
        <v>11217.77</v>
      </c>
      <c r="D58" s="431"/>
      <c r="E58" s="431"/>
      <c r="F58" s="431"/>
      <c r="G58" s="433">
        <f t="shared" si="7"/>
        <v>11217.77</v>
      </c>
      <c r="H58" s="434"/>
      <c r="I58" s="431"/>
      <c r="J58" s="431"/>
      <c r="K58" s="431"/>
      <c r="L58" s="431"/>
      <c r="M58" s="431"/>
      <c r="N58" s="435">
        <f t="shared" si="2"/>
        <v>0</v>
      </c>
      <c r="O58" s="434">
        <v>1500</v>
      </c>
      <c r="P58" s="431"/>
      <c r="Q58" s="431"/>
      <c r="R58" s="431"/>
      <c r="S58" s="431">
        <f t="shared" si="29"/>
        <v>1500</v>
      </c>
      <c r="T58" s="153">
        <f t="shared" si="28"/>
        <v>12717.77</v>
      </c>
      <c r="U58" s="204">
        <v>882.68</v>
      </c>
      <c r="V58" s="203">
        <f t="shared" si="30"/>
        <v>617.32000000000005</v>
      </c>
      <c r="Y58" t="s">
        <v>290</v>
      </c>
      <c r="Z58">
        <v>83.1</v>
      </c>
      <c r="AA58">
        <f>Z58*12</f>
        <v>997.19999999999993</v>
      </c>
    </row>
    <row r="59" spans="1:27" hidden="1" x14ac:dyDescent="0.25">
      <c r="A59" s="437">
        <v>54204</v>
      </c>
      <c r="B59" s="430" t="s">
        <v>69</v>
      </c>
      <c r="C59" s="431"/>
      <c r="D59" s="431"/>
      <c r="E59" s="431"/>
      <c r="F59" s="431"/>
      <c r="G59" s="433">
        <f t="shared" si="7"/>
        <v>0</v>
      </c>
      <c r="H59" s="434"/>
      <c r="I59" s="431"/>
      <c r="J59" s="431"/>
      <c r="K59" s="431"/>
      <c r="L59" s="431"/>
      <c r="M59" s="431"/>
      <c r="N59" s="435">
        <f t="shared" si="2"/>
        <v>0</v>
      </c>
      <c r="O59" s="434">
        <v>100</v>
      </c>
      <c r="P59" s="431"/>
      <c r="Q59" s="431"/>
      <c r="R59" s="431"/>
      <c r="S59" s="431">
        <f t="shared" si="29"/>
        <v>100</v>
      </c>
      <c r="T59" s="432">
        <f t="shared" si="28"/>
        <v>100</v>
      </c>
      <c r="U59" s="204"/>
      <c r="V59" s="187">
        <f t="shared" si="30"/>
        <v>100</v>
      </c>
      <c r="X59" t="s">
        <v>293</v>
      </c>
      <c r="Y59" t="s">
        <v>291</v>
      </c>
      <c r="Z59">
        <v>110</v>
      </c>
      <c r="AA59">
        <f>Z59*12</f>
        <v>1320</v>
      </c>
    </row>
    <row r="60" spans="1:27" hidden="1" x14ac:dyDescent="0.25">
      <c r="A60" s="437">
        <v>54205</v>
      </c>
      <c r="B60" s="430" t="s">
        <v>70</v>
      </c>
      <c r="C60" s="431">
        <v>49500</v>
      </c>
      <c r="D60" s="431"/>
      <c r="E60" s="431"/>
      <c r="F60" s="431"/>
      <c r="G60" s="433">
        <f t="shared" si="7"/>
        <v>49500</v>
      </c>
      <c r="H60" s="434"/>
      <c r="I60" s="431"/>
      <c r="J60" s="431"/>
      <c r="K60" s="431"/>
      <c r="L60" s="431"/>
      <c r="M60" s="431"/>
      <c r="N60" s="435">
        <f t="shared" si="2"/>
        <v>0</v>
      </c>
      <c r="O60" s="434">
        <v>8000</v>
      </c>
      <c r="P60" s="431"/>
      <c r="Q60" s="431"/>
      <c r="R60" s="431"/>
      <c r="S60" s="431">
        <f t="shared" si="29"/>
        <v>8000</v>
      </c>
      <c r="T60" s="153">
        <f t="shared" si="28"/>
        <v>57500</v>
      </c>
      <c r="U60" s="204">
        <v>3691.29</v>
      </c>
      <c r="V60" s="203">
        <f t="shared" si="30"/>
        <v>4308.71</v>
      </c>
      <c r="X60" t="s">
        <v>293</v>
      </c>
      <c r="Y60" t="s">
        <v>292</v>
      </c>
      <c r="Z60">
        <v>50</v>
      </c>
      <c r="AA60">
        <f>Z60*12</f>
        <v>600</v>
      </c>
    </row>
    <row r="61" spans="1:27" x14ac:dyDescent="0.25">
      <c r="A61" s="26">
        <v>543</v>
      </c>
      <c r="B61" s="25" t="s">
        <v>71</v>
      </c>
      <c r="C61" s="31">
        <f>SUM(C62:C71)</f>
        <v>0</v>
      </c>
      <c r="D61" s="31">
        <f t="shared" ref="D61:R61" si="31">SUM(D62:D71)</f>
        <v>0</v>
      </c>
      <c r="E61" s="31">
        <f t="shared" si="31"/>
        <v>0</v>
      </c>
      <c r="F61" s="31">
        <f t="shared" si="31"/>
        <v>0</v>
      </c>
      <c r="G61" s="32">
        <f>SUM(G62:G71)</f>
        <v>0</v>
      </c>
      <c r="H61" s="35">
        <f t="shared" si="31"/>
        <v>0</v>
      </c>
      <c r="I61" s="31">
        <f t="shared" si="31"/>
        <v>0</v>
      </c>
      <c r="J61" s="31">
        <f t="shared" si="31"/>
        <v>0</v>
      </c>
      <c r="K61" s="31">
        <f t="shared" si="31"/>
        <v>0</v>
      </c>
      <c r="L61" s="31">
        <f t="shared" si="31"/>
        <v>0</v>
      </c>
      <c r="M61" s="31">
        <f t="shared" si="31"/>
        <v>0</v>
      </c>
      <c r="N61" s="36">
        <f t="shared" si="31"/>
        <v>0</v>
      </c>
      <c r="O61" s="35">
        <f>SUM(O62:O72)</f>
        <v>67200</v>
      </c>
      <c r="P61" s="31">
        <f t="shared" si="31"/>
        <v>0</v>
      </c>
      <c r="Q61" s="31">
        <f t="shared" si="31"/>
        <v>0</v>
      </c>
      <c r="R61" s="31">
        <f t="shared" si="31"/>
        <v>0</v>
      </c>
      <c r="S61" s="31">
        <f>SUM(S62:S72)</f>
        <v>67200</v>
      </c>
      <c r="T61" s="36">
        <f>SUM(T62:T71)</f>
        <v>56700</v>
      </c>
      <c r="AA61" s="67">
        <f>SUM(AA57:AA60)</f>
        <v>7273.2</v>
      </c>
    </row>
    <row r="62" spans="1:27" hidden="1" x14ac:dyDescent="0.25">
      <c r="A62" s="437">
        <v>54301</v>
      </c>
      <c r="B62" s="430" t="s">
        <v>72</v>
      </c>
      <c r="C62" s="431"/>
      <c r="D62" s="431"/>
      <c r="E62" s="431"/>
      <c r="F62" s="431"/>
      <c r="G62" s="433">
        <f t="shared" si="7"/>
        <v>0</v>
      </c>
      <c r="H62" s="434"/>
      <c r="I62" s="431"/>
      <c r="J62" s="431"/>
      <c r="K62" s="431"/>
      <c r="L62" s="431"/>
      <c r="M62" s="431"/>
      <c r="N62" s="435">
        <f t="shared" si="2"/>
        <v>0</v>
      </c>
      <c r="O62" s="434">
        <v>5000</v>
      </c>
      <c r="P62" s="431"/>
      <c r="Q62" s="431"/>
      <c r="R62" s="431"/>
      <c r="S62" s="431">
        <f t="shared" ref="S62:S84" si="32">SUM(O62:R62)</f>
        <v>5000</v>
      </c>
      <c r="T62" s="153">
        <f t="shared" ref="T62:T71" si="33">S62+N62+G62</f>
        <v>5000</v>
      </c>
      <c r="U62" s="204"/>
    </row>
    <row r="63" spans="1:27" hidden="1" x14ac:dyDescent="0.25">
      <c r="A63" s="442">
        <v>54302</v>
      </c>
      <c r="B63" s="443" t="s">
        <v>73</v>
      </c>
      <c r="C63" s="444"/>
      <c r="D63" s="444"/>
      <c r="E63" s="444"/>
      <c r="F63" s="444"/>
      <c r="G63" s="445">
        <f t="shared" si="7"/>
        <v>0</v>
      </c>
      <c r="H63" s="446"/>
      <c r="I63" s="444"/>
      <c r="J63" s="444"/>
      <c r="K63" s="444"/>
      <c r="L63" s="444"/>
      <c r="M63" s="444"/>
      <c r="N63" s="447">
        <f t="shared" si="2"/>
        <v>0</v>
      </c>
      <c r="O63" s="446">
        <v>100</v>
      </c>
      <c r="P63" s="444"/>
      <c r="Q63" s="444"/>
      <c r="R63" s="444"/>
      <c r="S63" s="444">
        <f t="shared" si="32"/>
        <v>100</v>
      </c>
      <c r="T63" s="153">
        <f t="shared" si="33"/>
        <v>100</v>
      </c>
      <c r="U63" s="204"/>
    </row>
    <row r="64" spans="1:27" hidden="1" x14ac:dyDescent="0.25">
      <c r="A64" s="437">
        <v>54303</v>
      </c>
      <c r="B64" s="430" t="s">
        <v>74</v>
      </c>
      <c r="C64" s="431"/>
      <c r="D64" s="431"/>
      <c r="E64" s="431"/>
      <c r="F64" s="431"/>
      <c r="G64" s="433">
        <f t="shared" si="7"/>
        <v>0</v>
      </c>
      <c r="H64" s="434"/>
      <c r="I64" s="431"/>
      <c r="J64" s="431"/>
      <c r="K64" s="431"/>
      <c r="L64" s="431"/>
      <c r="M64" s="431"/>
      <c r="N64" s="435">
        <f t="shared" si="2"/>
        <v>0</v>
      </c>
      <c r="O64" s="434">
        <v>1500</v>
      </c>
      <c r="P64" s="431"/>
      <c r="Q64" s="431"/>
      <c r="R64" s="431"/>
      <c r="S64" s="431">
        <f t="shared" si="32"/>
        <v>1500</v>
      </c>
      <c r="T64" s="153">
        <f t="shared" si="33"/>
        <v>1500</v>
      </c>
      <c r="U64" s="204"/>
    </row>
    <row r="65" spans="1:23" hidden="1" x14ac:dyDescent="0.25">
      <c r="A65" s="437">
        <v>54304</v>
      </c>
      <c r="B65" s="430" t="s">
        <v>75</v>
      </c>
      <c r="C65" s="431"/>
      <c r="D65" s="431"/>
      <c r="E65" s="431"/>
      <c r="F65" s="431"/>
      <c r="G65" s="433">
        <f t="shared" si="7"/>
        <v>0</v>
      </c>
      <c r="H65" s="434"/>
      <c r="I65" s="431"/>
      <c r="J65" s="431"/>
      <c r="K65" s="431"/>
      <c r="L65" s="431"/>
      <c r="M65" s="431"/>
      <c r="N65" s="435">
        <f t="shared" si="2"/>
        <v>0</v>
      </c>
      <c r="O65" s="434">
        <f>10000</f>
        <v>10000</v>
      </c>
      <c r="P65" s="431"/>
      <c r="Q65" s="431"/>
      <c r="R65" s="431"/>
      <c r="S65" s="431">
        <f t="shared" si="32"/>
        <v>10000</v>
      </c>
      <c r="T65" s="153">
        <f t="shared" si="33"/>
        <v>10000</v>
      </c>
      <c r="U65" s="204">
        <v>6247.77</v>
      </c>
    </row>
    <row r="66" spans="1:23" hidden="1" x14ac:dyDescent="0.25">
      <c r="A66" s="437">
        <v>54305</v>
      </c>
      <c r="B66" s="430" t="s">
        <v>76</v>
      </c>
      <c r="C66" s="431"/>
      <c r="D66" s="431"/>
      <c r="E66" s="431"/>
      <c r="F66" s="431"/>
      <c r="G66" s="433">
        <f t="shared" si="7"/>
        <v>0</v>
      </c>
      <c r="H66" s="434"/>
      <c r="I66" s="431"/>
      <c r="J66" s="431"/>
      <c r="K66" s="431"/>
      <c r="L66" s="431"/>
      <c r="M66" s="431"/>
      <c r="N66" s="435">
        <f t="shared" si="2"/>
        <v>0</v>
      </c>
      <c r="O66" s="434">
        <v>5000</v>
      </c>
      <c r="P66" s="431"/>
      <c r="Q66" s="431"/>
      <c r="R66" s="431"/>
      <c r="S66" s="431">
        <f t="shared" si="32"/>
        <v>5000</v>
      </c>
      <c r="T66" s="48">
        <f t="shared" si="33"/>
        <v>5000</v>
      </c>
      <c r="U66" s="175">
        <v>405.67</v>
      </c>
    </row>
    <row r="67" spans="1:23" hidden="1" x14ac:dyDescent="0.25">
      <c r="A67" s="437">
        <v>54307</v>
      </c>
      <c r="B67" s="430" t="s">
        <v>77</v>
      </c>
      <c r="C67" s="431"/>
      <c r="D67" s="431"/>
      <c r="E67" s="431"/>
      <c r="F67" s="431"/>
      <c r="G67" s="433">
        <f t="shared" si="7"/>
        <v>0</v>
      </c>
      <c r="H67" s="434"/>
      <c r="I67" s="431"/>
      <c r="J67" s="431"/>
      <c r="K67" s="431"/>
      <c r="L67" s="431"/>
      <c r="M67" s="431"/>
      <c r="N67" s="435">
        <f t="shared" si="2"/>
        <v>0</v>
      </c>
      <c r="O67" s="434">
        <v>1000</v>
      </c>
      <c r="P67" s="431"/>
      <c r="Q67" s="431"/>
      <c r="R67" s="431"/>
      <c r="S67" s="431">
        <f t="shared" si="32"/>
        <v>1000</v>
      </c>
      <c r="T67" s="48">
        <f t="shared" si="33"/>
        <v>1000</v>
      </c>
    </row>
    <row r="68" spans="1:23" hidden="1" x14ac:dyDescent="0.25">
      <c r="A68" s="437">
        <v>54311</v>
      </c>
      <c r="B68" s="430" t="s">
        <v>78</v>
      </c>
      <c r="C68" s="431"/>
      <c r="D68" s="431"/>
      <c r="E68" s="431"/>
      <c r="F68" s="431"/>
      <c r="G68" s="433">
        <f t="shared" si="7"/>
        <v>0</v>
      </c>
      <c r="H68" s="434"/>
      <c r="I68" s="431"/>
      <c r="J68" s="431"/>
      <c r="K68" s="431"/>
      <c r="L68" s="431"/>
      <c r="M68" s="431"/>
      <c r="N68" s="435">
        <f t="shared" si="2"/>
        <v>0</v>
      </c>
      <c r="O68" s="434">
        <v>100</v>
      </c>
      <c r="P68" s="431"/>
      <c r="Q68" s="431"/>
      <c r="R68" s="431"/>
      <c r="S68" s="431">
        <f t="shared" si="32"/>
        <v>100</v>
      </c>
      <c r="T68" s="48">
        <f t="shared" si="33"/>
        <v>100</v>
      </c>
    </row>
    <row r="69" spans="1:23" hidden="1" x14ac:dyDescent="0.25">
      <c r="A69" s="437">
        <v>54313</v>
      </c>
      <c r="B69" s="430" t="s">
        <v>79</v>
      </c>
      <c r="C69" s="431"/>
      <c r="D69" s="431"/>
      <c r="E69" s="431"/>
      <c r="F69" s="431"/>
      <c r="G69" s="433">
        <f t="shared" si="7"/>
        <v>0</v>
      </c>
      <c r="H69" s="434"/>
      <c r="I69" s="431"/>
      <c r="J69" s="431"/>
      <c r="K69" s="431"/>
      <c r="L69" s="431"/>
      <c r="M69" s="431"/>
      <c r="N69" s="435">
        <f t="shared" si="2"/>
        <v>0</v>
      </c>
      <c r="O69" s="434">
        <v>3000</v>
      </c>
      <c r="P69" s="431"/>
      <c r="Q69" s="431"/>
      <c r="R69" s="431"/>
      <c r="S69" s="431">
        <f t="shared" si="32"/>
        <v>3000</v>
      </c>
      <c r="T69" s="432">
        <f t="shared" si="33"/>
        <v>3000</v>
      </c>
      <c r="U69" s="448">
        <v>2328.75</v>
      </c>
    </row>
    <row r="70" spans="1:23" hidden="1" x14ac:dyDescent="0.25">
      <c r="A70" s="437">
        <v>54314</v>
      </c>
      <c r="B70" s="430" t="s">
        <v>80</v>
      </c>
      <c r="C70" s="431"/>
      <c r="D70" s="431"/>
      <c r="E70" s="431"/>
      <c r="F70" s="431"/>
      <c r="G70" s="433">
        <f t="shared" si="7"/>
        <v>0</v>
      </c>
      <c r="H70" s="434"/>
      <c r="I70" s="431"/>
      <c r="J70" s="431"/>
      <c r="K70" s="431"/>
      <c r="L70" s="431"/>
      <c r="M70" s="431"/>
      <c r="N70" s="435">
        <f t="shared" si="2"/>
        <v>0</v>
      </c>
      <c r="O70" s="434">
        <v>30000</v>
      </c>
      <c r="P70" s="431"/>
      <c r="Q70" s="431"/>
      <c r="R70" s="431"/>
      <c r="S70" s="431">
        <f t="shared" si="32"/>
        <v>30000</v>
      </c>
      <c r="T70" s="432">
        <f t="shared" si="33"/>
        <v>30000</v>
      </c>
      <c r="U70" s="175">
        <v>32394.63</v>
      </c>
      <c r="V70" s="187">
        <f>U70/9</f>
        <v>3599.4033333333336</v>
      </c>
      <c r="W70" s="187">
        <f>V70*12</f>
        <v>43192.840000000004</v>
      </c>
    </row>
    <row r="71" spans="1:23" hidden="1" x14ac:dyDescent="0.25">
      <c r="A71" s="437">
        <v>54316</v>
      </c>
      <c r="B71" s="430" t="s">
        <v>136</v>
      </c>
      <c r="C71" s="431"/>
      <c r="D71" s="431"/>
      <c r="E71" s="431"/>
      <c r="F71" s="431"/>
      <c r="G71" s="433">
        <f t="shared" si="7"/>
        <v>0</v>
      </c>
      <c r="H71" s="434"/>
      <c r="I71" s="431"/>
      <c r="J71" s="431"/>
      <c r="K71" s="431"/>
      <c r="L71" s="431"/>
      <c r="M71" s="431"/>
      <c r="N71" s="435">
        <f t="shared" si="2"/>
        <v>0</v>
      </c>
      <c r="O71" s="434">
        <v>1000</v>
      </c>
      <c r="P71" s="431"/>
      <c r="Q71" s="431"/>
      <c r="R71" s="431"/>
      <c r="S71" s="431">
        <f t="shared" si="32"/>
        <v>1000</v>
      </c>
      <c r="T71" s="48">
        <f t="shared" si="33"/>
        <v>1000</v>
      </c>
      <c r="U71" s="175">
        <v>1250</v>
      </c>
    </row>
    <row r="72" spans="1:23" hidden="1" x14ac:dyDescent="0.25">
      <c r="A72" s="437">
        <v>54317</v>
      </c>
      <c r="B72" s="430" t="s">
        <v>285</v>
      </c>
      <c r="C72" s="431"/>
      <c r="D72" s="431"/>
      <c r="E72" s="431"/>
      <c r="F72" s="431"/>
      <c r="G72" s="433"/>
      <c r="H72" s="434"/>
      <c r="I72" s="431"/>
      <c r="J72" s="431"/>
      <c r="K72" s="431"/>
      <c r="L72" s="431"/>
      <c r="M72" s="431"/>
      <c r="N72" s="435"/>
      <c r="O72" s="434">
        <v>10500</v>
      </c>
      <c r="P72" s="431"/>
      <c r="Q72" s="431"/>
      <c r="R72" s="431"/>
      <c r="S72" s="431">
        <f t="shared" si="32"/>
        <v>10500</v>
      </c>
      <c r="T72" s="48"/>
      <c r="U72" s="175">
        <v>2016.67</v>
      </c>
    </row>
    <row r="73" spans="1:23" x14ac:dyDescent="0.25">
      <c r="A73" s="26">
        <v>544</v>
      </c>
      <c r="B73" s="25" t="s">
        <v>87</v>
      </c>
      <c r="C73" s="25"/>
      <c r="D73" s="29">
        <f t="shared" ref="D73:R73" si="34">SUM(D74:D76)</f>
        <v>0</v>
      </c>
      <c r="E73" s="29">
        <f t="shared" si="34"/>
        <v>0</v>
      </c>
      <c r="F73" s="29">
        <f t="shared" si="34"/>
        <v>0</v>
      </c>
      <c r="G73" s="34">
        <f>SUM(G74:G76)</f>
        <v>0</v>
      </c>
      <c r="H73" s="39">
        <f t="shared" si="34"/>
        <v>0</v>
      </c>
      <c r="I73" s="29">
        <f t="shared" si="34"/>
        <v>0</v>
      </c>
      <c r="J73" s="29">
        <f t="shared" si="34"/>
        <v>0</v>
      </c>
      <c r="K73" s="29">
        <f t="shared" si="34"/>
        <v>0</v>
      </c>
      <c r="L73" s="29">
        <f t="shared" si="34"/>
        <v>0</v>
      </c>
      <c r="M73" s="29">
        <f t="shared" si="34"/>
        <v>0</v>
      </c>
      <c r="N73" s="40">
        <f t="shared" si="34"/>
        <v>0</v>
      </c>
      <c r="O73" s="35">
        <f t="shared" si="34"/>
        <v>3500</v>
      </c>
      <c r="P73" s="29">
        <f t="shared" si="34"/>
        <v>0</v>
      </c>
      <c r="Q73" s="29">
        <f t="shared" si="34"/>
        <v>0</v>
      </c>
      <c r="R73" s="29">
        <f t="shared" si="34"/>
        <v>0</v>
      </c>
      <c r="S73" s="31">
        <f>SUM(S74:S76)</f>
        <v>3500</v>
      </c>
      <c r="T73" s="40">
        <f>SUM(T74:T76)</f>
        <v>3500</v>
      </c>
    </row>
    <row r="74" spans="1:23" hidden="1" x14ac:dyDescent="0.25">
      <c r="A74" s="437">
        <v>54401</v>
      </c>
      <c r="B74" s="430" t="s">
        <v>88</v>
      </c>
      <c r="C74" s="430"/>
      <c r="D74" s="440"/>
      <c r="E74" s="431"/>
      <c r="F74" s="431"/>
      <c r="G74" s="433">
        <f t="shared" si="7"/>
        <v>0</v>
      </c>
      <c r="H74" s="434"/>
      <c r="I74" s="431"/>
      <c r="J74" s="431"/>
      <c r="K74" s="431"/>
      <c r="L74" s="431"/>
      <c r="M74" s="431"/>
      <c r="N74" s="438"/>
      <c r="O74" s="434">
        <v>1000</v>
      </c>
      <c r="P74" s="431"/>
      <c r="Q74" s="431"/>
      <c r="R74" s="431"/>
      <c r="S74" s="431">
        <f t="shared" si="32"/>
        <v>1000</v>
      </c>
      <c r="T74" s="48">
        <f t="shared" ref="T74:T76" si="35">S74+N74+G74</f>
        <v>1000</v>
      </c>
    </row>
    <row r="75" spans="1:23" hidden="1" x14ac:dyDescent="0.25">
      <c r="A75" s="437">
        <v>54402</v>
      </c>
      <c r="B75" s="430" t="s">
        <v>89</v>
      </c>
      <c r="C75" s="430"/>
      <c r="D75" s="440"/>
      <c r="E75" s="431"/>
      <c r="F75" s="431"/>
      <c r="G75" s="433">
        <f t="shared" si="7"/>
        <v>0</v>
      </c>
      <c r="H75" s="434"/>
      <c r="I75" s="431"/>
      <c r="J75" s="431"/>
      <c r="K75" s="431"/>
      <c r="L75" s="431"/>
      <c r="M75" s="431"/>
      <c r="N75" s="438"/>
      <c r="O75" s="434">
        <v>1000</v>
      </c>
      <c r="P75" s="431"/>
      <c r="Q75" s="431"/>
      <c r="R75" s="431"/>
      <c r="S75" s="431">
        <f t="shared" si="32"/>
        <v>1000</v>
      </c>
      <c r="T75" s="48">
        <f t="shared" si="35"/>
        <v>1000</v>
      </c>
    </row>
    <row r="76" spans="1:23" hidden="1" x14ac:dyDescent="0.25">
      <c r="A76" s="437">
        <v>54403</v>
      </c>
      <c r="B76" s="430" t="s">
        <v>90</v>
      </c>
      <c r="C76" s="430"/>
      <c r="D76" s="440"/>
      <c r="E76" s="431"/>
      <c r="F76" s="431"/>
      <c r="G76" s="433">
        <f t="shared" si="7"/>
        <v>0</v>
      </c>
      <c r="H76" s="434"/>
      <c r="I76" s="431"/>
      <c r="J76" s="431"/>
      <c r="K76" s="431"/>
      <c r="L76" s="431"/>
      <c r="M76" s="431"/>
      <c r="N76" s="438"/>
      <c r="O76" s="434">
        <v>1500</v>
      </c>
      <c r="P76" s="431"/>
      <c r="Q76" s="431"/>
      <c r="R76" s="431"/>
      <c r="S76" s="431">
        <f t="shared" si="32"/>
        <v>1500</v>
      </c>
      <c r="T76" s="48">
        <f t="shared" si="35"/>
        <v>1500</v>
      </c>
    </row>
    <row r="77" spans="1:23" x14ac:dyDescent="0.25">
      <c r="A77" s="26">
        <v>545</v>
      </c>
      <c r="B77" s="25" t="s">
        <v>91</v>
      </c>
      <c r="C77" s="25"/>
      <c r="D77" s="31">
        <f>SUM(D78:D82)</f>
        <v>0</v>
      </c>
      <c r="E77" s="31">
        <f>SUM(E78:E82)</f>
        <v>0</v>
      </c>
      <c r="F77" s="31">
        <f t="shared" ref="F77:T77" si="36">SUM(F78:F82)</f>
        <v>0</v>
      </c>
      <c r="G77" s="32">
        <f t="shared" si="36"/>
        <v>0</v>
      </c>
      <c r="H77" s="35">
        <f t="shared" si="36"/>
        <v>0</v>
      </c>
      <c r="I77" s="31">
        <f t="shared" si="36"/>
        <v>0</v>
      </c>
      <c r="J77" s="31">
        <f t="shared" si="36"/>
        <v>0</v>
      </c>
      <c r="K77" s="31">
        <f t="shared" si="36"/>
        <v>0</v>
      </c>
      <c r="L77" s="31">
        <f t="shared" si="36"/>
        <v>0</v>
      </c>
      <c r="M77" s="31">
        <f t="shared" si="36"/>
        <v>0</v>
      </c>
      <c r="N77" s="36">
        <f t="shared" si="36"/>
        <v>0</v>
      </c>
      <c r="O77" s="35">
        <f t="shared" si="36"/>
        <v>2110.12</v>
      </c>
      <c r="P77" s="31">
        <f t="shared" si="36"/>
        <v>0</v>
      </c>
      <c r="Q77" s="31">
        <f t="shared" si="36"/>
        <v>0</v>
      </c>
      <c r="R77" s="31">
        <f t="shared" si="36"/>
        <v>0</v>
      </c>
      <c r="S77" s="31">
        <f>SUM(S78:S82)</f>
        <v>2110.12</v>
      </c>
      <c r="T77" s="36">
        <f t="shared" si="36"/>
        <v>2110.12</v>
      </c>
    </row>
    <row r="78" spans="1:23" hidden="1" x14ac:dyDescent="0.25">
      <c r="A78" s="21">
        <v>54502</v>
      </c>
      <c r="B78" s="7" t="s">
        <v>92</v>
      </c>
      <c r="C78" s="7"/>
      <c r="D78" s="30"/>
      <c r="E78" s="19"/>
      <c r="F78" s="19"/>
      <c r="G78" s="49">
        <f t="shared" si="7"/>
        <v>0</v>
      </c>
      <c r="H78" s="37"/>
      <c r="I78" s="19"/>
      <c r="J78" s="19"/>
      <c r="K78" s="19"/>
      <c r="L78" s="19"/>
      <c r="M78" s="19"/>
      <c r="N78" s="41"/>
      <c r="O78" s="37"/>
      <c r="P78" s="19"/>
      <c r="Q78" s="19"/>
      <c r="R78" s="19"/>
      <c r="S78" s="19">
        <f t="shared" si="32"/>
        <v>0</v>
      </c>
      <c r="T78" s="48">
        <f t="shared" ref="T78:T82" si="37">S78+N78+G78</f>
        <v>0</v>
      </c>
    </row>
    <row r="79" spans="1:23" hidden="1" x14ac:dyDescent="0.25">
      <c r="A79" s="437">
        <v>54503</v>
      </c>
      <c r="B79" s="430" t="s">
        <v>93</v>
      </c>
      <c r="C79" s="430"/>
      <c r="D79" s="440"/>
      <c r="E79" s="431"/>
      <c r="F79" s="431"/>
      <c r="G79" s="433">
        <f t="shared" si="7"/>
        <v>0</v>
      </c>
      <c r="H79" s="434"/>
      <c r="I79" s="431"/>
      <c r="J79" s="431"/>
      <c r="K79" s="431"/>
      <c r="L79" s="431"/>
      <c r="M79" s="431"/>
      <c r="N79" s="438"/>
      <c r="O79" s="434">
        <v>900</v>
      </c>
      <c r="P79" s="431"/>
      <c r="Q79" s="431"/>
      <c r="R79" s="431"/>
      <c r="S79" s="431">
        <f t="shared" si="32"/>
        <v>900</v>
      </c>
      <c r="T79" s="48">
        <f t="shared" si="37"/>
        <v>900</v>
      </c>
      <c r="U79" s="175" t="s">
        <v>276</v>
      </c>
    </row>
    <row r="80" spans="1:23" hidden="1" x14ac:dyDescent="0.25">
      <c r="A80" s="437">
        <v>54504</v>
      </c>
      <c r="B80" s="430" t="s">
        <v>94</v>
      </c>
      <c r="C80" s="430"/>
      <c r="D80" s="440"/>
      <c r="E80" s="431"/>
      <c r="F80" s="431"/>
      <c r="G80" s="433">
        <f t="shared" si="7"/>
        <v>0</v>
      </c>
      <c r="H80" s="434"/>
      <c r="I80" s="431"/>
      <c r="J80" s="431"/>
      <c r="K80" s="431"/>
      <c r="L80" s="431"/>
      <c r="M80" s="431"/>
      <c r="N80" s="438"/>
      <c r="O80" s="434">
        <f>700+110.12</f>
        <v>810.12</v>
      </c>
      <c r="P80" s="431"/>
      <c r="Q80" s="431"/>
      <c r="R80" s="431"/>
      <c r="S80" s="431">
        <f t="shared" si="32"/>
        <v>810.12</v>
      </c>
      <c r="T80" s="48">
        <f t="shared" si="37"/>
        <v>810.12</v>
      </c>
      <c r="U80" s="175" t="s">
        <v>275</v>
      </c>
    </row>
    <row r="81" spans="1:21" hidden="1" x14ac:dyDescent="0.25">
      <c r="A81" s="437">
        <v>54505</v>
      </c>
      <c r="B81" s="430" t="s">
        <v>95</v>
      </c>
      <c r="C81" s="430"/>
      <c r="D81" s="440"/>
      <c r="E81" s="431"/>
      <c r="F81" s="431"/>
      <c r="G81" s="433">
        <f t="shared" si="7"/>
        <v>0</v>
      </c>
      <c r="H81" s="434"/>
      <c r="I81" s="431"/>
      <c r="J81" s="431"/>
      <c r="K81" s="431"/>
      <c r="L81" s="431"/>
      <c r="M81" s="431"/>
      <c r="N81" s="438"/>
      <c r="O81" s="434">
        <v>400</v>
      </c>
      <c r="P81" s="431"/>
      <c r="Q81" s="431"/>
      <c r="R81" s="431"/>
      <c r="S81" s="431">
        <f t="shared" si="32"/>
        <v>400</v>
      </c>
      <c r="T81" s="48">
        <f t="shared" si="37"/>
        <v>400</v>
      </c>
      <c r="U81" s="175" t="s">
        <v>277</v>
      </c>
    </row>
    <row r="82" spans="1:21" hidden="1" x14ac:dyDescent="0.25">
      <c r="A82" s="21">
        <v>54599</v>
      </c>
      <c r="B82" s="7" t="s">
        <v>96</v>
      </c>
      <c r="C82" s="7"/>
      <c r="D82" s="30"/>
      <c r="E82" s="19"/>
      <c r="F82" s="19"/>
      <c r="G82" s="49">
        <f t="shared" si="7"/>
        <v>0</v>
      </c>
      <c r="H82" s="37"/>
      <c r="I82" s="19"/>
      <c r="J82" s="19"/>
      <c r="K82" s="19"/>
      <c r="L82" s="19"/>
      <c r="M82" s="19"/>
      <c r="N82" s="41"/>
      <c r="O82" s="37"/>
      <c r="P82" s="19"/>
      <c r="Q82" s="19"/>
      <c r="R82" s="19"/>
      <c r="S82" s="19">
        <f t="shared" si="32"/>
        <v>0</v>
      </c>
      <c r="T82" s="48">
        <f t="shared" si="37"/>
        <v>0</v>
      </c>
    </row>
    <row r="83" spans="1:21" x14ac:dyDescent="0.25">
      <c r="A83" s="26">
        <v>546</v>
      </c>
      <c r="B83" s="25" t="s">
        <v>97</v>
      </c>
      <c r="C83" s="25"/>
      <c r="D83" s="31">
        <f>D84</f>
        <v>0</v>
      </c>
      <c r="E83" s="31">
        <f>E84</f>
        <v>0</v>
      </c>
      <c r="F83" s="31">
        <f t="shared" ref="F83:T83" si="38">F84</f>
        <v>0</v>
      </c>
      <c r="G83" s="32">
        <f t="shared" si="38"/>
        <v>0</v>
      </c>
      <c r="H83" s="35">
        <f t="shared" si="38"/>
        <v>0</v>
      </c>
      <c r="I83" s="31">
        <f t="shared" si="38"/>
        <v>0</v>
      </c>
      <c r="J83" s="31">
        <f t="shared" si="38"/>
        <v>0</v>
      </c>
      <c r="K83" s="31">
        <f t="shared" si="38"/>
        <v>0</v>
      </c>
      <c r="L83" s="31">
        <f t="shared" si="38"/>
        <v>0</v>
      </c>
      <c r="M83" s="31">
        <f t="shared" si="38"/>
        <v>0</v>
      </c>
      <c r="N83" s="36">
        <f t="shared" si="38"/>
        <v>0</v>
      </c>
      <c r="O83" s="35">
        <f t="shared" si="38"/>
        <v>0</v>
      </c>
      <c r="P83" s="31">
        <f t="shared" si="38"/>
        <v>0</v>
      </c>
      <c r="Q83" s="31">
        <f t="shared" si="38"/>
        <v>0</v>
      </c>
      <c r="R83" s="31">
        <f t="shared" si="38"/>
        <v>0</v>
      </c>
      <c r="S83" s="31">
        <f>S84</f>
        <v>0</v>
      </c>
      <c r="T83" s="36">
        <f t="shared" si="38"/>
        <v>0</v>
      </c>
    </row>
    <row r="84" spans="1:21" hidden="1" x14ac:dyDescent="0.25">
      <c r="A84" s="21">
        <v>54602</v>
      </c>
      <c r="B84" s="7" t="s">
        <v>98</v>
      </c>
      <c r="C84" s="7"/>
      <c r="D84" s="19"/>
      <c r="E84" s="19"/>
      <c r="F84" s="19"/>
      <c r="G84" s="49">
        <f t="shared" si="7"/>
        <v>0</v>
      </c>
      <c r="H84" s="37"/>
      <c r="I84" s="19"/>
      <c r="J84" s="19"/>
      <c r="K84" s="19"/>
      <c r="L84" s="19"/>
      <c r="M84" s="19"/>
      <c r="N84" s="41"/>
      <c r="O84" s="37"/>
      <c r="P84" s="19"/>
      <c r="Q84" s="19"/>
      <c r="R84" s="19"/>
      <c r="S84" s="19">
        <f t="shared" si="32"/>
        <v>0</v>
      </c>
      <c r="T84" s="48">
        <f t="shared" ref="T84" si="39">S84+N84+G84</f>
        <v>0</v>
      </c>
    </row>
    <row r="85" spans="1:21" x14ac:dyDescent="0.25">
      <c r="A85" s="26">
        <v>55</v>
      </c>
      <c r="B85" s="25" t="s">
        <v>99</v>
      </c>
      <c r="C85" s="25"/>
      <c r="D85" s="31">
        <f>D86+D89+D92</f>
        <v>0</v>
      </c>
      <c r="E85" s="31">
        <f>E86+E89+E92</f>
        <v>0</v>
      </c>
      <c r="F85" s="31">
        <f t="shared" ref="F85:R85" si="40">F86+F89+F92</f>
        <v>0</v>
      </c>
      <c r="G85" s="32">
        <f t="shared" si="40"/>
        <v>0</v>
      </c>
      <c r="H85" s="35">
        <f t="shared" si="40"/>
        <v>0</v>
      </c>
      <c r="I85" s="31">
        <f t="shared" si="40"/>
        <v>0</v>
      </c>
      <c r="J85" s="31">
        <f t="shared" si="40"/>
        <v>0</v>
      </c>
      <c r="K85" s="31">
        <f t="shared" si="40"/>
        <v>0</v>
      </c>
      <c r="L85" s="31">
        <f t="shared" si="40"/>
        <v>0</v>
      </c>
      <c r="M85" s="31">
        <f t="shared" si="40"/>
        <v>0</v>
      </c>
      <c r="N85" s="36">
        <f t="shared" si="40"/>
        <v>0</v>
      </c>
      <c r="O85" s="35">
        <f>O86+O89+O92</f>
        <v>4000</v>
      </c>
      <c r="P85" s="31">
        <f t="shared" si="40"/>
        <v>0</v>
      </c>
      <c r="Q85" s="31">
        <f t="shared" si="40"/>
        <v>0</v>
      </c>
      <c r="R85" s="31">
        <f t="shared" si="40"/>
        <v>0</v>
      </c>
      <c r="S85" s="31">
        <f>S86+S89+S92</f>
        <v>4000</v>
      </c>
      <c r="T85" s="36">
        <f>T86+T89+T92</f>
        <v>4000</v>
      </c>
    </row>
    <row r="86" spans="1:21" x14ac:dyDescent="0.25">
      <c r="A86" s="26">
        <v>553</v>
      </c>
      <c r="B86" s="25" t="s">
        <v>100</v>
      </c>
      <c r="C86" s="25"/>
      <c r="D86" s="31">
        <f>SUM(D87:D88)</f>
        <v>0</v>
      </c>
      <c r="E86" s="31">
        <f>SUM(E87:E88)</f>
        <v>0</v>
      </c>
      <c r="F86" s="31">
        <f t="shared" ref="F86:T86" si="41">SUM(F87:F88)</f>
        <v>0</v>
      </c>
      <c r="G86" s="32">
        <f t="shared" si="41"/>
        <v>0</v>
      </c>
      <c r="H86" s="35">
        <f t="shared" si="41"/>
        <v>0</v>
      </c>
      <c r="I86" s="31">
        <f t="shared" si="41"/>
        <v>0</v>
      </c>
      <c r="J86" s="31">
        <f t="shared" si="41"/>
        <v>0</v>
      </c>
      <c r="K86" s="31">
        <f t="shared" si="41"/>
        <v>0</v>
      </c>
      <c r="L86" s="31">
        <f t="shared" si="41"/>
        <v>0</v>
      </c>
      <c r="M86" s="31">
        <f t="shared" si="41"/>
        <v>0</v>
      </c>
      <c r="N86" s="36">
        <f t="shared" si="41"/>
        <v>0</v>
      </c>
      <c r="O86" s="35">
        <f t="shared" si="41"/>
        <v>0</v>
      </c>
      <c r="P86" s="31">
        <f t="shared" si="41"/>
        <v>0</v>
      </c>
      <c r="Q86" s="31">
        <f t="shared" si="41"/>
        <v>0</v>
      </c>
      <c r="R86" s="31">
        <f t="shared" si="41"/>
        <v>0</v>
      </c>
      <c r="S86" s="31">
        <f t="shared" si="41"/>
        <v>0</v>
      </c>
      <c r="T86" s="36">
        <f t="shared" si="41"/>
        <v>0</v>
      </c>
    </row>
    <row r="87" spans="1:21" hidden="1" x14ac:dyDescent="0.25">
      <c r="A87" s="21">
        <v>55302</v>
      </c>
      <c r="B87" s="7" t="s">
        <v>101</v>
      </c>
      <c r="C87" s="7"/>
      <c r="D87" s="19"/>
      <c r="E87" s="19"/>
      <c r="F87" s="19"/>
      <c r="G87" s="49">
        <f t="shared" ref="G87:G88" si="42">C87+D87+E87+F87</f>
        <v>0</v>
      </c>
      <c r="H87" s="37"/>
      <c r="I87" s="19"/>
      <c r="J87" s="19"/>
      <c r="K87" s="19"/>
      <c r="L87" s="19"/>
      <c r="M87" s="19"/>
      <c r="N87" s="41"/>
      <c r="O87" s="37"/>
      <c r="P87" s="19"/>
      <c r="Q87" s="19"/>
      <c r="R87" s="19"/>
      <c r="S87" s="19">
        <f t="shared" ref="S87:S88" si="43">SUM(O87:R87)</f>
        <v>0</v>
      </c>
      <c r="T87" s="48">
        <f t="shared" ref="T87:T88" si="44">S87+N87+G87</f>
        <v>0</v>
      </c>
    </row>
    <row r="88" spans="1:21" hidden="1" x14ac:dyDescent="0.25">
      <c r="A88" s="21">
        <v>55304</v>
      </c>
      <c r="B88" s="7" t="s">
        <v>102</v>
      </c>
      <c r="C88" s="7"/>
      <c r="D88" s="19"/>
      <c r="E88" s="19"/>
      <c r="F88" s="19"/>
      <c r="G88" s="49">
        <f t="shared" si="42"/>
        <v>0</v>
      </c>
      <c r="H88" s="37"/>
      <c r="I88" s="19"/>
      <c r="J88" s="19"/>
      <c r="K88" s="19"/>
      <c r="L88" s="19"/>
      <c r="M88" s="19"/>
      <c r="N88" s="41"/>
      <c r="O88" s="37"/>
      <c r="P88" s="19"/>
      <c r="Q88" s="19"/>
      <c r="R88" s="19"/>
      <c r="S88" s="19">
        <f t="shared" si="43"/>
        <v>0</v>
      </c>
      <c r="T88" s="48">
        <f t="shared" si="44"/>
        <v>0</v>
      </c>
    </row>
    <row r="89" spans="1:21" x14ac:dyDescent="0.25">
      <c r="A89" s="26">
        <v>556</v>
      </c>
      <c r="B89" s="25" t="s">
        <v>103</v>
      </c>
      <c r="C89" s="25"/>
      <c r="D89" s="31">
        <f>SUM(D90:D91)</f>
        <v>0</v>
      </c>
      <c r="E89" s="31">
        <f>SUM(E90:E91)</f>
        <v>0</v>
      </c>
      <c r="F89" s="31">
        <f t="shared" ref="F89:T89" si="45">SUM(F90:F91)</f>
        <v>0</v>
      </c>
      <c r="G89" s="32">
        <f t="shared" si="45"/>
        <v>0</v>
      </c>
      <c r="H89" s="35">
        <f t="shared" si="45"/>
        <v>0</v>
      </c>
      <c r="I89" s="31">
        <f t="shared" si="45"/>
        <v>0</v>
      </c>
      <c r="J89" s="31">
        <f t="shared" si="45"/>
        <v>0</v>
      </c>
      <c r="K89" s="31">
        <f t="shared" si="45"/>
        <v>0</v>
      </c>
      <c r="L89" s="31">
        <f t="shared" si="45"/>
        <v>0</v>
      </c>
      <c r="M89" s="31">
        <f t="shared" si="45"/>
        <v>0</v>
      </c>
      <c r="N89" s="36">
        <f t="shared" si="45"/>
        <v>0</v>
      </c>
      <c r="O89" s="35">
        <f t="shared" si="45"/>
        <v>4000</v>
      </c>
      <c r="P89" s="31">
        <f t="shared" si="45"/>
        <v>0</v>
      </c>
      <c r="Q89" s="31">
        <f t="shared" si="45"/>
        <v>0</v>
      </c>
      <c r="R89" s="31">
        <f t="shared" si="45"/>
        <v>0</v>
      </c>
      <c r="S89" s="31">
        <f t="shared" si="45"/>
        <v>4000</v>
      </c>
      <c r="T89" s="36">
        <f t="shared" si="45"/>
        <v>4000</v>
      </c>
    </row>
    <row r="90" spans="1:21" hidden="1" x14ac:dyDescent="0.25">
      <c r="A90" s="437">
        <v>55602</v>
      </c>
      <c r="B90" s="430" t="s">
        <v>104</v>
      </c>
      <c r="C90" s="430"/>
      <c r="D90" s="431"/>
      <c r="E90" s="431"/>
      <c r="F90" s="431"/>
      <c r="G90" s="433">
        <f t="shared" ref="G90:G91" si="46">C90+D90+E90+F90</f>
        <v>0</v>
      </c>
      <c r="H90" s="434"/>
      <c r="I90" s="431"/>
      <c r="J90" s="431"/>
      <c r="K90" s="431"/>
      <c r="L90" s="431"/>
      <c r="M90" s="431"/>
      <c r="N90" s="438"/>
      <c r="O90" s="434">
        <f>4000</f>
        <v>4000</v>
      </c>
      <c r="P90" s="431"/>
      <c r="Q90" s="431"/>
      <c r="R90" s="431"/>
      <c r="S90" s="431">
        <f t="shared" ref="S90:S91" si="47">SUM(O90:R90)</f>
        <v>4000</v>
      </c>
      <c r="T90" s="432">
        <f t="shared" ref="T90:T91" si="48">S90+N90+G90</f>
        <v>4000</v>
      </c>
    </row>
    <row r="91" spans="1:21" hidden="1" x14ac:dyDescent="0.25">
      <c r="A91" s="21">
        <v>55603</v>
      </c>
      <c r="B91" s="7" t="s">
        <v>105</v>
      </c>
      <c r="C91" s="7"/>
      <c r="D91" s="19"/>
      <c r="E91" s="19"/>
      <c r="F91" s="19"/>
      <c r="G91" s="49">
        <f t="shared" si="46"/>
        <v>0</v>
      </c>
      <c r="H91" s="37"/>
      <c r="I91" s="19"/>
      <c r="J91" s="19"/>
      <c r="K91" s="19"/>
      <c r="L91" s="19"/>
      <c r="M91" s="19"/>
      <c r="N91" s="41"/>
      <c r="O91" s="37"/>
      <c r="P91" s="19"/>
      <c r="Q91" s="19"/>
      <c r="R91" s="19"/>
      <c r="S91" s="19">
        <f t="shared" si="47"/>
        <v>0</v>
      </c>
      <c r="T91" s="48">
        <f t="shared" si="48"/>
        <v>0</v>
      </c>
    </row>
    <row r="92" spans="1:21" x14ac:dyDescent="0.25">
      <c r="A92" s="26">
        <v>557</v>
      </c>
      <c r="B92" s="25" t="s">
        <v>106</v>
      </c>
      <c r="C92" s="25"/>
      <c r="D92" s="31">
        <f>SUM(D93:D94)</f>
        <v>0</v>
      </c>
      <c r="E92" s="31">
        <f>SUM(E93:E94)</f>
        <v>0</v>
      </c>
      <c r="F92" s="31">
        <f t="shared" ref="F92:T92" si="49">SUM(F93:F94)</f>
        <v>0</v>
      </c>
      <c r="G92" s="32">
        <f t="shared" si="49"/>
        <v>0</v>
      </c>
      <c r="H92" s="35">
        <f t="shared" si="49"/>
        <v>0</v>
      </c>
      <c r="I92" s="31">
        <f t="shared" si="49"/>
        <v>0</v>
      </c>
      <c r="J92" s="31">
        <f t="shared" si="49"/>
        <v>0</v>
      </c>
      <c r="K92" s="31">
        <f t="shared" si="49"/>
        <v>0</v>
      </c>
      <c r="L92" s="31">
        <f t="shared" si="49"/>
        <v>0</v>
      </c>
      <c r="M92" s="31">
        <f t="shared" si="49"/>
        <v>0</v>
      </c>
      <c r="N92" s="36">
        <f t="shared" si="49"/>
        <v>0</v>
      </c>
      <c r="O92" s="35">
        <f t="shared" si="49"/>
        <v>0</v>
      </c>
      <c r="P92" s="31">
        <f t="shared" si="49"/>
        <v>0</v>
      </c>
      <c r="Q92" s="31">
        <f t="shared" si="49"/>
        <v>0</v>
      </c>
      <c r="R92" s="31">
        <f t="shared" si="49"/>
        <v>0</v>
      </c>
      <c r="S92" s="31">
        <f t="shared" si="49"/>
        <v>0</v>
      </c>
      <c r="T92" s="36">
        <f t="shared" si="49"/>
        <v>0</v>
      </c>
    </row>
    <row r="93" spans="1:21" hidden="1" x14ac:dyDescent="0.25">
      <c r="A93" s="21">
        <v>55703</v>
      </c>
      <c r="B93" s="7" t="s">
        <v>107</v>
      </c>
      <c r="C93" s="7"/>
      <c r="D93" s="19"/>
      <c r="E93" s="19"/>
      <c r="F93" s="19"/>
      <c r="G93" s="49">
        <f t="shared" ref="G93:G94" si="50">C93+D93+E93+F93</f>
        <v>0</v>
      </c>
      <c r="H93" s="37"/>
      <c r="I93" s="19"/>
      <c r="J93" s="19"/>
      <c r="K93" s="19"/>
      <c r="L93" s="19"/>
      <c r="M93" s="19"/>
      <c r="N93" s="41"/>
      <c r="O93" s="37"/>
      <c r="P93" s="19"/>
      <c r="Q93" s="19"/>
      <c r="R93" s="19"/>
      <c r="S93" s="19">
        <f t="shared" ref="S93:S94" si="51">SUM(O93:R93)</f>
        <v>0</v>
      </c>
      <c r="T93" s="48">
        <f t="shared" ref="T93:T94" si="52">S93+N93+G93</f>
        <v>0</v>
      </c>
    </row>
    <row r="94" spans="1:21" hidden="1" x14ac:dyDescent="0.25">
      <c r="A94" s="21">
        <v>55799</v>
      </c>
      <c r="B94" s="7" t="s">
        <v>108</v>
      </c>
      <c r="C94" s="7"/>
      <c r="D94" s="19"/>
      <c r="E94" s="19"/>
      <c r="F94" s="19"/>
      <c r="G94" s="49">
        <f t="shared" si="50"/>
        <v>0</v>
      </c>
      <c r="H94" s="37"/>
      <c r="I94" s="19"/>
      <c r="J94" s="19"/>
      <c r="K94" s="19"/>
      <c r="L94" s="19"/>
      <c r="M94" s="19"/>
      <c r="N94" s="41"/>
      <c r="O94" s="37"/>
      <c r="P94" s="19"/>
      <c r="Q94" s="19"/>
      <c r="R94" s="19"/>
      <c r="S94" s="19">
        <f t="shared" si="51"/>
        <v>0</v>
      </c>
      <c r="T94" s="48">
        <f t="shared" si="52"/>
        <v>0</v>
      </c>
    </row>
    <row r="95" spans="1:21" x14ac:dyDescent="0.25">
      <c r="A95" s="26">
        <v>56</v>
      </c>
      <c r="B95" s="25" t="s">
        <v>109</v>
      </c>
      <c r="C95" s="25"/>
      <c r="D95" s="31">
        <f>D96</f>
        <v>6000</v>
      </c>
      <c r="E95" s="31">
        <f t="shared" ref="E95:R96" si="53">E96</f>
        <v>0</v>
      </c>
      <c r="F95" s="31">
        <f t="shared" si="53"/>
        <v>0</v>
      </c>
      <c r="G95" s="31">
        <f>SUM(D95:F95)</f>
        <v>6000</v>
      </c>
      <c r="H95" s="35"/>
      <c r="I95" s="31"/>
      <c r="J95" s="31"/>
      <c r="K95" s="31"/>
      <c r="L95" s="31"/>
      <c r="M95" s="31"/>
      <c r="N95" s="36"/>
      <c r="O95" s="35">
        <f>O96+O98</f>
        <v>12450.76</v>
      </c>
      <c r="P95" s="35">
        <f t="shared" ref="P95:R95" si="54">P96+P98</f>
        <v>119.03999999999999</v>
      </c>
      <c r="Q95" s="35">
        <f t="shared" si="54"/>
        <v>32.64</v>
      </c>
      <c r="R95" s="35">
        <f t="shared" si="54"/>
        <v>225.84</v>
      </c>
      <c r="S95" s="31">
        <f>S96+S98</f>
        <v>12828.28</v>
      </c>
      <c r="T95" s="36">
        <f>T96+T98</f>
        <v>8828.2800000000007</v>
      </c>
    </row>
    <row r="96" spans="1:21" x14ac:dyDescent="0.25">
      <c r="A96" s="26">
        <v>562</v>
      </c>
      <c r="B96" s="25" t="s">
        <v>110</v>
      </c>
      <c r="C96" s="25"/>
      <c r="D96" s="31">
        <f>D97</f>
        <v>6000</v>
      </c>
      <c r="E96" s="31">
        <f>E97</f>
        <v>0</v>
      </c>
      <c r="F96" s="31">
        <f t="shared" si="53"/>
        <v>0</v>
      </c>
      <c r="G96" s="32">
        <f t="shared" si="53"/>
        <v>6000</v>
      </c>
      <c r="H96" s="35">
        <f t="shared" si="53"/>
        <v>0</v>
      </c>
      <c r="I96" s="31">
        <f t="shared" si="53"/>
        <v>0</v>
      </c>
      <c r="J96" s="31">
        <f t="shared" si="53"/>
        <v>0</v>
      </c>
      <c r="K96" s="31">
        <f t="shared" si="53"/>
        <v>0</v>
      </c>
      <c r="L96" s="31">
        <f t="shared" si="53"/>
        <v>0</v>
      </c>
      <c r="M96" s="31">
        <f t="shared" si="53"/>
        <v>0</v>
      </c>
      <c r="N96" s="36">
        <f t="shared" si="53"/>
        <v>0</v>
      </c>
      <c r="O96" s="35">
        <f>O97</f>
        <v>2450.7600000000002</v>
      </c>
      <c r="P96" s="31">
        <f t="shared" si="53"/>
        <v>119.03999999999999</v>
      </c>
      <c r="Q96" s="31">
        <f t="shared" si="53"/>
        <v>32.64</v>
      </c>
      <c r="R96" s="31">
        <f t="shared" si="53"/>
        <v>225.84</v>
      </c>
      <c r="S96" s="31">
        <f>S97</f>
        <v>2828.28</v>
      </c>
      <c r="T96" s="36">
        <f>T97</f>
        <v>8828.2800000000007</v>
      </c>
    </row>
    <row r="97" spans="1:24" hidden="1" x14ac:dyDescent="0.25">
      <c r="A97" s="437">
        <v>56201</v>
      </c>
      <c r="B97" s="430" t="s">
        <v>111</v>
      </c>
      <c r="C97" s="430"/>
      <c r="D97" s="431">
        <f>500*12</f>
        <v>6000</v>
      </c>
      <c r="E97" s="431"/>
      <c r="F97" s="431"/>
      <c r="G97" s="433">
        <f t="shared" ref="G97" si="55">C97+D97+E97+F97</f>
        <v>6000</v>
      </c>
      <c r="H97" s="434"/>
      <c r="I97" s="431"/>
      <c r="J97" s="431"/>
      <c r="K97" s="431"/>
      <c r="L97" s="431"/>
      <c r="M97" s="431"/>
      <c r="N97" s="438"/>
      <c r="O97" s="434">
        <f>(4.23*12)+2400</f>
        <v>2450.7600000000002</v>
      </c>
      <c r="P97" s="431">
        <f>9.92*12</f>
        <v>119.03999999999999</v>
      </c>
      <c r="Q97" s="431">
        <f>2.72*12</f>
        <v>32.64</v>
      </c>
      <c r="R97" s="431">
        <f>(9.41*12)+(9.41*12)</f>
        <v>225.84</v>
      </c>
      <c r="S97" s="431">
        <f>SUM(O97:R97)</f>
        <v>2828.28</v>
      </c>
      <c r="T97" s="432">
        <f>S97+N97+G97</f>
        <v>8828.2800000000007</v>
      </c>
    </row>
    <row r="98" spans="1:24" x14ac:dyDescent="0.25">
      <c r="A98" s="26">
        <v>563</v>
      </c>
      <c r="B98" s="25" t="s">
        <v>112</v>
      </c>
      <c r="C98" s="25"/>
      <c r="D98" s="31">
        <f>SUM(D99:D102)</f>
        <v>0</v>
      </c>
      <c r="E98" s="31">
        <f>SUM(E99:E102)</f>
        <v>0</v>
      </c>
      <c r="F98" s="31">
        <f t="shared" ref="F98:T98" si="56">SUM(F99:F102)</f>
        <v>0</v>
      </c>
      <c r="G98" s="32">
        <f t="shared" si="56"/>
        <v>0</v>
      </c>
      <c r="H98" s="35">
        <f t="shared" si="56"/>
        <v>0</v>
      </c>
      <c r="I98" s="31">
        <f t="shared" si="56"/>
        <v>0</v>
      </c>
      <c r="J98" s="31">
        <f t="shared" si="56"/>
        <v>0</v>
      </c>
      <c r="K98" s="31">
        <f t="shared" si="56"/>
        <v>0</v>
      </c>
      <c r="L98" s="31">
        <f t="shared" si="56"/>
        <v>0</v>
      </c>
      <c r="M98" s="31">
        <f t="shared" si="56"/>
        <v>0</v>
      </c>
      <c r="N98" s="36">
        <f t="shared" si="56"/>
        <v>0</v>
      </c>
      <c r="O98" s="35">
        <f t="shared" si="56"/>
        <v>10000</v>
      </c>
      <c r="P98" s="31">
        <f t="shared" si="56"/>
        <v>0</v>
      </c>
      <c r="Q98" s="31">
        <f t="shared" si="56"/>
        <v>0</v>
      </c>
      <c r="R98" s="31">
        <f t="shared" si="56"/>
        <v>0</v>
      </c>
      <c r="S98" s="31">
        <f>SUM(S99:S102)</f>
        <v>10000</v>
      </c>
      <c r="T98" s="36">
        <f t="shared" si="56"/>
        <v>0</v>
      </c>
    </row>
    <row r="99" spans="1:24" hidden="1" x14ac:dyDescent="0.25">
      <c r="A99" s="21">
        <v>56301</v>
      </c>
      <c r="B99" s="7" t="s">
        <v>113</v>
      </c>
      <c r="C99" s="7"/>
      <c r="D99" s="19"/>
      <c r="E99" s="19"/>
      <c r="F99" s="19"/>
      <c r="G99" s="49">
        <f t="shared" ref="G99:G102" si="57">C99+D99+E99+F99</f>
        <v>0</v>
      </c>
      <c r="H99" s="37"/>
      <c r="I99" s="19"/>
      <c r="J99" s="19"/>
      <c r="K99" s="19"/>
      <c r="L99" s="19"/>
      <c r="M99" s="19"/>
      <c r="N99" s="41"/>
      <c r="O99" s="37"/>
      <c r="P99" s="19"/>
      <c r="Q99" s="19"/>
      <c r="R99" s="19"/>
      <c r="S99" s="19">
        <f>SUM(O99:R99)</f>
        <v>0</v>
      </c>
      <c r="T99" s="48">
        <f t="shared" ref="T99:T102" si="58">S99+N99+G99</f>
        <v>0</v>
      </c>
    </row>
    <row r="100" spans="1:24" hidden="1" x14ac:dyDescent="0.25">
      <c r="A100" s="21">
        <v>56303</v>
      </c>
      <c r="B100" s="7" t="s">
        <v>114</v>
      </c>
      <c r="C100" s="7"/>
      <c r="D100" s="19"/>
      <c r="E100" s="19"/>
      <c r="F100" s="19"/>
      <c r="G100" s="49">
        <f t="shared" si="57"/>
        <v>0</v>
      </c>
      <c r="H100" s="37"/>
      <c r="I100" s="19"/>
      <c r="J100" s="19"/>
      <c r="K100" s="19"/>
      <c r="L100" s="19"/>
      <c r="M100" s="19"/>
      <c r="N100" s="41"/>
      <c r="O100" s="37">
        <v>0</v>
      </c>
      <c r="P100" s="19"/>
      <c r="Q100" s="19"/>
      <c r="R100" s="19"/>
      <c r="S100" s="19">
        <f t="shared" ref="S100:S102" si="59">SUM(O100:R100)</f>
        <v>0</v>
      </c>
      <c r="T100" s="48">
        <f t="shared" si="58"/>
        <v>0</v>
      </c>
      <c r="U100" s="175">
        <v>915</v>
      </c>
    </row>
    <row r="101" spans="1:24" hidden="1" x14ac:dyDescent="0.25">
      <c r="A101" s="437">
        <v>56304</v>
      </c>
      <c r="B101" s="430" t="s">
        <v>286</v>
      </c>
      <c r="C101" s="430"/>
      <c r="D101" s="431"/>
      <c r="E101" s="431"/>
      <c r="F101" s="431"/>
      <c r="G101" s="433"/>
      <c r="H101" s="434"/>
      <c r="I101" s="431"/>
      <c r="J101" s="431"/>
      <c r="K101" s="431"/>
      <c r="L101" s="431"/>
      <c r="M101" s="431"/>
      <c r="N101" s="438"/>
      <c r="O101" s="434">
        <v>10000</v>
      </c>
      <c r="P101" s="431"/>
      <c r="Q101" s="431"/>
      <c r="R101" s="431"/>
      <c r="S101" s="431">
        <f t="shared" si="59"/>
        <v>10000</v>
      </c>
      <c r="T101" s="432"/>
      <c r="U101" s="175">
        <v>29538.41</v>
      </c>
      <c r="V101" s="187"/>
      <c r="W101" s="187"/>
      <c r="X101" s="187"/>
    </row>
    <row r="102" spans="1:24" hidden="1" x14ac:dyDescent="0.25">
      <c r="A102" s="21">
        <v>56305</v>
      </c>
      <c r="B102" s="7" t="s">
        <v>115</v>
      </c>
      <c r="C102" s="7"/>
      <c r="D102" s="19"/>
      <c r="E102" s="19"/>
      <c r="F102" s="19"/>
      <c r="G102" s="49">
        <f t="shared" si="57"/>
        <v>0</v>
      </c>
      <c r="H102" s="37"/>
      <c r="I102" s="19"/>
      <c r="J102" s="19"/>
      <c r="K102" s="19"/>
      <c r="L102" s="19"/>
      <c r="M102" s="19"/>
      <c r="N102" s="41"/>
      <c r="O102" s="37"/>
      <c r="P102" s="19"/>
      <c r="Q102" s="19"/>
      <c r="R102" s="19"/>
      <c r="S102" s="19">
        <f t="shared" si="59"/>
        <v>0</v>
      </c>
      <c r="T102" s="48">
        <f t="shared" si="58"/>
        <v>0</v>
      </c>
    </row>
    <row r="103" spans="1:24" x14ac:dyDescent="0.25">
      <c r="A103" s="26">
        <v>61</v>
      </c>
      <c r="B103" s="25" t="s">
        <v>116</v>
      </c>
      <c r="C103" s="25"/>
      <c r="D103" s="31">
        <f>D104+D108+D110+D112</f>
        <v>0</v>
      </c>
      <c r="E103" s="31">
        <f>E104+E108+E110+E112</f>
        <v>0</v>
      </c>
      <c r="F103" s="31">
        <f t="shared" ref="F103:R103" si="60">F104+F108+F110+F112</f>
        <v>0</v>
      </c>
      <c r="G103" s="32">
        <f t="shared" si="60"/>
        <v>0</v>
      </c>
      <c r="H103" s="35">
        <f t="shared" si="60"/>
        <v>32000</v>
      </c>
      <c r="I103" s="31">
        <f>I104+I108+I110+I112</f>
        <v>1043365.44</v>
      </c>
      <c r="J103" s="31">
        <f t="shared" si="60"/>
        <v>0</v>
      </c>
      <c r="K103" s="31">
        <f t="shared" si="60"/>
        <v>85000</v>
      </c>
      <c r="L103" s="31">
        <f t="shared" si="60"/>
        <v>0</v>
      </c>
      <c r="M103" s="31">
        <f t="shared" si="60"/>
        <v>0</v>
      </c>
      <c r="N103" s="36">
        <f>N104+N108+N110+N112</f>
        <v>1160365.44</v>
      </c>
      <c r="O103" s="35">
        <f>O104+O108+O110+O112</f>
        <v>2000</v>
      </c>
      <c r="P103" s="31">
        <f t="shared" si="60"/>
        <v>0</v>
      </c>
      <c r="Q103" s="31">
        <f t="shared" si="60"/>
        <v>0</v>
      </c>
      <c r="R103" s="31">
        <f t="shared" si="60"/>
        <v>0</v>
      </c>
      <c r="S103" s="31">
        <f>S104+S108+S110+S112</f>
        <v>2000</v>
      </c>
      <c r="T103" s="36">
        <f>T104+T108+T110+T112</f>
        <v>865878.44</v>
      </c>
    </row>
    <row r="104" spans="1:24" hidden="1" x14ac:dyDescent="0.25">
      <c r="A104" s="26">
        <v>611</v>
      </c>
      <c r="B104" s="25" t="s">
        <v>117</v>
      </c>
      <c r="C104" s="25"/>
      <c r="D104" s="31">
        <f>SUM(D105:D107)</f>
        <v>0</v>
      </c>
      <c r="E104" s="31">
        <f>SUM(E105:E107)</f>
        <v>0</v>
      </c>
      <c r="F104" s="31">
        <f t="shared" ref="F104:T104" si="61">SUM(F105:F107)</f>
        <v>0</v>
      </c>
      <c r="G104" s="32">
        <f t="shared" si="61"/>
        <v>0</v>
      </c>
      <c r="H104" s="35">
        <f t="shared" si="61"/>
        <v>0</v>
      </c>
      <c r="I104" s="31">
        <f t="shared" si="61"/>
        <v>17000</v>
      </c>
      <c r="J104" s="31">
        <f t="shared" si="61"/>
        <v>0</v>
      </c>
      <c r="K104" s="31">
        <f t="shared" si="61"/>
        <v>0</v>
      </c>
      <c r="L104" s="31">
        <f t="shared" si="61"/>
        <v>0</v>
      </c>
      <c r="M104" s="31">
        <f t="shared" si="61"/>
        <v>0</v>
      </c>
      <c r="N104" s="36">
        <f>SUM(N105:N107)</f>
        <v>17000</v>
      </c>
      <c r="O104" s="35">
        <f t="shared" si="61"/>
        <v>2000</v>
      </c>
      <c r="P104" s="31">
        <f t="shared" si="61"/>
        <v>0</v>
      </c>
      <c r="Q104" s="31">
        <f t="shared" si="61"/>
        <v>0</v>
      </c>
      <c r="R104" s="31">
        <f t="shared" si="61"/>
        <v>0</v>
      </c>
      <c r="S104" s="31">
        <f>SUM(S105:S107)</f>
        <v>2000</v>
      </c>
      <c r="T104" s="36">
        <f t="shared" si="61"/>
        <v>19000</v>
      </c>
    </row>
    <row r="105" spans="1:24" hidden="1" x14ac:dyDescent="0.25">
      <c r="A105" s="21">
        <v>61102</v>
      </c>
      <c r="B105" s="7" t="s">
        <v>118</v>
      </c>
      <c r="C105" s="7"/>
      <c r="D105" s="19"/>
      <c r="E105" s="19"/>
      <c r="F105" s="19"/>
      <c r="G105" s="49">
        <f t="shared" ref="G105:G107" si="62">C105+D105+E105+F105</f>
        <v>0</v>
      </c>
      <c r="H105" s="37"/>
      <c r="I105" s="19">
        <v>17000</v>
      </c>
      <c r="J105" s="19"/>
      <c r="K105" s="19"/>
      <c r="L105" s="19"/>
      <c r="M105" s="19"/>
      <c r="N105" s="41">
        <f>SUM(H105:M105)</f>
        <v>17000</v>
      </c>
      <c r="O105" s="37"/>
      <c r="P105" s="19"/>
      <c r="Q105" s="19"/>
      <c r="R105" s="19"/>
      <c r="S105" s="19">
        <f t="shared" ref="S105:S107" si="63">SUM(O105:R105)</f>
        <v>0</v>
      </c>
      <c r="T105" s="48">
        <f t="shared" ref="T105:T107" si="64">S105+N105+G105</f>
        <v>17000</v>
      </c>
    </row>
    <row r="106" spans="1:24" hidden="1" x14ac:dyDescent="0.25">
      <c r="A106" s="21">
        <v>61104</v>
      </c>
      <c r="B106" s="7" t="s">
        <v>119</v>
      </c>
      <c r="C106" s="7"/>
      <c r="D106" s="19"/>
      <c r="E106" s="19"/>
      <c r="F106" s="19"/>
      <c r="G106" s="49">
        <f t="shared" si="62"/>
        <v>0</v>
      </c>
      <c r="H106" s="37"/>
      <c r="I106" s="19"/>
      <c r="J106" s="19"/>
      <c r="K106" s="19"/>
      <c r="L106" s="19"/>
      <c r="M106" s="19"/>
      <c r="N106" s="41">
        <f t="shared" ref="N106:N109" si="65">SUM(H106:M106)</f>
        <v>0</v>
      </c>
      <c r="O106" s="37">
        <v>2000</v>
      </c>
      <c r="P106" s="19"/>
      <c r="Q106" s="19"/>
      <c r="R106" s="19"/>
      <c r="S106" s="19">
        <f t="shared" si="63"/>
        <v>2000</v>
      </c>
      <c r="T106" s="48">
        <f t="shared" si="64"/>
        <v>2000</v>
      </c>
    </row>
    <row r="107" spans="1:24" hidden="1" x14ac:dyDescent="0.25">
      <c r="A107" s="21">
        <v>61199</v>
      </c>
      <c r="B107" s="7" t="s">
        <v>120</v>
      </c>
      <c r="C107" s="7"/>
      <c r="D107" s="19"/>
      <c r="E107" s="19"/>
      <c r="F107" s="19"/>
      <c r="G107" s="49">
        <f t="shared" si="62"/>
        <v>0</v>
      </c>
      <c r="H107" s="37"/>
      <c r="I107" s="19"/>
      <c r="J107" s="19"/>
      <c r="K107" s="19"/>
      <c r="L107" s="19"/>
      <c r="M107" s="19"/>
      <c r="N107" s="41">
        <f t="shared" si="65"/>
        <v>0</v>
      </c>
      <c r="O107" s="37"/>
      <c r="P107" s="19"/>
      <c r="Q107" s="19"/>
      <c r="R107" s="19"/>
      <c r="S107" s="19">
        <f t="shared" si="63"/>
        <v>0</v>
      </c>
      <c r="T107" s="48">
        <f t="shared" si="64"/>
        <v>0</v>
      </c>
    </row>
    <row r="108" spans="1:24" hidden="1" x14ac:dyDescent="0.25">
      <c r="A108" s="26">
        <v>612</v>
      </c>
      <c r="B108" s="25" t="s">
        <v>121</v>
      </c>
      <c r="C108" s="25"/>
      <c r="D108" s="31">
        <f>D109</f>
        <v>0</v>
      </c>
      <c r="E108" s="31">
        <f>E109</f>
        <v>0</v>
      </c>
      <c r="F108" s="31">
        <f t="shared" ref="F108:T108" si="66">F109</f>
        <v>0</v>
      </c>
      <c r="G108" s="32">
        <f t="shared" si="66"/>
        <v>0</v>
      </c>
      <c r="H108" s="35">
        <f t="shared" si="66"/>
        <v>0</v>
      </c>
      <c r="I108" s="31">
        <f t="shared" si="66"/>
        <v>35000</v>
      </c>
      <c r="J108" s="31">
        <f t="shared" si="66"/>
        <v>0</v>
      </c>
      <c r="K108" s="31">
        <f t="shared" si="66"/>
        <v>0</v>
      </c>
      <c r="L108" s="31">
        <f t="shared" si="66"/>
        <v>0</v>
      </c>
      <c r="M108" s="31">
        <f t="shared" si="66"/>
        <v>0</v>
      </c>
      <c r="N108" s="36">
        <f t="shared" si="66"/>
        <v>35000</v>
      </c>
      <c r="O108" s="35">
        <f t="shared" si="66"/>
        <v>0</v>
      </c>
      <c r="P108" s="31">
        <f t="shared" si="66"/>
        <v>0</v>
      </c>
      <c r="Q108" s="31">
        <f t="shared" si="66"/>
        <v>0</v>
      </c>
      <c r="R108" s="31">
        <f t="shared" si="66"/>
        <v>0</v>
      </c>
      <c r="S108" s="31">
        <f>S109</f>
        <v>0</v>
      </c>
      <c r="T108" s="36">
        <f t="shared" si="66"/>
        <v>35000</v>
      </c>
    </row>
    <row r="109" spans="1:24" hidden="1" x14ac:dyDescent="0.25">
      <c r="A109" s="21">
        <v>61201</v>
      </c>
      <c r="B109" s="7" t="s">
        <v>122</v>
      </c>
      <c r="C109" s="7"/>
      <c r="D109" s="19"/>
      <c r="E109" s="19"/>
      <c r="F109" s="19"/>
      <c r="G109" s="49">
        <f t="shared" ref="G109" si="67">C109+D109+E109+F109</f>
        <v>0</v>
      </c>
      <c r="H109" s="37"/>
      <c r="I109" s="19">
        <v>35000</v>
      </c>
      <c r="J109" s="19"/>
      <c r="K109" s="19"/>
      <c r="L109" s="19"/>
      <c r="M109" s="19"/>
      <c r="N109" s="41">
        <f t="shared" si="65"/>
        <v>35000</v>
      </c>
      <c r="O109" s="37"/>
      <c r="P109" s="19"/>
      <c r="Q109" s="19"/>
      <c r="R109" s="19"/>
      <c r="S109" s="19">
        <f t="shared" ref="S109" si="68">SUM(O109:R109)</f>
        <v>0</v>
      </c>
      <c r="T109" s="48">
        <f t="shared" ref="T109" si="69">S109+N109+G109</f>
        <v>35000</v>
      </c>
    </row>
    <row r="110" spans="1:24" hidden="1" x14ac:dyDescent="0.25">
      <c r="A110" s="26">
        <v>615</v>
      </c>
      <c r="B110" s="25" t="s">
        <v>123</v>
      </c>
      <c r="C110" s="25"/>
      <c r="D110" s="31">
        <f>D111</f>
        <v>0</v>
      </c>
      <c r="E110" s="31">
        <f>E111</f>
        <v>0</v>
      </c>
      <c r="F110" s="31">
        <f t="shared" ref="F110:T110" si="70">F111</f>
        <v>0</v>
      </c>
      <c r="G110" s="32">
        <f t="shared" si="70"/>
        <v>0</v>
      </c>
      <c r="H110" s="35">
        <f t="shared" si="70"/>
        <v>32000</v>
      </c>
      <c r="I110" s="31">
        <f t="shared" si="70"/>
        <v>0</v>
      </c>
      <c r="J110" s="31">
        <f t="shared" si="70"/>
        <v>0</v>
      </c>
      <c r="K110" s="31">
        <f t="shared" si="70"/>
        <v>0</v>
      </c>
      <c r="L110" s="31">
        <f t="shared" si="70"/>
        <v>0</v>
      </c>
      <c r="M110" s="31">
        <f t="shared" si="70"/>
        <v>0</v>
      </c>
      <c r="N110" s="36">
        <f>N111</f>
        <v>32000</v>
      </c>
      <c r="O110" s="35">
        <f t="shared" si="70"/>
        <v>0</v>
      </c>
      <c r="P110" s="31">
        <f t="shared" si="70"/>
        <v>0</v>
      </c>
      <c r="Q110" s="31">
        <f t="shared" si="70"/>
        <v>0</v>
      </c>
      <c r="R110" s="31">
        <f t="shared" si="70"/>
        <v>0</v>
      </c>
      <c r="S110" s="31">
        <f>S111</f>
        <v>0</v>
      </c>
      <c r="T110" s="36">
        <f t="shared" si="70"/>
        <v>32000</v>
      </c>
    </row>
    <row r="111" spans="1:24" hidden="1" x14ac:dyDescent="0.25">
      <c r="A111" s="21">
        <v>61599</v>
      </c>
      <c r="B111" s="7" t="s">
        <v>124</v>
      </c>
      <c r="C111" s="7"/>
      <c r="D111" s="19"/>
      <c r="E111" s="19"/>
      <c r="F111" s="19"/>
      <c r="G111" s="49">
        <f t="shared" ref="G111" si="71">C111+D111+E111+F111</f>
        <v>0</v>
      </c>
      <c r="H111" s="37">
        <v>32000</v>
      </c>
      <c r="I111" s="19"/>
      <c r="J111" s="19"/>
      <c r="K111" s="19"/>
      <c r="L111" s="19"/>
      <c r="M111" s="19"/>
      <c r="N111" s="41">
        <f t="shared" ref="N111" si="72">SUM(H111:M111)</f>
        <v>32000</v>
      </c>
      <c r="O111" s="37"/>
      <c r="P111" s="19"/>
      <c r="Q111" s="19"/>
      <c r="R111" s="19"/>
      <c r="S111" s="19">
        <f t="shared" ref="S111" si="73">SUM(O111:R111)</f>
        <v>0</v>
      </c>
      <c r="T111" s="48">
        <f t="shared" ref="T111" si="74">S111+N111+G111</f>
        <v>32000</v>
      </c>
    </row>
    <row r="112" spans="1:24" hidden="1" x14ac:dyDescent="0.25">
      <c r="A112" s="26">
        <v>616</v>
      </c>
      <c r="B112" s="25" t="s">
        <v>125</v>
      </c>
      <c r="C112" s="25"/>
      <c r="D112" s="31">
        <f>SUM(D113:D117)</f>
        <v>0</v>
      </c>
      <c r="E112" s="31">
        <f>SUM(E113:E117)</f>
        <v>0</v>
      </c>
      <c r="F112" s="31">
        <f t="shared" ref="F112:T112" si="75">SUM(F113:F117)</f>
        <v>0</v>
      </c>
      <c r="G112" s="32">
        <f t="shared" si="75"/>
        <v>0</v>
      </c>
      <c r="H112" s="35">
        <f t="shared" si="75"/>
        <v>0</v>
      </c>
      <c r="I112" s="31">
        <f>SUM(I113:I119)</f>
        <v>991365.44</v>
      </c>
      <c r="J112" s="31">
        <f t="shared" ref="J112:M112" si="76">SUM(J113:J119)</f>
        <v>0</v>
      </c>
      <c r="K112" s="31">
        <f t="shared" si="76"/>
        <v>85000</v>
      </c>
      <c r="L112" s="31">
        <f t="shared" si="76"/>
        <v>0</v>
      </c>
      <c r="M112" s="31">
        <f t="shared" si="76"/>
        <v>0</v>
      </c>
      <c r="N112" s="36">
        <f>SUM(N113:N119)</f>
        <v>1076365.44</v>
      </c>
      <c r="O112" s="35">
        <f t="shared" si="75"/>
        <v>0</v>
      </c>
      <c r="P112" s="31">
        <f t="shared" si="75"/>
        <v>0</v>
      </c>
      <c r="Q112" s="31">
        <f t="shared" si="75"/>
        <v>0</v>
      </c>
      <c r="R112" s="31">
        <f t="shared" si="75"/>
        <v>0</v>
      </c>
      <c r="S112" s="31">
        <f>SUM(S113:S117)</f>
        <v>0</v>
      </c>
      <c r="T112" s="36">
        <f t="shared" si="75"/>
        <v>779878.44</v>
      </c>
    </row>
    <row r="113" spans="1:20" hidden="1" x14ac:dyDescent="0.25">
      <c r="A113" s="21">
        <v>61601</v>
      </c>
      <c r="B113" s="7" t="s">
        <v>126</v>
      </c>
      <c r="C113" s="7"/>
      <c r="D113" s="19"/>
      <c r="E113" s="19"/>
      <c r="F113" s="19"/>
      <c r="G113" s="49">
        <f t="shared" ref="G113:G119" si="77">C113+D113+E113+F113</f>
        <v>0</v>
      </c>
      <c r="H113" s="37"/>
      <c r="I113" s="19">
        <v>264891.59000000003</v>
      </c>
      <c r="J113" s="19"/>
      <c r="K113" s="19"/>
      <c r="L113" s="19"/>
      <c r="M113" s="19"/>
      <c r="N113" s="41">
        <f t="shared" ref="N113:N119" si="78">SUM(H113:M113)</f>
        <v>264891.59000000003</v>
      </c>
      <c r="O113" s="37"/>
      <c r="P113" s="19"/>
      <c r="Q113" s="19"/>
      <c r="R113" s="19"/>
      <c r="S113" s="19">
        <f t="shared" ref="S113:S119" si="79">SUM(O113:R113)</f>
        <v>0</v>
      </c>
      <c r="T113" s="48">
        <f t="shared" ref="T113:T119" si="80">S113+N113+G113</f>
        <v>264891.59000000003</v>
      </c>
    </row>
    <row r="114" spans="1:20" hidden="1" x14ac:dyDescent="0.25">
      <c r="A114" s="21">
        <v>61603</v>
      </c>
      <c r="B114" s="7" t="s">
        <v>127</v>
      </c>
      <c r="C114" s="7"/>
      <c r="D114" s="19"/>
      <c r="E114" s="19"/>
      <c r="F114" s="19"/>
      <c r="G114" s="49">
        <f t="shared" si="77"/>
        <v>0</v>
      </c>
      <c r="H114" s="37"/>
      <c r="I114" s="19">
        <v>363986.85</v>
      </c>
      <c r="J114" s="19"/>
      <c r="K114" s="19"/>
      <c r="L114" s="19"/>
      <c r="M114" s="19"/>
      <c r="N114" s="41">
        <f t="shared" si="78"/>
        <v>363986.85</v>
      </c>
      <c r="O114" s="37"/>
      <c r="P114" s="19"/>
      <c r="Q114" s="19"/>
      <c r="R114" s="19"/>
      <c r="S114" s="19">
        <f t="shared" si="79"/>
        <v>0</v>
      </c>
      <c r="T114" s="48">
        <f t="shared" si="80"/>
        <v>363986.85</v>
      </c>
    </row>
    <row r="115" spans="1:20" hidden="1" x14ac:dyDescent="0.25">
      <c r="A115" s="21">
        <v>61606</v>
      </c>
      <c r="B115" s="7" t="s">
        <v>128</v>
      </c>
      <c r="C115" s="7"/>
      <c r="D115" s="19"/>
      <c r="E115" s="19"/>
      <c r="F115" s="19"/>
      <c r="G115" s="49">
        <f t="shared" si="77"/>
        <v>0</v>
      </c>
      <c r="H115" s="37"/>
      <c r="I115" s="19">
        <v>33000</v>
      </c>
      <c r="J115" s="19"/>
      <c r="K115" s="19"/>
      <c r="L115" s="19"/>
      <c r="M115" s="19"/>
      <c r="N115" s="41">
        <f t="shared" si="78"/>
        <v>33000</v>
      </c>
      <c r="O115" s="37"/>
      <c r="P115" s="19"/>
      <c r="Q115" s="19"/>
      <c r="R115" s="19"/>
      <c r="S115" s="19">
        <f t="shared" si="79"/>
        <v>0</v>
      </c>
      <c r="T115" s="48">
        <f t="shared" si="80"/>
        <v>33000</v>
      </c>
    </row>
    <row r="116" spans="1:20" hidden="1" x14ac:dyDescent="0.25">
      <c r="A116" s="21">
        <v>61608</v>
      </c>
      <c r="B116" s="7" t="s">
        <v>129</v>
      </c>
      <c r="C116" s="7"/>
      <c r="D116" s="19"/>
      <c r="E116" s="19"/>
      <c r="F116" s="19"/>
      <c r="G116" s="49">
        <f t="shared" si="77"/>
        <v>0</v>
      </c>
      <c r="H116" s="37"/>
      <c r="I116" s="19"/>
      <c r="J116" s="19"/>
      <c r="K116" s="19"/>
      <c r="L116" s="19"/>
      <c r="M116" s="19"/>
      <c r="N116" s="41">
        <f t="shared" si="78"/>
        <v>0</v>
      </c>
      <c r="O116" s="37"/>
      <c r="P116" s="19"/>
      <c r="Q116" s="19"/>
      <c r="R116" s="19"/>
      <c r="S116" s="19">
        <f t="shared" si="79"/>
        <v>0</v>
      </c>
      <c r="T116" s="48">
        <f t="shared" si="80"/>
        <v>0</v>
      </c>
    </row>
    <row r="117" spans="1:20" hidden="1" x14ac:dyDescent="0.25">
      <c r="A117" s="21">
        <v>61609</v>
      </c>
      <c r="B117" s="7" t="s">
        <v>130</v>
      </c>
      <c r="C117" s="7"/>
      <c r="D117" s="19"/>
      <c r="E117" s="19"/>
      <c r="F117" s="19"/>
      <c r="G117" s="49">
        <f t="shared" si="77"/>
        <v>0</v>
      </c>
      <c r="H117" s="37"/>
      <c r="I117" s="19">
        <v>33000</v>
      </c>
      <c r="J117" s="19"/>
      <c r="K117" s="19">
        <v>85000</v>
      </c>
      <c r="L117" s="19"/>
      <c r="M117" s="19"/>
      <c r="N117" s="41">
        <f>SUM(H117:M117)</f>
        <v>118000</v>
      </c>
      <c r="O117" s="37"/>
      <c r="P117" s="19"/>
      <c r="Q117" s="19"/>
      <c r="R117" s="19"/>
      <c r="S117" s="19">
        <f t="shared" si="79"/>
        <v>0</v>
      </c>
      <c r="T117" s="48">
        <f t="shared" si="80"/>
        <v>118000</v>
      </c>
    </row>
    <row r="118" spans="1:20" hidden="1" x14ac:dyDescent="0.25">
      <c r="A118" s="21">
        <v>61610</v>
      </c>
      <c r="B118" s="7" t="s">
        <v>137</v>
      </c>
      <c r="C118" s="7"/>
      <c r="D118" s="19"/>
      <c r="E118" s="19"/>
      <c r="F118" s="19"/>
      <c r="G118" s="49">
        <f t="shared" si="77"/>
        <v>0</v>
      </c>
      <c r="H118" s="37"/>
      <c r="I118" s="19">
        <v>286487</v>
      </c>
      <c r="J118" s="19"/>
      <c r="K118" s="19"/>
      <c r="L118" s="19"/>
      <c r="M118" s="19"/>
      <c r="N118" s="41">
        <f t="shared" si="78"/>
        <v>286487</v>
      </c>
      <c r="O118" s="37"/>
      <c r="P118" s="19"/>
      <c r="Q118" s="19"/>
      <c r="R118" s="19"/>
      <c r="S118" s="19">
        <f t="shared" si="79"/>
        <v>0</v>
      </c>
      <c r="T118" s="48">
        <f t="shared" si="80"/>
        <v>286487</v>
      </c>
    </row>
    <row r="119" spans="1:20" hidden="1" x14ac:dyDescent="0.25">
      <c r="A119" s="21">
        <v>61611</v>
      </c>
      <c r="B119" s="7" t="s">
        <v>138</v>
      </c>
      <c r="C119" s="7"/>
      <c r="D119" s="19"/>
      <c r="E119" s="19"/>
      <c r="F119" s="19"/>
      <c r="G119" s="49">
        <f t="shared" si="77"/>
        <v>0</v>
      </c>
      <c r="H119" s="37"/>
      <c r="I119" s="19">
        <v>10000</v>
      </c>
      <c r="J119" s="19"/>
      <c r="K119" s="19"/>
      <c r="L119" s="19"/>
      <c r="M119" s="19"/>
      <c r="N119" s="41">
        <f t="shared" si="78"/>
        <v>10000</v>
      </c>
      <c r="O119" s="37"/>
      <c r="P119" s="19"/>
      <c r="Q119" s="19"/>
      <c r="R119" s="19"/>
      <c r="S119" s="19">
        <f t="shared" si="79"/>
        <v>0</v>
      </c>
      <c r="T119" s="48">
        <f t="shared" si="80"/>
        <v>10000</v>
      </c>
    </row>
    <row r="120" spans="1:20" x14ac:dyDescent="0.25">
      <c r="A120" s="26">
        <v>71</v>
      </c>
      <c r="B120" s="25" t="s">
        <v>131</v>
      </c>
      <c r="C120" s="25"/>
      <c r="D120" s="31">
        <f>D121</f>
        <v>0</v>
      </c>
      <c r="E120" s="31">
        <f>E121</f>
        <v>0</v>
      </c>
      <c r="F120" s="31">
        <f t="shared" ref="F120:T121" si="81">F121</f>
        <v>0</v>
      </c>
      <c r="G120" s="32">
        <f t="shared" si="81"/>
        <v>0</v>
      </c>
      <c r="H120" s="35">
        <f t="shared" si="81"/>
        <v>0</v>
      </c>
      <c r="I120" s="31">
        <f t="shared" si="81"/>
        <v>0</v>
      </c>
      <c r="J120" s="31">
        <f t="shared" si="81"/>
        <v>0</v>
      </c>
      <c r="K120" s="31">
        <f t="shared" si="81"/>
        <v>0</v>
      </c>
      <c r="L120" s="31">
        <f t="shared" si="81"/>
        <v>0</v>
      </c>
      <c r="M120" s="31">
        <f t="shared" si="81"/>
        <v>365780.4</v>
      </c>
      <c r="N120" s="36">
        <f t="shared" si="81"/>
        <v>365780.4</v>
      </c>
      <c r="O120" s="35">
        <f t="shared" si="81"/>
        <v>0</v>
      </c>
      <c r="P120" s="31">
        <f t="shared" si="81"/>
        <v>0</v>
      </c>
      <c r="Q120" s="31">
        <f t="shared" si="81"/>
        <v>0</v>
      </c>
      <c r="R120" s="31">
        <f t="shared" si="81"/>
        <v>0</v>
      </c>
      <c r="S120" s="31">
        <f>S121</f>
        <v>0</v>
      </c>
      <c r="T120" s="36">
        <f>T121</f>
        <v>365780.4</v>
      </c>
    </row>
    <row r="121" spans="1:20" hidden="1" x14ac:dyDescent="0.25">
      <c r="A121" s="26">
        <v>713</v>
      </c>
      <c r="B121" s="25" t="s">
        <v>132</v>
      </c>
      <c r="C121" s="25"/>
      <c r="D121" s="31">
        <f>D122</f>
        <v>0</v>
      </c>
      <c r="E121" s="31">
        <f>E122</f>
        <v>0</v>
      </c>
      <c r="F121" s="31">
        <f t="shared" si="81"/>
        <v>0</v>
      </c>
      <c r="G121" s="32">
        <f t="shared" si="81"/>
        <v>0</v>
      </c>
      <c r="H121" s="35">
        <f t="shared" si="81"/>
        <v>0</v>
      </c>
      <c r="I121" s="31">
        <f t="shared" si="81"/>
        <v>0</v>
      </c>
      <c r="J121" s="31">
        <f t="shared" si="81"/>
        <v>0</v>
      </c>
      <c r="K121" s="31">
        <f t="shared" si="81"/>
        <v>0</v>
      </c>
      <c r="L121" s="31">
        <f t="shared" si="81"/>
        <v>0</v>
      </c>
      <c r="M121" s="31">
        <f t="shared" si="81"/>
        <v>365780.4</v>
      </c>
      <c r="N121" s="36">
        <f t="shared" si="81"/>
        <v>365780.4</v>
      </c>
      <c r="O121" s="35">
        <f t="shared" si="81"/>
        <v>0</v>
      </c>
      <c r="P121" s="31">
        <f t="shared" si="81"/>
        <v>0</v>
      </c>
      <c r="Q121" s="31">
        <f t="shared" si="81"/>
        <v>0</v>
      </c>
      <c r="R121" s="31">
        <f t="shared" si="81"/>
        <v>0</v>
      </c>
      <c r="S121" s="31">
        <f t="shared" si="81"/>
        <v>0</v>
      </c>
      <c r="T121" s="36">
        <f t="shared" si="81"/>
        <v>365780.4</v>
      </c>
    </row>
    <row r="122" spans="1:20" hidden="1" x14ac:dyDescent="0.25">
      <c r="A122" s="21">
        <v>71304</v>
      </c>
      <c r="B122" s="7" t="s">
        <v>102</v>
      </c>
      <c r="C122" s="7"/>
      <c r="D122" s="19"/>
      <c r="E122" s="19"/>
      <c r="F122" s="19"/>
      <c r="G122" s="49">
        <f t="shared" ref="G122" si="82">C122+D122+E122+F122</f>
        <v>0</v>
      </c>
      <c r="H122" s="37"/>
      <c r="I122" s="19"/>
      <c r="J122" s="19"/>
      <c r="K122" s="19"/>
      <c r="L122" s="19"/>
      <c r="M122" s="52">
        <v>365780.4</v>
      </c>
      <c r="N122" s="41">
        <f t="shared" ref="N122" si="83">SUM(H122:M122)</f>
        <v>365780.4</v>
      </c>
      <c r="O122" s="37"/>
      <c r="P122" s="19"/>
      <c r="Q122" s="19"/>
      <c r="R122" s="19"/>
      <c r="S122" s="19">
        <f t="shared" ref="S122" si="84">SUM(O122:R122)</f>
        <v>0</v>
      </c>
      <c r="T122" s="48">
        <f t="shared" ref="T122" si="85">S122+N122+G122</f>
        <v>365780.4</v>
      </c>
    </row>
    <row r="123" spans="1:20" hidden="1" x14ac:dyDescent="0.25">
      <c r="A123" s="26">
        <v>72</v>
      </c>
      <c r="B123" s="25" t="s">
        <v>133</v>
      </c>
      <c r="C123" s="25"/>
      <c r="D123" s="31">
        <f>D124</f>
        <v>0</v>
      </c>
      <c r="E123" s="31">
        <f>E124</f>
        <v>0</v>
      </c>
      <c r="F123" s="31">
        <f t="shared" ref="F123:T124" si="86">F124</f>
        <v>0</v>
      </c>
      <c r="G123" s="32">
        <f t="shared" si="86"/>
        <v>0</v>
      </c>
      <c r="H123" s="35">
        <f t="shared" si="86"/>
        <v>0</v>
      </c>
      <c r="I123" s="31">
        <f t="shared" si="86"/>
        <v>0</v>
      </c>
      <c r="J123" s="31">
        <f t="shared" si="86"/>
        <v>0</v>
      </c>
      <c r="K123" s="31">
        <f t="shared" si="86"/>
        <v>0</v>
      </c>
      <c r="L123" s="31">
        <f t="shared" si="86"/>
        <v>0</v>
      </c>
      <c r="M123" s="31">
        <f t="shared" si="86"/>
        <v>0</v>
      </c>
      <c r="N123" s="36">
        <f t="shared" si="86"/>
        <v>0</v>
      </c>
      <c r="O123" s="35">
        <f t="shared" si="86"/>
        <v>0</v>
      </c>
      <c r="P123" s="31">
        <f t="shared" si="86"/>
        <v>0</v>
      </c>
      <c r="Q123" s="31">
        <f t="shared" si="86"/>
        <v>0</v>
      </c>
      <c r="R123" s="31">
        <f t="shared" si="86"/>
        <v>0</v>
      </c>
      <c r="S123" s="31">
        <f>S124</f>
        <v>0</v>
      </c>
      <c r="T123" s="36">
        <f>T124</f>
        <v>0</v>
      </c>
    </row>
    <row r="124" spans="1:20" hidden="1" x14ac:dyDescent="0.25">
      <c r="A124" s="26">
        <v>721</v>
      </c>
      <c r="B124" s="25" t="s">
        <v>134</v>
      </c>
      <c r="C124" s="25"/>
      <c r="D124" s="31">
        <f>D125</f>
        <v>0</v>
      </c>
      <c r="E124" s="31">
        <f>E125</f>
        <v>0</v>
      </c>
      <c r="F124" s="31">
        <f t="shared" si="86"/>
        <v>0</v>
      </c>
      <c r="G124" s="32">
        <f t="shared" si="86"/>
        <v>0</v>
      </c>
      <c r="H124" s="35">
        <f t="shared" si="86"/>
        <v>0</v>
      </c>
      <c r="I124" s="31">
        <f t="shared" si="86"/>
        <v>0</v>
      </c>
      <c r="J124" s="31">
        <f t="shared" si="86"/>
        <v>0</v>
      </c>
      <c r="K124" s="31">
        <f t="shared" si="86"/>
        <v>0</v>
      </c>
      <c r="L124" s="31">
        <f t="shared" si="86"/>
        <v>0</v>
      </c>
      <c r="M124" s="31">
        <f t="shared" si="86"/>
        <v>0</v>
      </c>
      <c r="N124" s="36">
        <f t="shared" si="86"/>
        <v>0</v>
      </c>
      <c r="O124" s="35">
        <f t="shared" si="86"/>
        <v>0</v>
      </c>
      <c r="P124" s="31">
        <f t="shared" si="86"/>
        <v>0</v>
      </c>
      <c r="Q124" s="31">
        <f t="shared" si="86"/>
        <v>0</v>
      </c>
      <c r="R124" s="31">
        <f t="shared" si="86"/>
        <v>0</v>
      </c>
      <c r="S124" s="31">
        <f t="shared" si="86"/>
        <v>0</v>
      </c>
      <c r="T124" s="36">
        <f t="shared" si="86"/>
        <v>0</v>
      </c>
    </row>
    <row r="125" spans="1:20" hidden="1" x14ac:dyDescent="0.25">
      <c r="A125" s="21">
        <v>72101</v>
      </c>
      <c r="B125" s="7" t="s">
        <v>134</v>
      </c>
      <c r="C125" s="7"/>
      <c r="D125" s="19"/>
      <c r="E125" s="19"/>
      <c r="F125" s="19"/>
      <c r="G125" s="49">
        <f t="shared" ref="G125" si="87">C125+D125+E125+F125</f>
        <v>0</v>
      </c>
      <c r="H125" s="37"/>
      <c r="I125" s="19"/>
      <c r="J125" s="19"/>
      <c r="K125" s="19"/>
      <c r="L125" s="19"/>
      <c r="M125" s="19"/>
      <c r="N125" s="41">
        <f t="shared" ref="N125" si="88">SUM(H125:M125)</f>
        <v>0</v>
      </c>
      <c r="O125" s="37"/>
      <c r="P125" s="19"/>
      <c r="Q125" s="19"/>
      <c r="R125" s="19"/>
      <c r="S125" s="19">
        <f t="shared" ref="S125" si="89">SUM(O125:R125)</f>
        <v>0</v>
      </c>
      <c r="T125" s="48">
        <f t="shared" ref="T125" si="90">S125+N125+G125</f>
        <v>0</v>
      </c>
    </row>
    <row r="126" spans="1:20" x14ac:dyDescent="0.25">
      <c r="A126" s="24" t="s">
        <v>29</v>
      </c>
      <c r="B126" s="25" t="s">
        <v>81</v>
      </c>
      <c r="C126" s="31">
        <f t="shared" ref="C126:T126" si="91">C9+C35+C85+C95+C103+C120+C123</f>
        <v>244505.59</v>
      </c>
      <c r="D126" s="31">
        <f t="shared" si="91"/>
        <v>110071</v>
      </c>
      <c r="E126" s="31">
        <f t="shared" si="91"/>
        <v>39543</v>
      </c>
      <c r="F126" s="31">
        <f t="shared" si="91"/>
        <v>114595.69</v>
      </c>
      <c r="G126" s="31">
        <f t="shared" si="91"/>
        <v>508715.27999999997</v>
      </c>
      <c r="H126" s="31">
        <f t="shared" si="91"/>
        <v>32000</v>
      </c>
      <c r="I126" s="31">
        <f t="shared" si="91"/>
        <v>1043365.44</v>
      </c>
      <c r="J126" s="31">
        <f t="shared" si="91"/>
        <v>0</v>
      </c>
      <c r="K126" s="31">
        <f t="shared" si="91"/>
        <v>85000</v>
      </c>
      <c r="L126" s="31">
        <f t="shared" si="91"/>
        <v>0</v>
      </c>
      <c r="M126" s="31">
        <f t="shared" si="91"/>
        <v>365780.4</v>
      </c>
      <c r="N126" s="31">
        <f t="shared" si="91"/>
        <v>1526145.8399999999</v>
      </c>
      <c r="O126" s="31">
        <f t="shared" si="91"/>
        <v>296568.16000000003</v>
      </c>
      <c r="P126" s="31">
        <f t="shared" si="91"/>
        <v>54047.389999999992</v>
      </c>
      <c r="Q126" s="31">
        <f t="shared" si="91"/>
        <v>19070.239999999998</v>
      </c>
      <c r="R126" s="31">
        <f t="shared" si="91"/>
        <v>64378</v>
      </c>
      <c r="S126" s="31">
        <f t="shared" si="91"/>
        <v>434063.79000000004</v>
      </c>
      <c r="T126" s="31">
        <f t="shared" si="91"/>
        <v>1882819.02</v>
      </c>
    </row>
    <row r="127" spans="1:20" x14ac:dyDescent="0.25">
      <c r="A127" s="24" t="s">
        <v>29</v>
      </c>
      <c r="B127" s="25" t="s">
        <v>82</v>
      </c>
      <c r="C127" s="31">
        <f>C126</f>
        <v>244505.59</v>
      </c>
      <c r="D127" s="31">
        <f t="shared" ref="D127:T128" si="92">D126</f>
        <v>110071</v>
      </c>
      <c r="E127" s="31">
        <f t="shared" si="92"/>
        <v>39543</v>
      </c>
      <c r="F127" s="31">
        <f t="shared" si="92"/>
        <v>114595.69</v>
      </c>
      <c r="G127" s="32">
        <f t="shared" si="92"/>
        <v>508715.27999999997</v>
      </c>
      <c r="H127" s="35">
        <f t="shared" si="92"/>
        <v>32000</v>
      </c>
      <c r="I127" s="31">
        <f t="shared" si="92"/>
        <v>1043365.44</v>
      </c>
      <c r="J127" s="31">
        <f t="shared" si="92"/>
        <v>0</v>
      </c>
      <c r="K127" s="31">
        <f t="shared" si="92"/>
        <v>85000</v>
      </c>
      <c r="L127" s="31">
        <f t="shared" si="92"/>
        <v>0</v>
      </c>
      <c r="M127" s="31">
        <f t="shared" si="92"/>
        <v>365780.4</v>
      </c>
      <c r="N127" s="36">
        <f t="shared" si="92"/>
        <v>1526145.8399999999</v>
      </c>
      <c r="O127" s="35">
        <f>O126</f>
        <v>296568.16000000003</v>
      </c>
      <c r="P127" s="31">
        <f t="shared" si="92"/>
        <v>54047.389999999992</v>
      </c>
      <c r="Q127" s="31">
        <f t="shared" si="92"/>
        <v>19070.239999999998</v>
      </c>
      <c r="R127" s="31">
        <f t="shared" si="92"/>
        <v>64378</v>
      </c>
      <c r="S127" s="31">
        <f>S126</f>
        <v>434063.79000000004</v>
      </c>
      <c r="T127" s="36">
        <f t="shared" si="92"/>
        <v>1882819.02</v>
      </c>
    </row>
    <row r="128" spans="1:20" ht="15.75" thickBot="1" x14ac:dyDescent="0.3">
      <c r="A128" s="27" t="s">
        <v>83</v>
      </c>
      <c r="B128" s="28"/>
      <c r="C128" s="31">
        <f>C127</f>
        <v>244505.59</v>
      </c>
      <c r="D128" s="31">
        <f t="shared" si="92"/>
        <v>110071</v>
      </c>
      <c r="E128" s="31">
        <f t="shared" si="92"/>
        <v>39543</v>
      </c>
      <c r="F128" s="31">
        <f t="shared" si="92"/>
        <v>114595.69</v>
      </c>
      <c r="G128" s="32">
        <f>G127</f>
        <v>508715.27999999997</v>
      </c>
      <c r="H128" s="42">
        <f t="shared" si="92"/>
        <v>32000</v>
      </c>
      <c r="I128" s="43">
        <f t="shared" si="92"/>
        <v>1043365.44</v>
      </c>
      <c r="J128" s="43">
        <f t="shared" si="92"/>
        <v>0</v>
      </c>
      <c r="K128" s="43">
        <f t="shared" si="92"/>
        <v>85000</v>
      </c>
      <c r="L128" s="43">
        <f t="shared" si="92"/>
        <v>0</v>
      </c>
      <c r="M128" s="43">
        <f t="shared" si="92"/>
        <v>365780.4</v>
      </c>
      <c r="N128" s="44">
        <f t="shared" si="92"/>
        <v>1526145.8399999999</v>
      </c>
      <c r="O128" s="42">
        <f t="shared" si="92"/>
        <v>296568.16000000003</v>
      </c>
      <c r="P128" s="43">
        <f t="shared" si="92"/>
        <v>54047.389999999992</v>
      </c>
      <c r="Q128" s="43">
        <f t="shared" si="92"/>
        <v>19070.239999999998</v>
      </c>
      <c r="R128" s="43">
        <f t="shared" si="92"/>
        <v>64378</v>
      </c>
      <c r="S128" s="43">
        <f>S127</f>
        <v>434063.79000000004</v>
      </c>
      <c r="T128" s="44">
        <f>T127</f>
        <v>1882819.02</v>
      </c>
    </row>
    <row r="130" spans="18:21" hidden="1" x14ac:dyDescent="0.25"/>
    <row r="131" spans="18:21" hidden="1" x14ac:dyDescent="0.25">
      <c r="R131" s="99"/>
      <c r="S131">
        <v>434063.79</v>
      </c>
      <c r="T131" s="50">
        <v>317393.84000000003</v>
      </c>
      <c r="U131" s="199"/>
    </row>
    <row r="132" spans="18:21" hidden="1" x14ac:dyDescent="0.25">
      <c r="S132" s="216">
        <f>S131-S126</f>
        <v>0</v>
      </c>
    </row>
    <row r="133" spans="18:21" hidden="1" x14ac:dyDescent="0.25"/>
  </sheetData>
  <mergeCells count="11">
    <mergeCell ref="C6:G6"/>
    <mergeCell ref="O6:S6"/>
    <mergeCell ref="C7:G7"/>
    <mergeCell ref="O7:S7"/>
    <mergeCell ref="A3:T3"/>
    <mergeCell ref="A1:T1"/>
    <mergeCell ref="A2:T2"/>
    <mergeCell ref="O4:S4"/>
    <mergeCell ref="C5:G5"/>
    <mergeCell ref="H5:N5"/>
    <mergeCell ref="O5:S5"/>
  </mergeCells>
  <pageMargins left="0.51181102362204722" right="0.51181102362204722" top="0.55118110236220474" bottom="0.55118110236220474" header="0.31496062992125984" footer="0.31496062992125984"/>
  <pageSetup orientation="landscape" horizontalDpi="4294967293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18"/>
  <sheetViews>
    <sheetView topLeftCell="A129" zoomScale="120" zoomScaleNormal="120" workbookViewId="0">
      <selection activeCell="G137" sqref="G137"/>
    </sheetView>
  </sheetViews>
  <sheetFormatPr baseColWidth="10" defaultRowHeight="16.5" x14ac:dyDescent="0.3"/>
  <cols>
    <col min="1" max="1" width="3" style="264" customWidth="1"/>
    <col min="2" max="2" width="40.7109375" style="427" customWidth="1"/>
    <col min="3" max="3" width="29" style="427" customWidth="1"/>
    <col min="4" max="4" width="11.42578125" style="305" hidden="1" customWidth="1"/>
    <col min="5" max="5" width="23.42578125" style="305" hidden="1" customWidth="1"/>
    <col min="6" max="6" width="17.7109375" style="305" hidden="1" customWidth="1"/>
    <col min="7" max="8" width="12.42578125" style="305" customWidth="1"/>
    <col min="9" max="9" width="13.7109375" style="305" customWidth="1"/>
    <col min="10" max="10" width="14.7109375" style="305" customWidth="1"/>
    <col min="11" max="11" width="12.28515625" style="305" customWidth="1"/>
    <col min="12" max="12" width="11.5703125" style="305" customWidth="1"/>
    <col min="13" max="13" width="15.42578125" style="305" customWidth="1"/>
    <col min="14" max="14" width="13.42578125" style="305" customWidth="1"/>
    <col min="15" max="15" width="13.28515625" style="305" customWidth="1"/>
    <col min="16" max="16" width="18.42578125" style="264" customWidth="1"/>
    <col min="17" max="16384" width="11.42578125" style="264"/>
  </cols>
  <sheetData>
    <row r="1" spans="1:16" x14ac:dyDescent="0.3">
      <c r="A1" s="661" t="s">
        <v>621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</row>
    <row r="2" spans="1:16" ht="32.25" customHeight="1" x14ac:dyDescent="0.3">
      <c r="A2" s="265" t="s">
        <v>386</v>
      </c>
      <c r="B2" s="266" t="s">
        <v>387</v>
      </c>
      <c r="C2" s="266" t="s">
        <v>388</v>
      </c>
      <c r="D2" s="267" t="s">
        <v>389</v>
      </c>
      <c r="E2" s="267" t="s">
        <v>390</v>
      </c>
      <c r="F2" s="267" t="s">
        <v>598</v>
      </c>
      <c r="G2" s="267" t="s">
        <v>391</v>
      </c>
      <c r="H2" s="267" t="s">
        <v>392</v>
      </c>
      <c r="I2" s="267" t="s">
        <v>393</v>
      </c>
      <c r="J2" s="267" t="s">
        <v>394</v>
      </c>
      <c r="K2" s="267" t="s">
        <v>395</v>
      </c>
      <c r="L2" s="267" t="s">
        <v>396</v>
      </c>
      <c r="M2" s="267" t="s">
        <v>397</v>
      </c>
      <c r="N2" s="267" t="s">
        <v>398</v>
      </c>
      <c r="O2" s="267" t="s">
        <v>399</v>
      </c>
      <c r="P2" s="265" t="s">
        <v>400</v>
      </c>
    </row>
    <row r="3" spans="1:16" ht="21.95" customHeight="1" x14ac:dyDescent="0.3">
      <c r="A3" s="268">
        <v>1</v>
      </c>
      <c r="B3" s="269" t="s">
        <v>401</v>
      </c>
      <c r="C3" s="269" t="s">
        <v>402</v>
      </c>
      <c r="D3" s="270">
        <v>2000</v>
      </c>
      <c r="E3" s="270"/>
      <c r="F3" s="270">
        <f>D3+E3</f>
        <v>2000</v>
      </c>
      <c r="G3" s="270">
        <f>F3*12</f>
        <v>24000</v>
      </c>
      <c r="H3" s="270">
        <f>D3</f>
        <v>2000</v>
      </c>
      <c r="I3" s="270">
        <f>(F3-1000)*0.075</f>
        <v>75</v>
      </c>
      <c r="J3" s="270">
        <f>F3*0.0775</f>
        <v>155</v>
      </c>
      <c r="K3" s="270"/>
      <c r="L3" s="270">
        <f>F3*0.001</f>
        <v>2</v>
      </c>
      <c r="M3" s="270">
        <f>I3+J3+K3+L3</f>
        <v>232</v>
      </c>
      <c r="N3" s="270">
        <f>M3*12</f>
        <v>2784</v>
      </c>
      <c r="O3" s="270">
        <f>G3+N3</f>
        <v>26784</v>
      </c>
      <c r="P3" s="269"/>
    </row>
    <row r="4" spans="1:16" ht="21.95" customHeight="1" x14ac:dyDescent="0.3">
      <c r="A4" s="268">
        <v>2</v>
      </c>
      <c r="B4" s="271" t="s">
        <v>403</v>
      </c>
      <c r="C4" s="269" t="s">
        <v>404</v>
      </c>
      <c r="D4" s="272">
        <v>1000</v>
      </c>
      <c r="E4" s="272"/>
      <c r="F4" s="270">
        <f>D4+E4</f>
        <v>1000</v>
      </c>
      <c r="G4" s="270">
        <f>F4*12</f>
        <v>12000</v>
      </c>
      <c r="H4" s="270">
        <f>D4</f>
        <v>1000</v>
      </c>
      <c r="I4" s="270">
        <f>F4*0.075</f>
        <v>75</v>
      </c>
      <c r="J4" s="270">
        <f>F4*0.0775</f>
        <v>77.5</v>
      </c>
      <c r="K4" s="272"/>
      <c r="L4" s="270">
        <f>F4*0.001</f>
        <v>1</v>
      </c>
      <c r="M4" s="270">
        <f>I4+J4+K4+L4</f>
        <v>153.5</v>
      </c>
      <c r="N4" s="270">
        <f>M4*12</f>
        <v>1842</v>
      </c>
      <c r="O4" s="270">
        <f>G4+N4</f>
        <v>13842</v>
      </c>
      <c r="P4" s="273" t="s">
        <v>405</v>
      </c>
    </row>
    <row r="5" spans="1:16" ht="21.95" customHeight="1" x14ac:dyDescent="0.3">
      <c r="A5" s="268">
        <v>3</v>
      </c>
      <c r="B5" s="271" t="s">
        <v>406</v>
      </c>
      <c r="C5" s="269" t="s">
        <v>407</v>
      </c>
      <c r="D5" s="272">
        <v>1225</v>
      </c>
      <c r="E5" s="272"/>
      <c r="F5" s="270">
        <f>D5+E5</f>
        <v>1225</v>
      </c>
      <c r="G5" s="270">
        <f>F5*12</f>
        <v>14700</v>
      </c>
      <c r="H5" s="270">
        <f>D5</f>
        <v>1225</v>
      </c>
      <c r="I5" s="270">
        <f>(F5-225)*0.075</f>
        <v>75</v>
      </c>
      <c r="J5" s="270">
        <f>F5*0.0775</f>
        <v>94.9375</v>
      </c>
      <c r="K5" s="272"/>
      <c r="L5" s="270">
        <f>F5*0.001</f>
        <v>1.2250000000000001</v>
      </c>
      <c r="M5" s="270">
        <f>I5+J5+K5+L5</f>
        <v>171.16249999999999</v>
      </c>
      <c r="N5" s="270">
        <f>M5*12</f>
        <v>2053.9499999999998</v>
      </c>
      <c r="O5" s="270">
        <f>G5+N5</f>
        <v>16753.95</v>
      </c>
      <c r="P5" s="273" t="s">
        <v>408</v>
      </c>
    </row>
    <row r="6" spans="1:16" s="278" customFormat="1" ht="20.25" customHeight="1" x14ac:dyDescent="0.3">
      <c r="A6" s="275"/>
      <c r="B6" s="276" t="s">
        <v>413</v>
      </c>
      <c r="C6" s="276"/>
      <c r="D6" s="277">
        <f t="shared" ref="D6:O6" si="0">SUM(D3:D5)</f>
        <v>4225</v>
      </c>
      <c r="E6" s="277">
        <f t="shared" si="0"/>
        <v>0</v>
      </c>
      <c r="F6" s="277">
        <f t="shared" si="0"/>
        <v>4225</v>
      </c>
      <c r="G6" s="277">
        <f t="shared" si="0"/>
        <v>50700</v>
      </c>
      <c r="H6" s="277">
        <f t="shared" si="0"/>
        <v>4225</v>
      </c>
      <c r="I6" s="277">
        <f t="shared" si="0"/>
        <v>225</v>
      </c>
      <c r="J6" s="277">
        <f t="shared" si="0"/>
        <v>327.4375</v>
      </c>
      <c r="K6" s="277">
        <f t="shared" si="0"/>
        <v>0</v>
      </c>
      <c r="L6" s="277">
        <f t="shared" si="0"/>
        <v>4.2249999999999996</v>
      </c>
      <c r="M6" s="277">
        <f t="shared" si="0"/>
        <v>556.66250000000002</v>
      </c>
      <c r="N6" s="277">
        <f t="shared" si="0"/>
        <v>6679.95</v>
      </c>
      <c r="O6" s="277">
        <f t="shared" si="0"/>
        <v>57379.95</v>
      </c>
      <c r="P6" s="277"/>
    </row>
    <row r="7" spans="1:16" ht="21.95" customHeight="1" x14ac:dyDescent="0.3">
      <c r="A7" s="268">
        <v>1</v>
      </c>
      <c r="B7" s="271" t="s">
        <v>414</v>
      </c>
      <c r="C7" s="269" t="s">
        <v>415</v>
      </c>
      <c r="D7" s="272">
        <v>800</v>
      </c>
      <c r="E7" s="272"/>
      <c r="F7" s="270">
        <f t="shared" ref="F7:F22" si="1">D7+E7</f>
        <v>800</v>
      </c>
      <c r="G7" s="270">
        <f t="shared" ref="G7:G22" si="2">F7*12</f>
        <v>9600</v>
      </c>
      <c r="H7" s="270">
        <f>D7</f>
        <v>800</v>
      </c>
      <c r="I7" s="270">
        <f t="shared" ref="I7:I22" si="3">F7*0.075</f>
        <v>60</v>
      </c>
      <c r="J7" s="270">
        <f>F7*0.0775</f>
        <v>62</v>
      </c>
      <c r="K7" s="272"/>
      <c r="L7" s="270">
        <f t="shared" ref="L7:L22" si="4">F7*0.001</f>
        <v>0.8</v>
      </c>
      <c r="M7" s="270">
        <f t="shared" ref="M7:M22" si="5">I7+J7+K7+L7</f>
        <v>122.8</v>
      </c>
      <c r="N7" s="270">
        <f t="shared" ref="N7:N22" si="6">M7*12</f>
        <v>1473.6</v>
      </c>
      <c r="O7" s="270">
        <f>G7+N7</f>
        <v>11073.6</v>
      </c>
      <c r="P7" s="273" t="s">
        <v>408</v>
      </c>
    </row>
    <row r="8" spans="1:16" ht="21.95" customHeight="1" x14ac:dyDescent="0.3">
      <c r="A8" s="268">
        <v>2</v>
      </c>
      <c r="B8" s="271" t="s">
        <v>416</v>
      </c>
      <c r="C8" s="269" t="s">
        <v>417</v>
      </c>
      <c r="D8" s="272">
        <v>700</v>
      </c>
      <c r="E8" s="272"/>
      <c r="F8" s="270">
        <f t="shared" si="1"/>
        <v>700</v>
      </c>
      <c r="G8" s="270">
        <f t="shared" si="2"/>
        <v>8400</v>
      </c>
      <c r="H8" s="270">
        <f>D8</f>
        <v>700</v>
      </c>
      <c r="I8" s="270">
        <f t="shared" si="3"/>
        <v>52.5</v>
      </c>
      <c r="J8" s="270">
        <f>F8*0.0775</f>
        <v>54.25</v>
      </c>
      <c r="K8" s="272"/>
      <c r="L8" s="270">
        <f t="shared" si="4"/>
        <v>0.70000000000000007</v>
      </c>
      <c r="M8" s="270">
        <f t="shared" si="5"/>
        <v>107.45</v>
      </c>
      <c r="N8" s="270">
        <f t="shared" si="6"/>
        <v>1289.4000000000001</v>
      </c>
      <c r="O8" s="270">
        <f>G8+N8</f>
        <v>9689.4</v>
      </c>
      <c r="P8" s="273" t="s">
        <v>408</v>
      </c>
    </row>
    <row r="9" spans="1:16" ht="21.95" customHeight="1" x14ac:dyDescent="0.3">
      <c r="A9" s="268">
        <v>3</v>
      </c>
      <c r="B9" s="271" t="s">
        <v>527</v>
      </c>
      <c r="C9" s="269" t="s">
        <v>417</v>
      </c>
      <c r="D9" s="272">
        <v>400</v>
      </c>
      <c r="E9" s="272"/>
      <c r="F9" s="270">
        <f t="shared" si="1"/>
        <v>400</v>
      </c>
      <c r="G9" s="270">
        <f t="shared" si="2"/>
        <v>4800</v>
      </c>
      <c r="H9" s="270">
        <f>F9</f>
        <v>400</v>
      </c>
      <c r="I9" s="270">
        <f t="shared" si="3"/>
        <v>30</v>
      </c>
      <c r="J9" s="270">
        <f>F9*0.0775</f>
        <v>31</v>
      </c>
      <c r="K9" s="272"/>
      <c r="L9" s="270">
        <f t="shared" si="4"/>
        <v>0.4</v>
      </c>
      <c r="M9" s="270">
        <f t="shared" si="5"/>
        <v>61.4</v>
      </c>
      <c r="N9" s="270">
        <f t="shared" si="6"/>
        <v>736.8</v>
      </c>
      <c r="O9" s="270"/>
      <c r="P9" s="273"/>
    </row>
    <row r="10" spans="1:16" ht="21.95" customHeight="1" x14ac:dyDescent="0.3">
      <c r="A10" s="268">
        <v>4</v>
      </c>
      <c r="B10" s="271" t="s">
        <v>418</v>
      </c>
      <c r="C10" s="269" t="s">
        <v>419</v>
      </c>
      <c r="D10" s="272">
        <v>600</v>
      </c>
      <c r="E10" s="272"/>
      <c r="F10" s="270">
        <f t="shared" si="1"/>
        <v>600</v>
      </c>
      <c r="G10" s="270">
        <f t="shared" si="2"/>
        <v>7200</v>
      </c>
      <c r="H10" s="270">
        <f>D10</f>
        <v>600</v>
      </c>
      <c r="I10" s="270">
        <f t="shared" si="3"/>
        <v>45</v>
      </c>
      <c r="J10" s="270"/>
      <c r="K10" s="272">
        <f>F10*0.07</f>
        <v>42.000000000000007</v>
      </c>
      <c r="L10" s="270">
        <f t="shared" si="4"/>
        <v>0.6</v>
      </c>
      <c r="M10" s="270">
        <f t="shared" si="5"/>
        <v>87.6</v>
      </c>
      <c r="N10" s="270">
        <f t="shared" si="6"/>
        <v>1051.1999999999998</v>
      </c>
      <c r="O10" s="270">
        <f t="shared" ref="O10:O22" si="7">G10+N10</f>
        <v>8251.2000000000007</v>
      </c>
      <c r="P10" s="273" t="s">
        <v>408</v>
      </c>
    </row>
    <row r="11" spans="1:16" ht="21.95" customHeight="1" x14ac:dyDescent="0.3">
      <c r="A11" s="268">
        <v>5</v>
      </c>
      <c r="B11" s="271" t="s">
        <v>420</v>
      </c>
      <c r="C11" s="269" t="s">
        <v>421</v>
      </c>
      <c r="D11" s="272">
        <v>800</v>
      </c>
      <c r="E11" s="272"/>
      <c r="F11" s="270">
        <f t="shared" si="1"/>
        <v>800</v>
      </c>
      <c r="G11" s="270">
        <f t="shared" si="2"/>
        <v>9600</v>
      </c>
      <c r="H11" s="270">
        <f>D11</f>
        <v>800</v>
      </c>
      <c r="I11" s="270">
        <f t="shared" si="3"/>
        <v>60</v>
      </c>
      <c r="J11" s="270">
        <f t="shared" ref="J11:J22" si="8">F11*0.0775</f>
        <v>62</v>
      </c>
      <c r="K11" s="272"/>
      <c r="L11" s="270">
        <f t="shared" si="4"/>
        <v>0.8</v>
      </c>
      <c r="M11" s="270">
        <f t="shared" si="5"/>
        <v>122.8</v>
      </c>
      <c r="N11" s="270">
        <f t="shared" si="6"/>
        <v>1473.6</v>
      </c>
      <c r="O11" s="270">
        <f t="shared" si="7"/>
        <v>11073.6</v>
      </c>
      <c r="P11" s="273" t="s">
        <v>408</v>
      </c>
    </row>
    <row r="12" spans="1:16" ht="21.95" customHeight="1" x14ac:dyDescent="0.3">
      <c r="A12" s="268">
        <v>6</v>
      </c>
      <c r="B12" s="271" t="s">
        <v>422</v>
      </c>
      <c r="C12" s="269" t="s">
        <v>423</v>
      </c>
      <c r="D12" s="272">
        <v>700</v>
      </c>
      <c r="E12" s="272"/>
      <c r="F12" s="270">
        <f t="shared" si="1"/>
        <v>700</v>
      </c>
      <c r="G12" s="270">
        <f t="shared" si="2"/>
        <v>8400</v>
      </c>
      <c r="H12" s="270">
        <f>D12</f>
        <v>700</v>
      </c>
      <c r="I12" s="270">
        <f t="shared" si="3"/>
        <v>52.5</v>
      </c>
      <c r="J12" s="270">
        <f t="shared" si="8"/>
        <v>54.25</v>
      </c>
      <c r="K12" s="272"/>
      <c r="L12" s="270">
        <f t="shared" si="4"/>
        <v>0.70000000000000007</v>
      </c>
      <c r="M12" s="270">
        <f t="shared" si="5"/>
        <v>107.45</v>
      </c>
      <c r="N12" s="270">
        <f t="shared" si="6"/>
        <v>1289.4000000000001</v>
      </c>
      <c r="O12" s="270">
        <f t="shared" si="7"/>
        <v>9689.4</v>
      </c>
      <c r="P12" s="273" t="s">
        <v>408</v>
      </c>
    </row>
    <row r="13" spans="1:16" ht="21.95" customHeight="1" x14ac:dyDescent="0.3">
      <c r="A13" s="268">
        <v>7</v>
      </c>
      <c r="B13" s="271" t="s">
        <v>424</v>
      </c>
      <c r="C13" s="269" t="s">
        <v>423</v>
      </c>
      <c r="D13" s="272">
        <v>350</v>
      </c>
      <c r="E13" s="272"/>
      <c r="F13" s="270">
        <f t="shared" si="1"/>
        <v>350</v>
      </c>
      <c r="G13" s="270">
        <f t="shared" si="2"/>
        <v>4200</v>
      </c>
      <c r="H13" s="270">
        <f t="shared" ref="H13:H20" si="9">F13</f>
        <v>350</v>
      </c>
      <c r="I13" s="270">
        <f t="shared" si="3"/>
        <v>26.25</v>
      </c>
      <c r="J13" s="270">
        <f t="shared" si="8"/>
        <v>27.125</v>
      </c>
      <c r="K13" s="272"/>
      <c r="L13" s="270">
        <f t="shared" si="4"/>
        <v>0.35000000000000003</v>
      </c>
      <c r="M13" s="270">
        <f t="shared" si="5"/>
        <v>53.725000000000001</v>
      </c>
      <c r="N13" s="270">
        <f t="shared" si="6"/>
        <v>644.70000000000005</v>
      </c>
      <c r="O13" s="270">
        <f t="shared" si="7"/>
        <v>4844.7</v>
      </c>
      <c r="P13" s="273" t="s">
        <v>408</v>
      </c>
    </row>
    <row r="14" spans="1:16" ht="31.5" customHeight="1" x14ac:dyDescent="0.3">
      <c r="A14" s="268">
        <v>8</v>
      </c>
      <c r="B14" s="271" t="s">
        <v>620</v>
      </c>
      <c r="C14" s="269" t="s">
        <v>425</v>
      </c>
      <c r="D14" s="272">
        <v>700</v>
      </c>
      <c r="E14" s="272"/>
      <c r="F14" s="270">
        <f t="shared" si="1"/>
        <v>700</v>
      </c>
      <c r="G14" s="270">
        <f t="shared" si="2"/>
        <v>8400</v>
      </c>
      <c r="H14" s="270">
        <f t="shared" si="9"/>
        <v>700</v>
      </c>
      <c r="I14" s="270">
        <f t="shared" si="3"/>
        <v>52.5</v>
      </c>
      <c r="J14" s="270">
        <f t="shared" si="8"/>
        <v>54.25</v>
      </c>
      <c r="K14" s="272"/>
      <c r="L14" s="270">
        <f t="shared" si="4"/>
        <v>0.70000000000000007</v>
      </c>
      <c r="M14" s="270">
        <f t="shared" si="5"/>
        <v>107.45</v>
      </c>
      <c r="N14" s="270">
        <f t="shared" si="6"/>
        <v>1289.4000000000001</v>
      </c>
      <c r="O14" s="270">
        <f t="shared" si="7"/>
        <v>9689.4</v>
      </c>
      <c r="P14" s="273" t="s">
        <v>408</v>
      </c>
    </row>
    <row r="15" spans="1:16" ht="33.75" customHeight="1" x14ac:dyDescent="0.3">
      <c r="A15" s="268">
        <v>10</v>
      </c>
      <c r="B15" s="271" t="s">
        <v>426</v>
      </c>
      <c r="C15" s="269" t="s">
        <v>427</v>
      </c>
      <c r="D15" s="272">
        <v>500</v>
      </c>
      <c r="E15" s="272"/>
      <c r="F15" s="270">
        <f t="shared" si="1"/>
        <v>500</v>
      </c>
      <c r="G15" s="270">
        <f t="shared" si="2"/>
        <v>6000</v>
      </c>
      <c r="H15" s="270">
        <f t="shared" si="9"/>
        <v>500</v>
      </c>
      <c r="I15" s="270">
        <f t="shared" si="3"/>
        <v>37.5</v>
      </c>
      <c r="J15" s="270">
        <f t="shared" si="8"/>
        <v>38.75</v>
      </c>
      <c r="K15" s="272"/>
      <c r="L15" s="270">
        <f t="shared" si="4"/>
        <v>0.5</v>
      </c>
      <c r="M15" s="270">
        <f t="shared" si="5"/>
        <v>76.75</v>
      </c>
      <c r="N15" s="270">
        <f t="shared" si="6"/>
        <v>921</v>
      </c>
      <c r="O15" s="270">
        <f t="shared" si="7"/>
        <v>6921</v>
      </c>
      <c r="P15" s="273" t="s">
        <v>408</v>
      </c>
    </row>
    <row r="16" spans="1:16" ht="21.95" customHeight="1" x14ac:dyDescent="0.3">
      <c r="A16" s="268">
        <v>11</v>
      </c>
      <c r="B16" s="271" t="s">
        <v>428</v>
      </c>
      <c r="C16" s="269" t="s">
        <v>427</v>
      </c>
      <c r="D16" s="272">
        <v>400</v>
      </c>
      <c r="E16" s="272"/>
      <c r="F16" s="270">
        <f t="shared" si="1"/>
        <v>400</v>
      </c>
      <c r="G16" s="270">
        <f t="shared" si="2"/>
        <v>4800</v>
      </c>
      <c r="H16" s="270">
        <f t="shared" si="9"/>
        <v>400</v>
      </c>
      <c r="I16" s="270">
        <f t="shared" si="3"/>
        <v>30</v>
      </c>
      <c r="J16" s="270">
        <f t="shared" si="8"/>
        <v>31</v>
      </c>
      <c r="K16" s="272"/>
      <c r="L16" s="270">
        <f t="shared" si="4"/>
        <v>0.4</v>
      </c>
      <c r="M16" s="270">
        <f t="shared" si="5"/>
        <v>61.4</v>
      </c>
      <c r="N16" s="270">
        <f t="shared" si="6"/>
        <v>736.8</v>
      </c>
      <c r="O16" s="270">
        <f t="shared" si="7"/>
        <v>5536.8</v>
      </c>
      <c r="P16" s="273" t="s">
        <v>408</v>
      </c>
    </row>
    <row r="17" spans="1:16" ht="21.95" customHeight="1" x14ac:dyDescent="0.3">
      <c r="A17" s="268">
        <v>12</v>
      </c>
      <c r="B17" s="271" t="s">
        <v>429</v>
      </c>
      <c r="C17" s="269" t="s">
        <v>430</v>
      </c>
      <c r="D17" s="272">
        <v>900</v>
      </c>
      <c r="E17" s="272"/>
      <c r="F17" s="270">
        <f t="shared" si="1"/>
        <v>900</v>
      </c>
      <c r="G17" s="270">
        <f t="shared" si="2"/>
        <v>10800</v>
      </c>
      <c r="H17" s="270">
        <f t="shared" si="9"/>
        <v>900</v>
      </c>
      <c r="I17" s="270">
        <f t="shared" si="3"/>
        <v>67.5</v>
      </c>
      <c r="J17" s="270">
        <f t="shared" si="8"/>
        <v>69.75</v>
      </c>
      <c r="K17" s="272"/>
      <c r="L17" s="270">
        <f t="shared" si="4"/>
        <v>0.9</v>
      </c>
      <c r="M17" s="270">
        <f t="shared" si="5"/>
        <v>138.15</v>
      </c>
      <c r="N17" s="270">
        <f t="shared" si="6"/>
        <v>1657.8000000000002</v>
      </c>
      <c r="O17" s="270">
        <f t="shared" si="7"/>
        <v>12457.8</v>
      </c>
      <c r="P17" s="273" t="s">
        <v>408</v>
      </c>
    </row>
    <row r="18" spans="1:16" ht="21.95" customHeight="1" x14ac:dyDescent="0.3">
      <c r="A18" s="268">
        <v>13</v>
      </c>
      <c r="B18" s="271" t="s">
        <v>431</v>
      </c>
      <c r="C18" s="269" t="s">
        <v>432</v>
      </c>
      <c r="D18" s="272">
        <v>685</v>
      </c>
      <c r="E18" s="272"/>
      <c r="F18" s="270">
        <f t="shared" si="1"/>
        <v>685</v>
      </c>
      <c r="G18" s="270">
        <f t="shared" si="2"/>
        <v>8220</v>
      </c>
      <c r="H18" s="270">
        <f t="shared" si="9"/>
        <v>685</v>
      </c>
      <c r="I18" s="270">
        <f t="shared" si="3"/>
        <v>51.375</v>
      </c>
      <c r="J18" s="270">
        <f t="shared" si="8"/>
        <v>53.087499999999999</v>
      </c>
      <c r="K18" s="272"/>
      <c r="L18" s="270">
        <f t="shared" si="4"/>
        <v>0.68500000000000005</v>
      </c>
      <c r="M18" s="270">
        <f t="shared" si="5"/>
        <v>105.14750000000001</v>
      </c>
      <c r="N18" s="270">
        <f t="shared" si="6"/>
        <v>1261.77</v>
      </c>
      <c r="O18" s="270">
        <f t="shared" si="7"/>
        <v>9481.77</v>
      </c>
      <c r="P18" s="273" t="s">
        <v>408</v>
      </c>
    </row>
    <row r="19" spans="1:16" ht="30" customHeight="1" x14ac:dyDescent="0.3">
      <c r="A19" s="268">
        <v>14</v>
      </c>
      <c r="B19" s="271" t="s">
        <v>528</v>
      </c>
      <c r="C19" s="269" t="s">
        <v>433</v>
      </c>
      <c r="D19" s="272">
        <v>350</v>
      </c>
      <c r="E19" s="272">
        <v>350</v>
      </c>
      <c r="F19" s="270">
        <f t="shared" si="1"/>
        <v>700</v>
      </c>
      <c r="G19" s="270">
        <f t="shared" si="2"/>
        <v>8400</v>
      </c>
      <c r="H19" s="270">
        <f t="shared" si="9"/>
        <v>700</v>
      </c>
      <c r="I19" s="270">
        <f t="shared" si="3"/>
        <v>52.5</v>
      </c>
      <c r="J19" s="270">
        <f t="shared" si="8"/>
        <v>54.25</v>
      </c>
      <c r="K19" s="272"/>
      <c r="L19" s="270">
        <f t="shared" si="4"/>
        <v>0.70000000000000007</v>
      </c>
      <c r="M19" s="270">
        <f t="shared" si="5"/>
        <v>107.45</v>
      </c>
      <c r="N19" s="270">
        <f t="shared" si="6"/>
        <v>1289.4000000000001</v>
      </c>
      <c r="O19" s="270">
        <f t="shared" si="7"/>
        <v>9689.4</v>
      </c>
      <c r="P19" s="273" t="s">
        <v>408</v>
      </c>
    </row>
    <row r="20" spans="1:16" s="286" customFormat="1" ht="32.25" customHeight="1" x14ac:dyDescent="0.3">
      <c r="A20" s="281">
        <v>15</v>
      </c>
      <c r="B20" s="300" t="s">
        <v>434</v>
      </c>
      <c r="C20" s="279" t="s">
        <v>435</v>
      </c>
      <c r="D20" s="280">
        <v>400</v>
      </c>
      <c r="E20" s="280"/>
      <c r="F20" s="280">
        <f t="shared" si="1"/>
        <v>400</v>
      </c>
      <c r="G20" s="280">
        <f t="shared" si="2"/>
        <v>4800</v>
      </c>
      <c r="H20" s="280">
        <f t="shared" si="9"/>
        <v>400</v>
      </c>
      <c r="I20" s="280">
        <f t="shared" si="3"/>
        <v>30</v>
      </c>
      <c r="J20" s="270">
        <f t="shared" si="8"/>
        <v>31</v>
      </c>
      <c r="K20" s="280"/>
      <c r="L20" s="280">
        <f t="shared" si="4"/>
        <v>0.4</v>
      </c>
      <c r="M20" s="280">
        <f t="shared" si="5"/>
        <v>61.4</v>
      </c>
      <c r="N20" s="280">
        <f t="shared" si="6"/>
        <v>736.8</v>
      </c>
      <c r="O20" s="280">
        <f t="shared" si="7"/>
        <v>5536.8</v>
      </c>
      <c r="P20" s="285" t="s">
        <v>436</v>
      </c>
    </row>
    <row r="21" spans="1:16" ht="21.95" customHeight="1" x14ac:dyDescent="0.3">
      <c r="A21" s="268">
        <v>16</v>
      </c>
      <c r="B21" s="271" t="s">
        <v>409</v>
      </c>
      <c r="C21" s="269" t="s">
        <v>410</v>
      </c>
      <c r="D21" s="272">
        <v>888.89</v>
      </c>
      <c r="E21" s="272"/>
      <c r="F21" s="270">
        <f t="shared" si="1"/>
        <v>888.89</v>
      </c>
      <c r="G21" s="270">
        <f t="shared" si="2"/>
        <v>10666.68</v>
      </c>
      <c r="H21" s="270">
        <f>D21</f>
        <v>888.89</v>
      </c>
      <c r="I21" s="270">
        <f t="shared" si="3"/>
        <v>66.666749999999993</v>
      </c>
      <c r="J21" s="270">
        <f t="shared" si="8"/>
        <v>68.888975000000002</v>
      </c>
      <c r="K21" s="272"/>
      <c r="L21" s="270">
        <f t="shared" si="4"/>
        <v>0.88888999999999996</v>
      </c>
      <c r="M21" s="270">
        <f t="shared" si="5"/>
        <v>136.444615</v>
      </c>
      <c r="N21" s="270">
        <f t="shared" si="6"/>
        <v>1637.33538</v>
      </c>
      <c r="O21" s="270">
        <f t="shared" si="7"/>
        <v>12304.015380000001</v>
      </c>
      <c r="P21" s="274" t="s">
        <v>411</v>
      </c>
    </row>
    <row r="22" spans="1:16" ht="36" customHeight="1" x14ac:dyDescent="0.3">
      <c r="A22" s="268">
        <v>17</v>
      </c>
      <c r="B22" s="271" t="s">
        <v>529</v>
      </c>
      <c r="C22" s="269" t="s">
        <v>412</v>
      </c>
      <c r="D22" s="272">
        <v>400</v>
      </c>
      <c r="E22" s="272"/>
      <c r="F22" s="270">
        <f t="shared" si="1"/>
        <v>400</v>
      </c>
      <c r="G22" s="270">
        <f t="shared" si="2"/>
        <v>4800</v>
      </c>
      <c r="H22" s="270">
        <f>D22</f>
        <v>400</v>
      </c>
      <c r="I22" s="270">
        <f t="shared" si="3"/>
        <v>30</v>
      </c>
      <c r="J22" s="270">
        <f t="shared" si="8"/>
        <v>31</v>
      </c>
      <c r="K22" s="272"/>
      <c r="L22" s="270">
        <f t="shared" si="4"/>
        <v>0.4</v>
      </c>
      <c r="M22" s="270">
        <f t="shared" si="5"/>
        <v>61.4</v>
      </c>
      <c r="N22" s="270">
        <f t="shared" si="6"/>
        <v>736.8</v>
      </c>
      <c r="O22" s="270">
        <f t="shared" si="7"/>
        <v>5536.8</v>
      </c>
      <c r="P22" s="273" t="s">
        <v>408</v>
      </c>
    </row>
    <row r="23" spans="1:16" s="286" customFormat="1" ht="32.25" customHeight="1" x14ac:dyDescent="0.3">
      <c r="A23" s="281"/>
      <c r="B23" s="282" t="s">
        <v>437</v>
      </c>
      <c r="C23" s="283"/>
      <c r="D23" s="284">
        <f t="shared" ref="D23:O23" si="10">SUM(D7:D22)</f>
        <v>9573.89</v>
      </c>
      <c r="E23" s="284">
        <f t="shared" si="10"/>
        <v>350</v>
      </c>
      <c r="F23" s="284">
        <f t="shared" si="10"/>
        <v>9923.89</v>
      </c>
      <c r="G23" s="284">
        <f t="shared" si="10"/>
        <v>119086.68</v>
      </c>
      <c r="H23" s="284">
        <f t="shared" si="10"/>
        <v>9923.89</v>
      </c>
      <c r="I23" s="284">
        <f t="shared" si="10"/>
        <v>744.29174999999998</v>
      </c>
      <c r="J23" s="284">
        <f t="shared" si="10"/>
        <v>722.60147499999994</v>
      </c>
      <c r="K23" s="284">
        <f t="shared" si="10"/>
        <v>42.000000000000007</v>
      </c>
      <c r="L23" s="284">
        <f t="shared" si="10"/>
        <v>9.9238900000000001</v>
      </c>
      <c r="M23" s="284">
        <f t="shared" si="10"/>
        <v>1518.8171150000003</v>
      </c>
      <c r="N23" s="284">
        <f t="shared" si="10"/>
        <v>18225.805379999998</v>
      </c>
      <c r="O23" s="284">
        <f t="shared" si="10"/>
        <v>131775.68538000001</v>
      </c>
      <c r="P23" s="285"/>
    </row>
    <row r="24" spans="1:16" ht="21.95" customHeight="1" x14ac:dyDescent="0.3">
      <c r="A24" s="268">
        <v>1</v>
      </c>
      <c r="B24" s="271" t="s">
        <v>530</v>
      </c>
      <c r="C24" s="269" t="s">
        <v>438</v>
      </c>
      <c r="D24" s="272">
        <v>650</v>
      </c>
      <c r="E24" s="272"/>
      <c r="F24" s="270">
        <f>D24+E24</f>
        <v>650</v>
      </c>
      <c r="G24" s="270">
        <f>F24*12</f>
        <v>7800</v>
      </c>
      <c r="H24" s="270">
        <f>F24</f>
        <v>650</v>
      </c>
      <c r="I24" s="270">
        <f>F24*0.075</f>
        <v>48.75</v>
      </c>
      <c r="J24" s="270">
        <f>F24*0.0775</f>
        <v>50.375</v>
      </c>
      <c r="K24" s="272"/>
      <c r="L24" s="270">
        <f>F24*0.001</f>
        <v>0.65</v>
      </c>
      <c r="M24" s="270">
        <f>I24+J24+K24+L24</f>
        <v>99.775000000000006</v>
      </c>
      <c r="N24" s="270">
        <f>M24*12</f>
        <v>1197.3000000000002</v>
      </c>
      <c r="O24" s="270">
        <f>G24+N24</f>
        <v>8997.2999999999993</v>
      </c>
      <c r="P24" s="273" t="s">
        <v>408</v>
      </c>
    </row>
    <row r="25" spans="1:16" ht="21.95" customHeight="1" x14ac:dyDescent="0.3">
      <c r="A25" s="268">
        <v>2</v>
      </c>
      <c r="B25" s="271" t="s">
        <v>439</v>
      </c>
      <c r="C25" s="269" t="s">
        <v>440</v>
      </c>
      <c r="D25" s="272">
        <v>600</v>
      </c>
      <c r="E25" s="272"/>
      <c r="F25" s="270">
        <f>D25+E25</f>
        <v>600</v>
      </c>
      <c r="G25" s="270">
        <f>F25*12</f>
        <v>7200</v>
      </c>
      <c r="H25" s="270">
        <f>F25</f>
        <v>600</v>
      </c>
      <c r="I25" s="270">
        <f>F25*0.075</f>
        <v>45</v>
      </c>
      <c r="J25" s="270">
        <f>F25*0.0775</f>
        <v>46.5</v>
      </c>
      <c r="K25" s="272"/>
      <c r="L25" s="270">
        <f>F25*0.001</f>
        <v>0.6</v>
      </c>
      <c r="M25" s="270">
        <f>I25+J25+K25+L25</f>
        <v>92.1</v>
      </c>
      <c r="N25" s="270">
        <f>M25*12</f>
        <v>1105.1999999999998</v>
      </c>
      <c r="O25" s="270">
        <f>G25+N25</f>
        <v>8305.2000000000007</v>
      </c>
      <c r="P25" s="273" t="s">
        <v>408</v>
      </c>
    </row>
    <row r="26" spans="1:16" ht="21.95" customHeight="1" x14ac:dyDescent="0.3">
      <c r="A26" s="268">
        <v>3</v>
      </c>
      <c r="B26" s="271" t="s">
        <v>441</v>
      </c>
      <c r="C26" s="269" t="s">
        <v>440</v>
      </c>
      <c r="D26" s="272">
        <v>350</v>
      </c>
      <c r="E26" s="272"/>
      <c r="F26" s="270">
        <f>D26+E26</f>
        <v>350</v>
      </c>
      <c r="G26" s="270">
        <f>F26*12</f>
        <v>4200</v>
      </c>
      <c r="H26" s="270">
        <f>F26</f>
        <v>350</v>
      </c>
      <c r="I26" s="270">
        <f>F26*0.075</f>
        <v>26.25</v>
      </c>
      <c r="J26" s="270">
        <f>F26*0.0775</f>
        <v>27.125</v>
      </c>
      <c r="K26" s="272"/>
      <c r="L26" s="270">
        <f>F26*0.001</f>
        <v>0.35000000000000003</v>
      </c>
      <c r="M26" s="270">
        <f>I26+J26+K26+L26</f>
        <v>53.725000000000001</v>
      </c>
      <c r="N26" s="270">
        <f>M26*12</f>
        <v>644.70000000000005</v>
      </c>
      <c r="O26" s="270">
        <f>G26+N26</f>
        <v>4844.7</v>
      </c>
      <c r="P26" s="273" t="s">
        <v>408</v>
      </c>
    </row>
    <row r="27" spans="1:16" ht="21.95" customHeight="1" x14ac:dyDescent="0.3">
      <c r="A27" s="268">
        <v>4</v>
      </c>
      <c r="B27" s="271" t="s">
        <v>442</v>
      </c>
      <c r="C27" s="269" t="s">
        <v>440</v>
      </c>
      <c r="D27" s="272">
        <v>770</v>
      </c>
      <c r="E27" s="272"/>
      <c r="F27" s="270">
        <f>D27+E27</f>
        <v>770</v>
      </c>
      <c r="G27" s="270">
        <f>F27*12</f>
        <v>9240</v>
      </c>
      <c r="H27" s="270">
        <f>F27</f>
        <v>770</v>
      </c>
      <c r="I27" s="270">
        <f>F27*0.075</f>
        <v>57.75</v>
      </c>
      <c r="J27" s="270">
        <f>F27*0.0775</f>
        <v>59.674999999999997</v>
      </c>
      <c r="K27" s="272"/>
      <c r="L27" s="270">
        <f>F27*0.001</f>
        <v>0.77</v>
      </c>
      <c r="M27" s="270">
        <f>I27+J27+K27+L27</f>
        <v>118.19499999999999</v>
      </c>
      <c r="N27" s="270">
        <f>M27*12</f>
        <v>1418.34</v>
      </c>
      <c r="O27" s="270">
        <f>G27+N27</f>
        <v>10658.34</v>
      </c>
      <c r="P27" s="273" t="s">
        <v>408</v>
      </c>
    </row>
    <row r="28" spans="1:16" ht="30" customHeight="1" x14ac:dyDescent="0.3">
      <c r="A28" s="268">
        <v>5</v>
      </c>
      <c r="B28" s="271" t="s">
        <v>458</v>
      </c>
      <c r="C28" s="269" t="s">
        <v>440</v>
      </c>
      <c r="D28" s="272">
        <v>350</v>
      </c>
      <c r="E28" s="272"/>
      <c r="F28" s="270">
        <f>D28+E28</f>
        <v>350</v>
      </c>
      <c r="G28" s="270">
        <f>F28*12</f>
        <v>4200</v>
      </c>
      <c r="H28" s="270">
        <f>F28</f>
        <v>350</v>
      </c>
      <c r="I28" s="270">
        <f>F28*0.075</f>
        <v>26.25</v>
      </c>
      <c r="J28" s="270">
        <f>F28*0.0775</f>
        <v>27.125</v>
      </c>
      <c r="K28" s="272"/>
      <c r="L28" s="270">
        <f>F28*0.001</f>
        <v>0.35000000000000003</v>
      </c>
      <c r="M28" s="270">
        <f>I28+J28+K28+L28</f>
        <v>53.725000000000001</v>
      </c>
      <c r="N28" s="270">
        <f>M28*12</f>
        <v>644.70000000000005</v>
      </c>
      <c r="O28" s="270">
        <f>G28+N28</f>
        <v>4844.7</v>
      </c>
      <c r="P28" s="273" t="s">
        <v>408</v>
      </c>
    </row>
    <row r="29" spans="1:16" ht="21.95" customHeight="1" x14ac:dyDescent="0.3">
      <c r="A29" s="268"/>
      <c r="B29" s="287" t="s">
        <v>443</v>
      </c>
      <c r="C29" s="269"/>
      <c r="D29" s="277">
        <f t="shared" ref="D29:O29" si="11">SUM(D24:D28)</f>
        <v>2720</v>
      </c>
      <c r="E29" s="277">
        <f t="shared" si="11"/>
        <v>0</v>
      </c>
      <c r="F29" s="277">
        <f t="shared" si="11"/>
        <v>2720</v>
      </c>
      <c r="G29" s="277">
        <f t="shared" si="11"/>
        <v>32640</v>
      </c>
      <c r="H29" s="277">
        <f t="shared" si="11"/>
        <v>2720</v>
      </c>
      <c r="I29" s="277">
        <f t="shared" si="11"/>
        <v>204</v>
      </c>
      <c r="J29" s="277">
        <f t="shared" si="11"/>
        <v>210.8</v>
      </c>
      <c r="K29" s="277">
        <f t="shared" si="11"/>
        <v>0</v>
      </c>
      <c r="L29" s="277">
        <f t="shared" si="11"/>
        <v>2.72</v>
      </c>
      <c r="M29" s="277">
        <f t="shared" si="11"/>
        <v>417.52</v>
      </c>
      <c r="N29" s="277">
        <f t="shared" si="11"/>
        <v>5010.24</v>
      </c>
      <c r="O29" s="277">
        <f t="shared" si="11"/>
        <v>37650.239999999998</v>
      </c>
      <c r="P29" s="273"/>
    </row>
    <row r="30" spans="1:16" s="294" customFormat="1" ht="32.25" customHeight="1" x14ac:dyDescent="0.3">
      <c r="A30" s="288">
        <v>1</v>
      </c>
      <c r="B30" s="289" t="s">
        <v>444</v>
      </c>
      <c r="C30" s="290" t="s">
        <v>445</v>
      </c>
      <c r="D30" s="291">
        <v>400</v>
      </c>
      <c r="E30" s="291"/>
      <c r="F30" s="292">
        <f t="shared" ref="F30:F52" si="12">D30+E30</f>
        <v>400</v>
      </c>
      <c r="G30" s="292">
        <f t="shared" ref="G30:G52" si="13">F30*12</f>
        <v>4800</v>
      </c>
      <c r="H30" s="292">
        <f t="shared" ref="H30:H52" si="14">F30</f>
        <v>400</v>
      </c>
      <c r="I30" s="292">
        <f t="shared" ref="I30:I52" si="15">F30*0.075</f>
        <v>30</v>
      </c>
      <c r="J30" s="270">
        <f>F30*0.0775</f>
        <v>31</v>
      </c>
      <c r="K30" s="291"/>
      <c r="L30" s="292">
        <f t="shared" ref="L30:L52" si="16">F30*0.001</f>
        <v>0.4</v>
      </c>
      <c r="M30" s="292">
        <f t="shared" ref="M30:M52" si="17">I30+J30+K30+L30</f>
        <v>61.4</v>
      </c>
      <c r="N30" s="292">
        <f t="shared" ref="N30:N52" si="18">M30*12</f>
        <v>736.8</v>
      </c>
      <c r="O30" s="292">
        <f t="shared" ref="O30:O52" si="19">G30+N30</f>
        <v>5536.8</v>
      </c>
      <c r="P30" s="293" t="s">
        <v>408</v>
      </c>
    </row>
    <row r="31" spans="1:16" s="294" customFormat="1" ht="33.75" customHeight="1" x14ac:dyDescent="0.3">
      <c r="A31" s="288">
        <v>2</v>
      </c>
      <c r="B31" s="289" t="s">
        <v>619</v>
      </c>
      <c r="C31" s="295" t="s">
        <v>446</v>
      </c>
      <c r="D31" s="291">
        <v>350</v>
      </c>
      <c r="E31" s="291"/>
      <c r="F31" s="292">
        <f t="shared" si="12"/>
        <v>350</v>
      </c>
      <c r="G31" s="292">
        <f t="shared" si="13"/>
        <v>4200</v>
      </c>
      <c r="H31" s="292">
        <f t="shared" si="14"/>
        <v>350</v>
      </c>
      <c r="I31" s="292">
        <f t="shared" si="15"/>
        <v>26.25</v>
      </c>
      <c r="J31" s="270">
        <f>F31*0.0775</f>
        <v>27.125</v>
      </c>
      <c r="K31" s="291"/>
      <c r="L31" s="292">
        <f t="shared" si="16"/>
        <v>0.35000000000000003</v>
      </c>
      <c r="M31" s="292">
        <f t="shared" si="17"/>
        <v>53.725000000000001</v>
      </c>
      <c r="N31" s="292">
        <f t="shared" si="18"/>
        <v>644.70000000000005</v>
      </c>
      <c r="O31" s="292">
        <f t="shared" si="19"/>
        <v>4844.7</v>
      </c>
      <c r="P31" s="293" t="s">
        <v>408</v>
      </c>
    </row>
    <row r="32" spans="1:16" s="294" customFormat="1" ht="30" customHeight="1" x14ac:dyDescent="0.3">
      <c r="A32" s="288">
        <v>3</v>
      </c>
      <c r="B32" s="289" t="s">
        <v>447</v>
      </c>
      <c r="C32" s="296" t="s">
        <v>448</v>
      </c>
      <c r="D32" s="291">
        <v>400</v>
      </c>
      <c r="E32" s="291"/>
      <c r="F32" s="292">
        <f t="shared" si="12"/>
        <v>400</v>
      </c>
      <c r="G32" s="292">
        <f t="shared" si="13"/>
        <v>4800</v>
      </c>
      <c r="H32" s="292">
        <f t="shared" si="14"/>
        <v>400</v>
      </c>
      <c r="I32" s="292">
        <f t="shared" si="15"/>
        <v>30</v>
      </c>
      <c r="J32" s="270">
        <f>F32*0.0775</f>
        <v>31</v>
      </c>
      <c r="K32" s="291"/>
      <c r="L32" s="292">
        <f t="shared" si="16"/>
        <v>0.4</v>
      </c>
      <c r="M32" s="292">
        <f t="shared" si="17"/>
        <v>61.4</v>
      </c>
      <c r="N32" s="292">
        <f t="shared" si="18"/>
        <v>736.8</v>
      </c>
      <c r="O32" s="292">
        <f t="shared" si="19"/>
        <v>5536.8</v>
      </c>
      <c r="P32" s="293" t="s">
        <v>408</v>
      </c>
    </row>
    <row r="33" spans="1:16" s="294" customFormat="1" ht="21.95" customHeight="1" x14ac:dyDescent="0.3">
      <c r="A33" s="288">
        <v>4</v>
      </c>
      <c r="B33" s="289" t="s">
        <v>449</v>
      </c>
      <c r="C33" s="290" t="s">
        <v>450</v>
      </c>
      <c r="D33" s="291">
        <v>600</v>
      </c>
      <c r="E33" s="291"/>
      <c r="F33" s="292">
        <f t="shared" si="12"/>
        <v>600</v>
      </c>
      <c r="G33" s="292">
        <f t="shared" si="13"/>
        <v>7200</v>
      </c>
      <c r="H33" s="292">
        <f t="shared" si="14"/>
        <v>600</v>
      </c>
      <c r="I33" s="292">
        <f t="shared" si="15"/>
        <v>45</v>
      </c>
      <c r="J33" s="292"/>
      <c r="K33" s="291">
        <f>F33*0.07</f>
        <v>42.000000000000007</v>
      </c>
      <c r="L33" s="292">
        <f t="shared" si="16"/>
        <v>0.6</v>
      </c>
      <c r="M33" s="292">
        <f t="shared" si="17"/>
        <v>87.6</v>
      </c>
      <c r="N33" s="292">
        <f t="shared" si="18"/>
        <v>1051.1999999999998</v>
      </c>
      <c r="O33" s="292">
        <f t="shared" si="19"/>
        <v>8251.2000000000007</v>
      </c>
      <c r="P33" s="293" t="s">
        <v>408</v>
      </c>
    </row>
    <row r="34" spans="1:16" s="294" customFormat="1" ht="21.95" customHeight="1" x14ac:dyDescent="0.3">
      <c r="A34" s="288">
        <v>5</v>
      </c>
      <c r="B34" s="289" t="s">
        <v>532</v>
      </c>
      <c r="C34" s="290" t="s">
        <v>531</v>
      </c>
      <c r="D34" s="291">
        <v>400</v>
      </c>
      <c r="E34" s="291"/>
      <c r="F34" s="292">
        <f t="shared" si="12"/>
        <v>400</v>
      </c>
      <c r="G34" s="292">
        <f t="shared" si="13"/>
        <v>4800</v>
      </c>
      <c r="H34" s="292">
        <f t="shared" si="14"/>
        <v>400</v>
      </c>
      <c r="I34" s="292">
        <f t="shared" si="15"/>
        <v>30</v>
      </c>
      <c r="J34" s="270">
        <f t="shared" ref="J34:J52" si="20">F34*0.0775</f>
        <v>31</v>
      </c>
      <c r="K34" s="291"/>
      <c r="L34" s="292">
        <f t="shared" si="16"/>
        <v>0.4</v>
      </c>
      <c r="M34" s="292">
        <f t="shared" si="17"/>
        <v>61.4</v>
      </c>
      <c r="N34" s="292">
        <f t="shared" si="18"/>
        <v>736.8</v>
      </c>
      <c r="O34" s="292">
        <f t="shared" si="19"/>
        <v>5536.8</v>
      </c>
      <c r="P34" s="293"/>
    </row>
    <row r="35" spans="1:16" s="294" customFormat="1" ht="21.95" customHeight="1" x14ac:dyDescent="0.3">
      <c r="A35" s="288">
        <v>6</v>
      </c>
      <c r="B35" s="289" t="s">
        <v>533</v>
      </c>
      <c r="C35" s="290" t="s">
        <v>456</v>
      </c>
      <c r="D35" s="291">
        <v>300</v>
      </c>
      <c r="E35" s="291"/>
      <c r="F35" s="292">
        <f t="shared" si="12"/>
        <v>300</v>
      </c>
      <c r="G35" s="292">
        <f t="shared" si="13"/>
        <v>3600</v>
      </c>
      <c r="H35" s="292">
        <f t="shared" si="14"/>
        <v>300</v>
      </c>
      <c r="I35" s="292">
        <f t="shared" si="15"/>
        <v>22.5</v>
      </c>
      <c r="J35" s="270">
        <f t="shared" si="20"/>
        <v>23.25</v>
      </c>
      <c r="K35" s="291"/>
      <c r="L35" s="292">
        <f t="shared" si="16"/>
        <v>0.3</v>
      </c>
      <c r="M35" s="292">
        <f t="shared" si="17"/>
        <v>46.05</v>
      </c>
      <c r="N35" s="292">
        <f t="shared" si="18"/>
        <v>552.59999999999991</v>
      </c>
      <c r="O35" s="292">
        <f t="shared" si="19"/>
        <v>4152.6000000000004</v>
      </c>
      <c r="P35" s="293"/>
    </row>
    <row r="36" spans="1:16" s="294" customFormat="1" ht="21.95" customHeight="1" x14ac:dyDescent="0.3">
      <c r="A36" s="288">
        <v>7</v>
      </c>
      <c r="B36" s="289" t="s">
        <v>457</v>
      </c>
      <c r="C36" s="296" t="s">
        <v>456</v>
      </c>
      <c r="D36" s="291">
        <v>500</v>
      </c>
      <c r="E36" s="291"/>
      <c r="F36" s="292">
        <f t="shared" si="12"/>
        <v>500</v>
      </c>
      <c r="G36" s="292">
        <f t="shared" si="13"/>
        <v>6000</v>
      </c>
      <c r="H36" s="292">
        <f t="shared" si="14"/>
        <v>500</v>
      </c>
      <c r="I36" s="292">
        <f t="shared" si="15"/>
        <v>37.5</v>
      </c>
      <c r="J36" s="270">
        <f t="shared" si="20"/>
        <v>38.75</v>
      </c>
      <c r="K36" s="291"/>
      <c r="L36" s="292">
        <f t="shared" si="16"/>
        <v>0.5</v>
      </c>
      <c r="M36" s="292">
        <f t="shared" si="17"/>
        <v>76.75</v>
      </c>
      <c r="N36" s="292">
        <f t="shared" si="18"/>
        <v>921</v>
      </c>
      <c r="O36" s="292">
        <f t="shared" si="19"/>
        <v>6921</v>
      </c>
      <c r="P36" s="293" t="s">
        <v>408</v>
      </c>
    </row>
    <row r="37" spans="1:16" s="294" customFormat="1" ht="21.95" customHeight="1" x14ac:dyDescent="0.3">
      <c r="A37" s="288">
        <v>8</v>
      </c>
      <c r="B37" s="289" t="s">
        <v>534</v>
      </c>
      <c r="C37" s="290" t="s">
        <v>535</v>
      </c>
      <c r="D37" s="291">
        <v>350</v>
      </c>
      <c r="E37" s="291"/>
      <c r="F37" s="292">
        <f t="shared" si="12"/>
        <v>350</v>
      </c>
      <c r="G37" s="292">
        <f t="shared" si="13"/>
        <v>4200</v>
      </c>
      <c r="H37" s="292">
        <f t="shared" si="14"/>
        <v>350</v>
      </c>
      <c r="I37" s="292">
        <f t="shared" si="15"/>
        <v>26.25</v>
      </c>
      <c r="J37" s="270">
        <f t="shared" si="20"/>
        <v>27.125</v>
      </c>
      <c r="K37" s="291"/>
      <c r="L37" s="292">
        <f t="shared" si="16"/>
        <v>0.35000000000000003</v>
      </c>
      <c r="M37" s="292">
        <f t="shared" si="17"/>
        <v>53.725000000000001</v>
      </c>
      <c r="N37" s="292">
        <f t="shared" si="18"/>
        <v>644.70000000000005</v>
      </c>
      <c r="O37" s="292">
        <f t="shared" si="19"/>
        <v>4844.7</v>
      </c>
      <c r="P37" s="293"/>
    </row>
    <row r="38" spans="1:16" s="294" customFormat="1" ht="32.25" customHeight="1" x14ac:dyDescent="0.3">
      <c r="A38" s="288">
        <v>9</v>
      </c>
      <c r="B38" s="402" t="s">
        <v>536</v>
      </c>
      <c r="C38" s="269" t="s">
        <v>446</v>
      </c>
      <c r="D38" s="403">
        <v>300</v>
      </c>
      <c r="E38" s="291"/>
      <c r="F38" s="292">
        <f t="shared" si="12"/>
        <v>300</v>
      </c>
      <c r="G38" s="292">
        <f t="shared" si="13"/>
        <v>3600</v>
      </c>
      <c r="H38" s="292">
        <f t="shared" si="14"/>
        <v>300</v>
      </c>
      <c r="I38" s="292">
        <f t="shared" si="15"/>
        <v>22.5</v>
      </c>
      <c r="J38" s="270">
        <f t="shared" si="20"/>
        <v>23.25</v>
      </c>
      <c r="K38" s="291"/>
      <c r="L38" s="292">
        <f t="shared" si="16"/>
        <v>0.3</v>
      </c>
      <c r="M38" s="292">
        <f t="shared" si="17"/>
        <v>46.05</v>
      </c>
      <c r="N38" s="292">
        <f t="shared" si="18"/>
        <v>552.59999999999991</v>
      </c>
      <c r="O38" s="292">
        <f t="shared" si="19"/>
        <v>4152.6000000000004</v>
      </c>
      <c r="P38" s="293"/>
    </row>
    <row r="39" spans="1:16" s="294" customFormat="1" ht="32.25" customHeight="1" x14ac:dyDescent="0.3">
      <c r="A39" s="288">
        <v>10</v>
      </c>
      <c r="B39" s="404" t="s">
        <v>537</v>
      </c>
      <c r="C39" s="269" t="s">
        <v>538</v>
      </c>
      <c r="D39" s="403">
        <v>450</v>
      </c>
      <c r="E39" s="291"/>
      <c r="F39" s="292">
        <f t="shared" si="12"/>
        <v>450</v>
      </c>
      <c r="G39" s="292">
        <f t="shared" si="13"/>
        <v>5400</v>
      </c>
      <c r="H39" s="292">
        <f t="shared" si="14"/>
        <v>450</v>
      </c>
      <c r="I39" s="292">
        <f t="shared" si="15"/>
        <v>33.75</v>
      </c>
      <c r="J39" s="270">
        <f t="shared" si="20"/>
        <v>34.875</v>
      </c>
      <c r="K39" s="291"/>
      <c r="L39" s="292">
        <f t="shared" si="16"/>
        <v>0.45</v>
      </c>
      <c r="M39" s="292">
        <f t="shared" si="17"/>
        <v>69.075000000000003</v>
      </c>
      <c r="N39" s="292">
        <f t="shared" si="18"/>
        <v>828.90000000000009</v>
      </c>
      <c r="O39" s="292">
        <f t="shared" si="19"/>
        <v>6228.9</v>
      </c>
      <c r="P39" s="293"/>
    </row>
    <row r="40" spans="1:16" s="294" customFormat="1" ht="32.25" customHeight="1" x14ac:dyDescent="0.3">
      <c r="A40" s="288">
        <v>11</v>
      </c>
      <c r="B40" s="402" t="s">
        <v>539</v>
      </c>
      <c r="C40" s="269" t="s">
        <v>540</v>
      </c>
      <c r="D40" s="403">
        <v>331</v>
      </c>
      <c r="E40" s="291"/>
      <c r="F40" s="292">
        <f t="shared" si="12"/>
        <v>331</v>
      </c>
      <c r="G40" s="292">
        <f t="shared" si="13"/>
        <v>3972</v>
      </c>
      <c r="H40" s="292">
        <f t="shared" si="14"/>
        <v>331</v>
      </c>
      <c r="I40" s="292">
        <f t="shared" si="15"/>
        <v>24.824999999999999</v>
      </c>
      <c r="J40" s="270">
        <f t="shared" si="20"/>
        <v>25.6525</v>
      </c>
      <c r="K40" s="291"/>
      <c r="L40" s="292">
        <f t="shared" si="16"/>
        <v>0.33100000000000002</v>
      </c>
      <c r="M40" s="292">
        <f t="shared" si="17"/>
        <v>50.808500000000002</v>
      </c>
      <c r="N40" s="292">
        <f t="shared" si="18"/>
        <v>609.702</v>
      </c>
      <c r="O40" s="292">
        <f t="shared" si="19"/>
        <v>4581.7020000000002</v>
      </c>
      <c r="P40" s="293"/>
    </row>
    <row r="41" spans="1:16" s="294" customFormat="1" ht="32.25" customHeight="1" x14ac:dyDescent="0.3">
      <c r="A41" s="288">
        <v>12</v>
      </c>
      <c r="B41" s="402" t="s">
        <v>541</v>
      </c>
      <c r="C41" s="290" t="s">
        <v>535</v>
      </c>
      <c r="D41" s="403">
        <v>325</v>
      </c>
      <c r="E41" s="291"/>
      <c r="F41" s="292">
        <f t="shared" si="12"/>
        <v>325</v>
      </c>
      <c r="G41" s="292">
        <f t="shared" si="13"/>
        <v>3900</v>
      </c>
      <c r="H41" s="292">
        <f t="shared" si="14"/>
        <v>325</v>
      </c>
      <c r="I41" s="292">
        <f t="shared" si="15"/>
        <v>24.375</v>
      </c>
      <c r="J41" s="270">
        <f t="shared" si="20"/>
        <v>25.1875</v>
      </c>
      <c r="K41" s="291"/>
      <c r="L41" s="292">
        <f t="shared" si="16"/>
        <v>0.32500000000000001</v>
      </c>
      <c r="M41" s="292">
        <f t="shared" si="17"/>
        <v>49.887500000000003</v>
      </c>
      <c r="N41" s="292">
        <f t="shared" si="18"/>
        <v>598.65000000000009</v>
      </c>
      <c r="O41" s="292">
        <f t="shared" si="19"/>
        <v>4498.6499999999996</v>
      </c>
      <c r="P41" s="293"/>
    </row>
    <row r="42" spans="1:16" s="294" customFormat="1" ht="32.25" customHeight="1" x14ac:dyDescent="0.3">
      <c r="A42" s="288"/>
      <c r="B42" s="405" t="s">
        <v>588</v>
      </c>
      <c r="C42" s="290" t="s">
        <v>535</v>
      </c>
      <c r="D42" s="403">
        <v>300</v>
      </c>
      <c r="E42" s="291"/>
      <c r="F42" s="292">
        <f t="shared" si="12"/>
        <v>300</v>
      </c>
      <c r="G42" s="292">
        <f t="shared" si="13"/>
        <v>3600</v>
      </c>
      <c r="H42" s="292">
        <f t="shared" si="14"/>
        <v>300</v>
      </c>
      <c r="I42" s="292">
        <f t="shared" si="15"/>
        <v>22.5</v>
      </c>
      <c r="J42" s="270">
        <f t="shared" si="20"/>
        <v>23.25</v>
      </c>
      <c r="K42" s="291"/>
      <c r="L42" s="292">
        <f t="shared" si="16"/>
        <v>0.3</v>
      </c>
      <c r="M42" s="292">
        <f t="shared" si="17"/>
        <v>46.05</v>
      </c>
      <c r="N42" s="292">
        <f t="shared" si="18"/>
        <v>552.59999999999991</v>
      </c>
      <c r="O42" s="292">
        <f t="shared" si="19"/>
        <v>4152.6000000000004</v>
      </c>
      <c r="P42" s="293"/>
    </row>
    <row r="43" spans="1:16" s="294" customFormat="1" ht="32.25" customHeight="1" x14ac:dyDescent="0.3">
      <c r="A43" s="288">
        <v>13</v>
      </c>
      <c r="B43" s="402" t="s">
        <v>542</v>
      </c>
      <c r="C43" s="269" t="s">
        <v>459</v>
      </c>
      <c r="D43" s="403">
        <v>350</v>
      </c>
      <c r="E43" s="291"/>
      <c r="F43" s="292">
        <f t="shared" si="12"/>
        <v>350</v>
      </c>
      <c r="G43" s="292">
        <f t="shared" si="13"/>
        <v>4200</v>
      </c>
      <c r="H43" s="292">
        <f t="shared" si="14"/>
        <v>350</v>
      </c>
      <c r="I43" s="292">
        <f t="shared" si="15"/>
        <v>26.25</v>
      </c>
      <c r="J43" s="270">
        <f t="shared" si="20"/>
        <v>27.125</v>
      </c>
      <c r="K43" s="291"/>
      <c r="L43" s="292">
        <f t="shared" si="16"/>
        <v>0.35000000000000003</v>
      </c>
      <c r="M43" s="292">
        <f t="shared" si="17"/>
        <v>53.725000000000001</v>
      </c>
      <c r="N43" s="292">
        <f t="shared" si="18"/>
        <v>644.70000000000005</v>
      </c>
      <c r="O43" s="292">
        <f t="shared" si="19"/>
        <v>4844.7</v>
      </c>
      <c r="P43" s="293" t="s">
        <v>408</v>
      </c>
    </row>
    <row r="44" spans="1:16" s="294" customFormat="1" ht="32.25" customHeight="1" x14ac:dyDescent="0.3">
      <c r="A44" s="288">
        <v>14</v>
      </c>
      <c r="B44" s="402" t="s">
        <v>543</v>
      </c>
      <c r="C44" s="269" t="s">
        <v>540</v>
      </c>
      <c r="D44" s="403">
        <v>300</v>
      </c>
      <c r="E44" s="291"/>
      <c r="F44" s="292">
        <f t="shared" si="12"/>
        <v>300</v>
      </c>
      <c r="G44" s="292">
        <f t="shared" si="13"/>
        <v>3600</v>
      </c>
      <c r="H44" s="292">
        <f t="shared" si="14"/>
        <v>300</v>
      </c>
      <c r="I44" s="292">
        <f t="shared" si="15"/>
        <v>22.5</v>
      </c>
      <c r="J44" s="270">
        <f t="shared" si="20"/>
        <v>23.25</v>
      </c>
      <c r="K44" s="291"/>
      <c r="L44" s="292">
        <f t="shared" si="16"/>
        <v>0.3</v>
      </c>
      <c r="M44" s="292">
        <f t="shared" si="17"/>
        <v>46.05</v>
      </c>
      <c r="N44" s="292">
        <f t="shared" si="18"/>
        <v>552.59999999999991</v>
      </c>
      <c r="O44" s="292">
        <f t="shared" si="19"/>
        <v>4152.6000000000004</v>
      </c>
      <c r="P44" s="293"/>
    </row>
    <row r="45" spans="1:16" s="294" customFormat="1" ht="32.25" customHeight="1" x14ac:dyDescent="0.3">
      <c r="A45" s="412"/>
      <c r="B45" s="269"/>
      <c r="C45" s="269" t="s">
        <v>468</v>
      </c>
      <c r="D45" s="272">
        <v>400</v>
      </c>
      <c r="E45" s="272"/>
      <c r="F45" s="280">
        <f t="shared" si="12"/>
        <v>400</v>
      </c>
      <c r="G45" s="280">
        <f t="shared" si="13"/>
        <v>4800</v>
      </c>
      <c r="H45" s="543">
        <f t="shared" si="14"/>
        <v>400</v>
      </c>
      <c r="I45" s="292">
        <f t="shared" si="15"/>
        <v>30</v>
      </c>
      <c r="J45" s="272">
        <f t="shared" si="20"/>
        <v>31</v>
      </c>
      <c r="K45" s="291"/>
      <c r="L45" s="292">
        <f t="shared" si="16"/>
        <v>0.4</v>
      </c>
      <c r="M45" s="292">
        <f t="shared" si="17"/>
        <v>61.4</v>
      </c>
      <c r="N45" s="292">
        <f t="shared" si="18"/>
        <v>736.8</v>
      </c>
      <c r="O45" s="292">
        <f t="shared" si="19"/>
        <v>5536.8</v>
      </c>
      <c r="P45" s="413"/>
    </row>
    <row r="46" spans="1:16" s="294" customFormat="1" ht="32.25" customHeight="1" x14ac:dyDescent="0.3">
      <c r="A46" s="412"/>
      <c r="B46" s="271"/>
      <c r="C46" s="269" t="s">
        <v>596</v>
      </c>
      <c r="D46" s="272">
        <v>700</v>
      </c>
      <c r="E46" s="272"/>
      <c r="F46" s="280">
        <f t="shared" si="12"/>
        <v>700</v>
      </c>
      <c r="G46" s="280">
        <f t="shared" si="13"/>
        <v>8400</v>
      </c>
      <c r="H46" s="543">
        <f t="shared" si="14"/>
        <v>700</v>
      </c>
      <c r="I46" s="292">
        <f t="shared" si="15"/>
        <v>52.5</v>
      </c>
      <c r="J46" s="272">
        <f t="shared" si="20"/>
        <v>54.25</v>
      </c>
      <c r="K46" s="291"/>
      <c r="L46" s="292">
        <f t="shared" si="16"/>
        <v>0.70000000000000007</v>
      </c>
      <c r="M46" s="292">
        <f t="shared" si="17"/>
        <v>107.45</v>
      </c>
      <c r="N46" s="292">
        <f t="shared" si="18"/>
        <v>1289.4000000000001</v>
      </c>
      <c r="O46" s="292">
        <f t="shared" si="19"/>
        <v>9689.4</v>
      </c>
      <c r="P46" s="413"/>
    </row>
    <row r="47" spans="1:16" s="294" customFormat="1" ht="32.25" customHeight="1" x14ac:dyDescent="0.3">
      <c r="A47" s="412"/>
      <c r="B47" s="271"/>
      <c r="C47" s="269" t="s">
        <v>618</v>
      </c>
      <c r="D47" s="272">
        <v>800</v>
      </c>
      <c r="E47" s="272"/>
      <c r="F47" s="280">
        <f t="shared" si="12"/>
        <v>800</v>
      </c>
      <c r="G47" s="280">
        <f t="shared" si="13"/>
        <v>9600</v>
      </c>
      <c r="H47" s="543">
        <f t="shared" si="14"/>
        <v>800</v>
      </c>
      <c r="I47" s="292">
        <f t="shared" si="15"/>
        <v>60</v>
      </c>
      <c r="J47" s="272">
        <f t="shared" si="20"/>
        <v>62</v>
      </c>
      <c r="K47" s="291"/>
      <c r="L47" s="292">
        <f t="shared" si="16"/>
        <v>0.8</v>
      </c>
      <c r="M47" s="292">
        <f t="shared" si="17"/>
        <v>122.8</v>
      </c>
      <c r="N47" s="292">
        <f t="shared" si="18"/>
        <v>1473.6</v>
      </c>
      <c r="O47" s="292">
        <f t="shared" si="19"/>
        <v>11073.6</v>
      </c>
      <c r="P47" s="413"/>
    </row>
    <row r="48" spans="1:16" s="294" customFormat="1" ht="32.25" customHeight="1" x14ac:dyDescent="0.3">
      <c r="A48" s="412"/>
      <c r="C48" s="269" t="s">
        <v>593</v>
      </c>
      <c r="D48" s="272">
        <v>600</v>
      </c>
      <c r="E48" s="272"/>
      <c r="F48" s="280">
        <f t="shared" si="12"/>
        <v>600</v>
      </c>
      <c r="G48" s="280">
        <f t="shared" si="13"/>
        <v>7200</v>
      </c>
      <c r="H48" s="543">
        <f t="shared" si="14"/>
        <v>600</v>
      </c>
      <c r="I48" s="292">
        <f t="shared" si="15"/>
        <v>45</v>
      </c>
      <c r="J48" s="272">
        <f t="shared" si="20"/>
        <v>46.5</v>
      </c>
      <c r="K48" s="291"/>
      <c r="L48" s="292">
        <f t="shared" si="16"/>
        <v>0.6</v>
      </c>
      <c r="M48" s="292">
        <f t="shared" si="17"/>
        <v>92.1</v>
      </c>
      <c r="N48" s="292">
        <f t="shared" si="18"/>
        <v>1105.1999999999998</v>
      </c>
      <c r="O48" s="292">
        <f t="shared" si="19"/>
        <v>8305.2000000000007</v>
      </c>
      <c r="P48" s="413"/>
    </row>
    <row r="49" spans="1:16" s="294" customFormat="1" ht="32.25" customHeight="1" x14ac:dyDescent="0.3">
      <c r="A49" s="412"/>
      <c r="B49" s="271"/>
      <c r="C49" s="269" t="s">
        <v>594</v>
      </c>
      <c r="D49" s="272">
        <v>300</v>
      </c>
      <c r="E49" s="272"/>
      <c r="F49" s="280">
        <f t="shared" si="12"/>
        <v>300</v>
      </c>
      <c r="G49" s="280">
        <f t="shared" si="13"/>
        <v>3600</v>
      </c>
      <c r="H49" s="543">
        <f t="shared" si="14"/>
        <v>300</v>
      </c>
      <c r="I49" s="292">
        <f t="shared" si="15"/>
        <v>22.5</v>
      </c>
      <c r="J49" s="272">
        <f t="shared" si="20"/>
        <v>23.25</v>
      </c>
      <c r="K49" s="291"/>
      <c r="L49" s="292">
        <f t="shared" si="16"/>
        <v>0.3</v>
      </c>
      <c r="M49" s="292">
        <f t="shared" si="17"/>
        <v>46.05</v>
      </c>
      <c r="N49" s="292">
        <f t="shared" si="18"/>
        <v>552.59999999999991</v>
      </c>
      <c r="O49" s="292">
        <f t="shared" si="19"/>
        <v>4152.6000000000004</v>
      </c>
      <c r="P49" s="413"/>
    </row>
    <row r="50" spans="1:16" s="294" customFormat="1" ht="32.25" customHeight="1" x14ac:dyDescent="0.3">
      <c r="A50" s="412"/>
      <c r="B50" s="271"/>
      <c r="C50" s="269" t="s">
        <v>594</v>
      </c>
      <c r="D50" s="272">
        <v>300</v>
      </c>
      <c r="E50" s="272"/>
      <c r="F50" s="280">
        <f t="shared" si="12"/>
        <v>300</v>
      </c>
      <c r="G50" s="280">
        <f t="shared" si="13"/>
        <v>3600</v>
      </c>
      <c r="H50" s="543">
        <f t="shared" si="14"/>
        <v>300</v>
      </c>
      <c r="I50" s="292">
        <f t="shared" si="15"/>
        <v>22.5</v>
      </c>
      <c r="J50" s="272">
        <f t="shared" si="20"/>
        <v>23.25</v>
      </c>
      <c r="K50" s="291"/>
      <c r="L50" s="292">
        <f t="shared" si="16"/>
        <v>0.3</v>
      </c>
      <c r="M50" s="292">
        <f t="shared" si="17"/>
        <v>46.05</v>
      </c>
      <c r="N50" s="292">
        <f t="shared" si="18"/>
        <v>552.59999999999991</v>
      </c>
      <c r="O50" s="292">
        <f t="shared" si="19"/>
        <v>4152.6000000000004</v>
      </c>
      <c r="P50" s="413"/>
    </row>
    <row r="51" spans="1:16" s="294" customFormat="1" ht="32.25" customHeight="1" x14ac:dyDescent="0.3">
      <c r="A51" s="412"/>
      <c r="B51" s="402"/>
      <c r="C51" s="410" t="s">
        <v>595</v>
      </c>
      <c r="D51" s="411">
        <v>350</v>
      </c>
      <c r="E51" s="272"/>
      <c r="F51" s="280">
        <f t="shared" si="12"/>
        <v>350</v>
      </c>
      <c r="G51" s="280">
        <f t="shared" si="13"/>
        <v>4200</v>
      </c>
      <c r="H51" s="543">
        <f t="shared" si="14"/>
        <v>350</v>
      </c>
      <c r="I51" s="292">
        <f t="shared" si="15"/>
        <v>26.25</v>
      </c>
      <c r="J51" s="272">
        <f t="shared" si="20"/>
        <v>27.125</v>
      </c>
      <c r="K51" s="291"/>
      <c r="L51" s="292">
        <f t="shared" si="16"/>
        <v>0.35000000000000003</v>
      </c>
      <c r="M51" s="292">
        <f t="shared" si="17"/>
        <v>53.725000000000001</v>
      </c>
      <c r="N51" s="292">
        <f t="shared" si="18"/>
        <v>644.70000000000005</v>
      </c>
      <c r="O51" s="292">
        <f t="shared" si="19"/>
        <v>4844.7</v>
      </c>
      <c r="P51" s="413"/>
    </row>
    <row r="52" spans="1:16" s="294" customFormat="1" ht="32.25" customHeight="1" x14ac:dyDescent="0.3">
      <c r="A52" s="412"/>
      <c r="B52" s="402"/>
      <c r="C52" s="269" t="s">
        <v>617</v>
      </c>
      <c r="D52" s="272">
        <v>300</v>
      </c>
      <c r="E52" s="272"/>
      <c r="F52" s="280">
        <f t="shared" si="12"/>
        <v>300</v>
      </c>
      <c r="G52" s="280">
        <f t="shared" si="13"/>
        <v>3600</v>
      </c>
      <c r="H52" s="543">
        <f t="shared" si="14"/>
        <v>300</v>
      </c>
      <c r="I52" s="292">
        <f t="shared" si="15"/>
        <v>22.5</v>
      </c>
      <c r="J52" s="272">
        <f t="shared" si="20"/>
        <v>23.25</v>
      </c>
      <c r="K52" s="291"/>
      <c r="L52" s="292">
        <f t="shared" si="16"/>
        <v>0.3</v>
      </c>
      <c r="M52" s="292">
        <f t="shared" si="17"/>
        <v>46.05</v>
      </c>
      <c r="N52" s="292">
        <f t="shared" si="18"/>
        <v>552.59999999999991</v>
      </c>
      <c r="O52" s="292">
        <f t="shared" si="19"/>
        <v>4152.6000000000004</v>
      </c>
      <c r="P52" s="413"/>
    </row>
    <row r="53" spans="1:16" s="294" customFormat="1" ht="32.25" customHeight="1" x14ac:dyDescent="0.3">
      <c r="A53" s="412"/>
      <c r="B53" s="287" t="s">
        <v>466</v>
      </c>
      <c r="C53" s="269"/>
      <c r="D53" s="277">
        <f>SUM(D30:D52)</f>
        <v>9406</v>
      </c>
      <c r="E53" s="277">
        <f>SUM(E30:E44)</f>
        <v>0</v>
      </c>
      <c r="F53" s="277">
        <f t="shared" ref="F53:O53" si="21">SUM(F30:F52)</f>
        <v>9406</v>
      </c>
      <c r="G53" s="277">
        <f t="shared" si="21"/>
        <v>112872</v>
      </c>
      <c r="H53" s="277">
        <f t="shared" si="21"/>
        <v>9406</v>
      </c>
      <c r="I53" s="277">
        <f t="shared" si="21"/>
        <v>705.45</v>
      </c>
      <c r="J53" s="277">
        <f t="shared" si="21"/>
        <v>682.46499999999992</v>
      </c>
      <c r="K53" s="277">
        <f t="shared" si="21"/>
        <v>42.000000000000007</v>
      </c>
      <c r="L53" s="277">
        <f t="shared" si="21"/>
        <v>9.4060000000000024</v>
      </c>
      <c r="M53" s="277">
        <f t="shared" si="21"/>
        <v>1439.3209999999997</v>
      </c>
      <c r="N53" s="277">
        <f t="shared" si="21"/>
        <v>17271.851999999999</v>
      </c>
      <c r="O53" s="277">
        <f t="shared" si="21"/>
        <v>130143.85200000001</v>
      </c>
      <c r="P53" s="413"/>
    </row>
    <row r="54" spans="1:16" x14ac:dyDescent="0.3">
      <c r="A54" s="662" t="s">
        <v>467</v>
      </c>
      <c r="B54" s="663"/>
      <c r="C54" s="663"/>
      <c r="D54" s="297">
        <f t="shared" ref="D54:O54" si="22">D6+D23+D29+D53</f>
        <v>25924.89</v>
      </c>
      <c r="E54" s="297">
        <f t="shared" si="22"/>
        <v>350</v>
      </c>
      <c r="F54" s="297">
        <f t="shared" si="22"/>
        <v>26274.89</v>
      </c>
      <c r="G54" s="297">
        <f t="shared" si="22"/>
        <v>315298.68</v>
      </c>
      <c r="H54" s="297">
        <f t="shared" si="22"/>
        <v>26274.89</v>
      </c>
      <c r="I54" s="297">
        <f t="shared" si="22"/>
        <v>1878.7417499999999</v>
      </c>
      <c r="J54" s="297">
        <f t="shared" si="22"/>
        <v>1943.3039749999998</v>
      </c>
      <c r="K54" s="297">
        <f t="shared" si="22"/>
        <v>84.000000000000014</v>
      </c>
      <c r="L54" s="297">
        <f t="shared" si="22"/>
        <v>26.274890000000003</v>
      </c>
      <c r="M54" s="297">
        <f t="shared" si="22"/>
        <v>3932.3206149999996</v>
      </c>
      <c r="N54" s="297">
        <f t="shared" si="22"/>
        <v>47187.847379999999</v>
      </c>
      <c r="O54" s="297">
        <f t="shared" si="22"/>
        <v>356949.72738</v>
      </c>
      <c r="P54" s="298"/>
    </row>
    <row r="55" spans="1:16" x14ac:dyDescent="0.3">
      <c r="A55" s="428"/>
      <c r="B55" s="429"/>
      <c r="C55" s="297" t="s">
        <v>616</v>
      </c>
      <c r="D55" s="534"/>
      <c r="E55" s="297"/>
      <c r="F55" s="297">
        <f>F54*12</f>
        <v>315298.68</v>
      </c>
      <c r="G55" s="297"/>
      <c r="H55" s="297"/>
      <c r="I55" s="297">
        <f>I54*12</f>
        <v>22544.900999999998</v>
      </c>
      <c r="J55" s="297">
        <f>J54*12</f>
        <v>23319.647699999998</v>
      </c>
      <c r="K55" s="297">
        <f>K54*12</f>
        <v>1008.0000000000002</v>
      </c>
      <c r="L55" s="297">
        <f>L54*12</f>
        <v>315.29868000000005</v>
      </c>
      <c r="M55" s="297"/>
      <c r="N55" s="297"/>
      <c r="O55" s="297"/>
      <c r="P55" s="298"/>
    </row>
    <row r="56" spans="1:16" x14ac:dyDescent="0.3">
      <c r="A56" s="533"/>
      <c r="B56" s="532"/>
      <c r="C56" s="532"/>
      <c r="D56" s="297"/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O56" s="297"/>
      <c r="P56" s="298"/>
    </row>
    <row r="57" spans="1:16" x14ac:dyDescent="0.3">
      <c r="A57" s="533"/>
      <c r="B57" s="532"/>
      <c r="C57" s="532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8"/>
    </row>
    <row r="58" spans="1:16" x14ac:dyDescent="0.3">
      <c r="A58" s="533"/>
      <c r="B58" s="532"/>
      <c r="C58" s="532"/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8"/>
    </row>
    <row r="59" spans="1:16" x14ac:dyDescent="0.3">
      <c r="A59" s="533"/>
      <c r="B59" s="532"/>
      <c r="C59" s="532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8"/>
    </row>
    <row r="60" spans="1:16" x14ac:dyDescent="0.3">
      <c r="A60" s="664" t="s">
        <v>615</v>
      </c>
      <c r="B60" s="664"/>
      <c r="C60" s="664"/>
      <c r="D60" s="664"/>
      <c r="E60" s="664"/>
      <c r="F60" s="664"/>
      <c r="G60" s="664"/>
      <c r="H60" s="664"/>
      <c r="I60" s="664"/>
      <c r="J60" s="664"/>
      <c r="K60" s="664"/>
      <c r="L60" s="664"/>
      <c r="M60" s="664"/>
      <c r="N60" s="664"/>
      <c r="O60" s="664"/>
      <c r="P60" s="664"/>
    </row>
    <row r="61" spans="1:16" s="286" customFormat="1" x14ac:dyDescent="0.3">
      <c r="A61" s="299">
        <v>20</v>
      </c>
      <c r="B61" s="423" t="s">
        <v>451</v>
      </c>
      <c r="C61" s="424" t="s">
        <v>452</v>
      </c>
      <c r="D61" s="425">
        <v>300</v>
      </c>
      <c r="E61" s="280"/>
      <c r="F61" s="280">
        <f t="shared" ref="F61:F74" si="23">D61+E61</f>
        <v>300</v>
      </c>
      <c r="G61" s="280">
        <f t="shared" ref="G61:G74" si="24">F61*12</f>
        <v>3600</v>
      </c>
      <c r="H61" s="280">
        <f t="shared" ref="H61:H74" si="25">F61</f>
        <v>300</v>
      </c>
      <c r="I61" s="292">
        <f t="shared" ref="I61:I67" si="26">F61*0.075</f>
        <v>22.5</v>
      </c>
      <c r="J61" s="270">
        <f t="shared" ref="J61:J67" si="27">F61*0.0775</f>
        <v>23.25</v>
      </c>
      <c r="K61" s="280"/>
      <c r="L61" s="280">
        <f t="shared" ref="L61:L70" si="28">F61*0.001</f>
        <v>0.3</v>
      </c>
      <c r="M61" s="280"/>
      <c r="N61" s="280"/>
      <c r="O61" s="280"/>
      <c r="P61" s="301"/>
    </row>
    <row r="62" spans="1:16" s="286" customFormat="1" x14ac:dyDescent="0.3">
      <c r="A62" s="299">
        <v>21</v>
      </c>
      <c r="B62" s="423" t="s">
        <v>453</v>
      </c>
      <c r="C62" s="424" t="s">
        <v>454</v>
      </c>
      <c r="D62" s="425">
        <v>300</v>
      </c>
      <c r="E62" s="280"/>
      <c r="F62" s="280">
        <f t="shared" si="23"/>
        <v>300</v>
      </c>
      <c r="G62" s="280">
        <f t="shared" si="24"/>
        <v>3600</v>
      </c>
      <c r="H62" s="280">
        <f t="shared" si="25"/>
        <v>300</v>
      </c>
      <c r="I62" s="292">
        <f t="shared" si="26"/>
        <v>22.5</v>
      </c>
      <c r="J62" s="270">
        <f t="shared" si="27"/>
        <v>23.25</v>
      </c>
      <c r="K62" s="280"/>
      <c r="L62" s="280">
        <f t="shared" si="28"/>
        <v>0.3</v>
      </c>
      <c r="M62" s="280"/>
      <c r="N62" s="280"/>
      <c r="O62" s="280"/>
      <c r="P62" s="301"/>
    </row>
    <row r="63" spans="1:16" s="286" customFormat="1" ht="33" x14ac:dyDescent="0.3">
      <c r="A63" s="299">
        <v>22</v>
      </c>
      <c r="B63" s="423" t="s">
        <v>455</v>
      </c>
      <c r="C63" s="426" t="s">
        <v>597</v>
      </c>
      <c r="D63" s="425">
        <v>450</v>
      </c>
      <c r="E63" s="280"/>
      <c r="F63" s="280">
        <f t="shared" si="23"/>
        <v>450</v>
      </c>
      <c r="G63" s="280">
        <f t="shared" si="24"/>
        <v>5400</v>
      </c>
      <c r="H63" s="280">
        <f t="shared" si="25"/>
        <v>450</v>
      </c>
      <c r="I63" s="292">
        <f t="shared" si="26"/>
        <v>33.75</v>
      </c>
      <c r="J63" s="270">
        <f t="shared" si="27"/>
        <v>34.875</v>
      </c>
      <c r="K63" s="280"/>
      <c r="L63" s="280">
        <f t="shared" si="28"/>
        <v>0.45</v>
      </c>
      <c r="M63" s="280"/>
      <c r="N63" s="280"/>
      <c r="O63" s="280"/>
      <c r="P63" s="301"/>
    </row>
    <row r="64" spans="1:16" s="286" customFormat="1" x14ac:dyDescent="0.3">
      <c r="A64" s="299">
        <v>23</v>
      </c>
      <c r="B64" s="423" t="s">
        <v>460</v>
      </c>
      <c r="C64" s="426" t="s">
        <v>461</v>
      </c>
      <c r="D64" s="425">
        <v>360</v>
      </c>
      <c r="E64" s="280"/>
      <c r="F64" s="280">
        <f t="shared" si="23"/>
        <v>360</v>
      </c>
      <c r="G64" s="280">
        <f t="shared" si="24"/>
        <v>4320</v>
      </c>
      <c r="H64" s="280">
        <f t="shared" si="25"/>
        <v>360</v>
      </c>
      <c r="I64" s="292">
        <f t="shared" si="26"/>
        <v>27</v>
      </c>
      <c r="J64" s="270">
        <f t="shared" si="27"/>
        <v>27.9</v>
      </c>
      <c r="K64" s="280"/>
      <c r="L64" s="280">
        <f t="shared" si="28"/>
        <v>0.36</v>
      </c>
      <c r="M64" s="280"/>
      <c r="N64" s="280"/>
      <c r="O64" s="280"/>
      <c r="P64" s="301"/>
    </row>
    <row r="65" spans="1:16" s="286" customFormat="1" x14ac:dyDescent="0.3">
      <c r="A65" s="299">
        <v>24</v>
      </c>
      <c r="B65" s="423" t="s">
        <v>462</v>
      </c>
      <c r="C65" s="424" t="s">
        <v>463</v>
      </c>
      <c r="D65" s="425">
        <v>300</v>
      </c>
      <c r="E65" s="280"/>
      <c r="F65" s="280">
        <f t="shared" si="23"/>
        <v>300</v>
      </c>
      <c r="G65" s="280">
        <f t="shared" si="24"/>
        <v>3600</v>
      </c>
      <c r="H65" s="280">
        <f t="shared" si="25"/>
        <v>300</v>
      </c>
      <c r="I65" s="292">
        <f t="shared" si="26"/>
        <v>22.5</v>
      </c>
      <c r="J65" s="270">
        <f t="shared" si="27"/>
        <v>23.25</v>
      </c>
      <c r="K65" s="280"/>
      <c r="L65" s="280">
        <f t="shared" si="28"/>
        <v>0.3</v>
      </c>
      <c r="M65" s="280"/>
      <c r="N65" s="280"/>
      <c r="O65" s="280"/>
      <c r="P65" s="301"/>
    </row>
    <row r="66" spans="1:16" s="286" customFormat="1" x14ac:dyDescent="0.3">
      <c r="A66" s="299">
        <v>25</v>
      </c>
      <c r="B66" s="423" t="s">
        <v>464</v>
      </c>
      <c r="C66" s="426" t="s">
        <v>465</v>
      </c>
      <c r="D66" s="425">
        <v>335.56</v>
      </c>
      <c r="E66" s="280"/>
      <c r="F66" s="280">
        <f t="shared" si="23"/>
        <v>335.56</v>
      </c>
      <c r="G66" s="280">
        <f t="shared" si="24"/>
        <v>4026.7200000000003</v>
      </c>
      <c r="H66" s="280">
        <f t="shared" si="25"/>
        <v>335.56</v>
      </c>
      <c r="I66" s="292">
        <f t="shared" si="26"/>
        <v>25.166999999999998</v>
      </c>
      <c r="J66" s="270">
        <f t="shared" si="27"/>
        <v>26.0059</v>
      </c>
      <c r="K66" s="280"/>
      <c r="L66" s="280">
        <f t="shared" si="28"/>
        <v>0.33556000000000002</v>
      </c>
      <c r="M66" s="280"/>
      <c r="N66" s="280"/>
      <c r="O66" s="280"/>
      <c r="P66" s="301"/>
    </row>
    <row r="67" spans="1:16" s="286" customFormat="1" ht="49.5" x14ac:dyDescent="0.3">
      <c r="A67" s="299">
        <v>27</v>
      </c>
      <c r="B67" s="423" t="s">
        <v>585</v>
      </c>
      <c r="C67" s="426" t="s">
        <v>586</v>
      </c>
      <c r="D67" s="425">
        <v>330.58</v>
      </c>
      <c r="E67" s="280"/>
      <c r="F67" s="280">
        <f t="shared" si="23"/>
        <v>330.58</v>
      </c>
      <c r="G67" s="280">
        <f t="shared" si="24"/>
        <v>3966.96</v>
      </c>
      <c r="H67" s="280">
        <f t="shared" si="25"/>
        <v>330.58</v>
      </c>
      <c r="I67" s="292">
        <f t="shared" si="26"/>
        <v>24.793499999999998</v>
      </c>
      <c r="J67" s="270">
        <f t="shared" si="27"/>
        <v>25.619949999999999</v>
      </c>
      <c r="K67" s="280"/>
      <c r="L67" s="280">
        <f t="shared" si="28"/>
        <v>0.33057999999999998</v>
      </c>
      <c r="M67" s="280"/>
      <c r="N67" s="280"/>
      <c r="O67" s="280"/>
      <c r="P67" s="301"/>
    </row>
    <row r="68" spans="1:16" s="520" customFormat="1" ht="48.75" customHeight="1" x14ac:dyDescent="0.3">
      <c r="A68" s="529">
        <v>28</v>
      </c>
      <c r="B68" s="423"/>
      <c r="C68" s="426" t="s">
        <v>614</v>
      </c>
      <c r="D68" s="425">
        <v>150</v>
      </c>
      <c r="E68" s="522"/>
      <c r="F68" s="522">
        <f t="shared" si="23"/>
        <v>150</v>
      </c>
      <c r="G68" s="522">
        <f t="shared" si="24"/>
        <v>1800</v>
      </c>
      <c r="H68" s="522">
        <f t="shared" si="25"/>
        <v>150</v>
      </c>
      <c r="I68" s="531">
        <v>0</v>
      </c>
      <c r="J68" s="530"/>
      <c r="K68" s="522"/>
      <c r="L68" s="522">
        <f t="shared" si="28"/>
        <v>0.15</v>
      </c>
      <c r="M68" s="522"/>
      <c r="N68" s="522"/>
      <c r="O68" s="522"/>
      <c r="P68" s="521"/>
    </row>
    <row r="69" spans="1:16" s="520" customFormat="1" ht="51.75" customHeight="1" x14ac:dyDescent="0.3">
      <c r="A69" s="529"/>
      <c r="B69" s="423"/>
      <c r="C69" s="426" t="s">
        <v>614</v>
      </c>
      <c r="D69" s="425">
        <v>150</v>
      </c>
      <c r="E69" s="522"/>
      <c r="F69" s="522">
        <f t="shared" si="23"/>
        <v>150</v>
      </c>
      <c r="G69" s="522">
        <f t="shared" si="24"/>
        <v>1800</v>
      </c>
      <c r="H69" s="522">
        <f t="shared" si="25"/>
        <v>150</v>
      </c>
      <c r="I69" s="531"/>
      <c r="J69" s="530"/>
      <c r="K69" s="522"/>
      <c r="L69" s="522">
        <f t="shared" si="28"/>
        <v>0.15</v>
      </c>
      <c r="M69" s="522"/>
      <c r="N69" s="522"/>
      <c r="O69" s="522"/>
      <c r="P69" s="521"/>
    </row>
    <row r="70" spans="1:16" s="520" customFormat="1" ht="51.75" customHeight="1" x14ac:dyDescent="0.3">
      <c r="A70" s="529"/>
      <c r="B70" s="423" t="s">
        <v>583</v>
      </c>
      <c r="C70" s="426" t="s">
        <v>584</v>
      </c>
      <c r="D70" s="425">
        <v>300</v>
      </c>
      <c r="E70" s="280"/>
      <c r="F70" s="280">
        <f t="shared" si="23"/>
        <v>300</v>
      </c>
      <c r="G70" s="280">
        <f t="shared" si="24"/>
        <v>3600</v>
      </c>
      <c r="H70" s="280">
        <f t="shared" si="25"/>
        <v>300</v>
      </c>
      <c r="I70" s="292">
        <f>F70*0.075</f>
        <v>22.5</v>
      </c>
      <c r="J70" s="464"/>
      <c r="K70" s="522"/>
      <c r="L70" s="522">
        <f t="shared" si="28"/>
        <v>0.3</v>
      </c>
      <c r="M70" s="522"/>
      <c r="N70" s="522"/>
      <c r="O70" s="522"/>
      <c r="P70" s="521"/>
    </row>
    <row r="71" spans="1:16" s="520" customFormat="1" ht="51.75" customHeight="1" x14ac:dyDescent="0.3">
      <c r="A71" s="526"/>
      <c r="B71" s="525" t="s">
        <v>544</v>
      </c>
      <c r="C71" s="528" t="s">
        <v>545</v>
      </c>
      <c r="D71" s="523">
        <v>300</v>
      </c>
      <c r="E71" s="272"/>
      <c r="F71" s="272">
        <f t="shared" si="23"/>
        <v>300</v>
      </c>
      <c r="G71" s="272">
        <f t="shared" si="24"/>
        <v>3600</v>
      </c>
      <c r="H71" s="272">
        <f t="shared" si="25"/>
        <v>300</v>
      </c>
      <c r="I71" s="527"/>
      <c r="J71" s="464"/>
      <c r="K71" s="522"/>
      <c r="L71" s="522"/>
      <c r="M71" s="522"/>
      <c r="N71" s="522"/>
      <c r="O71" s="522"/>
      <c r="P71" s="521"/>
    </row>
    <row r="72" spans="1:16" s="520" customFormat="1" ht="51.75" customHeight="1" x14ac:dyDescent="0.3">
      <c r="A72" s="526"/>
      <c r="B72" s="525" t="s">
        <v>546</v>
      </c>
      <c r="C72" s="528" t="s">
        <v>547</v>
      </c>
      <c r="D72" s="523">
        <v>150</v>
      </c>
      <c r="E72" s="280"/>
      <c r="F72" s="280">
        <f t="shared" si="23"/>
        <v>150</v>
      </c>
      <c r="G72" s="280">
        <f t="shared" si="24"/>
        <v>1800</v>
      </c>
      <c r="H72" s="280">
        <f t="shared" si="25"/>
        <v>150</v>
      </c>
      <c r="I72" s="527"/>
      <c r="J72" s="464"/>
      <c r="K72" s="522"/>
      <c r="L72" s="522"/>
      <c r="M72" s="522"/>
      <c r="N72" s="522"/>
      <c r="O72" s="522"/>
      <c r="P72" s="521"/>
    </row>
    <row r="73" spans="1:16" s="520" customFormat="1" ht="51.75" customHeight="1" x14ac:dyDescent="0.3">
      <c r="A73" s="526"/>
      <c r="B73" s="525" t="s">
        <v>548</v>
      </c>
      <c r="C73" s="524" t="s">
        <v>549</v>
      </c>
      <c r="D73" s="523">
        <v>300</v>
      </c>
      <c r="E73" s="280"/>
      <c r="F73" s="280">
        <f t="shared" si="23"/>
        <v>300</v>
      </c>
      <c r="G73" s="280">
        <f t="shared" si="24"/>
        <v>3600</v>
      </c>
      <c r="H73" s="280">
        <f t="shared" si="25"/>
        <v>300</v>
      </c>
      <c r="I73" s="465"/>
      <c r="J73" s="464"/>
      <c r="K73" s="522"/>
      <c r="L73" s="522"/>
      <c r="M73" s="522"/>
      <c r="N73" s="522"/>
      <c r="O73" s="522"/>
      <c r="P73" s="521"/>
    </row>
    <row r="74" spans="1:16" s="520" customFormat="1" ht="51.75" customHeight="1" x14ac:dyDescent="0.3">
      <c r="A74" s="526"/>
      <c r="B74" s="525" t="s">
        <v>550</v>
      </c>
      <c r="C74" s="524" t="s">
        <v>551</v>
      </c>
      <c r="D74" s="523">
        <v>200</v>
      </c>
      <c r="E74" s="280"/>
      <c r="F74" s="280">
        <f t="shared" si="23"/>
        <v>200</v>
      </c>
      <c r="G74" s="280">
        <f t="shared" si="24"/>
        <v>2400</v>
      </c>
      <c r="H74" s="280">
        <f t="shared" si="25"/>
        <v>200</v>
      </c>
      <c r="I74" s="465"/>
      <c r="J74" s="464"/>
      <c r="K74" s="522"/>
      <c r="L74" s="522"/>
      <c r="M74" s="522"/>
      <c r="N74" s="522"/>
      <c r="O74" s="522"/>
      <c r="P74" s="521"/>
    </row>
    <row r="75" spans="1:16" s="286" customFormat="1" ht="51.75" customHeight="1" x14ac:dyDescent="0.3">
      <c r="A75" s="665" t="s">
        <v>613</v>
      </c>
      <c r="B75" s="665"/>
      <c r="C75" s="665"/>
      <c r="D75" s="519">
        <f>SUM(D61:D74)</f>
        <v>3926.14</v>
      </c>
      <c r="E75" s="284"/>
      <c r="F75" s="519">
        <f t="shared" ref="F75:O75" si="29">SUM(F61:F74)</f>
        <v>3926.14</v>
      </c>
      <c r="G75" s="519">
        <f t="shared" si="29"/>
        <v>47113.68</v>
      </c>
      <c r="H75" s="519">
        <f t="shared" si="29"/>
        <v>3926.14</v>
      </c>
      <c r="I75" s="519">
        <f t="shared" si="29"/>
        <v>200.7105</v>
      </c>
      <c r="J75" s="519">
        <f>SUM(J61:J74)</f>
        <v>184.15084999999999</v>
      </c>
      <c r="K75" s="519">
        <f t="shared" si="29"/>
        <v>0</v>
      </c>
      <c r="L75" s="519">
        <f t="shared" si="29"/>
        <v>2.9761399999999996</v>
      </c>
      <c r="M75" s="519">
        <f t="shared" si="29"/>
        <v>0</v>
      </c>
      <c r="N75" s="519">
        <f t="shared" si="29"/>
        <v>0</v>
      </c>
      <c r="O75" s="519">
        <f t="shared" si="29"/>
        <v>0</v>
      </c>
      <c r="P75" s="301"/>
    </row>
    <row r="76" spans="1:16" s="471" customFormat="1" ht="51.75" customHeight="1" x14ac:dyDescent="0.3">
      <c r="A76" s="457"/>
      <c r="B76" s="457"/>
      <c r="C76" s="457"/>
      <c r="D76" s="496"/>
      <c r="E76" s="316"/>
      <c r="F76" s="316"/>
      <c r="G76" s="316"/>
      <c r="H76" s="316"/>
      <c r="I76" s="496"/>
      <c r="J76" s="496"/>
      <c r="K76" s="496"/>
      <c r="L76" s="496"/>
      <c r="M76" s="496"/>
      <c r="N76" s="496"/>
      <c r="O76" s="496"/>
      <c r="P76" s="301"/>
    </row>
    <row r="77" spans="1:16" s="471" customFormat="1" ht="51.75" customHeight="1" x14ac:dyDescent="0.3">
      <c r="A77" s="457"/>
      <c r="B77" s="457"/>
      <c r="C77" s="457"/>
      <c r="D77" s="496"/>
      <c r="E77" s="316"/>
      <c r="F77" s="316"/>
      <c r="G77" s="316"/>
      <c r="H77" s="316"/>
      <c r="I77" s="496"/>
      <c r="J77" s="496"/>
      <c r="K77" s="496"/>
      <c r="L77" s="496"/>
      <c r="M77" s="496"/>
      <c r="N77" s="496"/>
      <c r="O77" s="496"/>
      <c r="P77" s="301"/>
    </row>
    <row r="78" spans="1:16" s="286" customFormat="1" x14ac:dyDescent="0.3">
      <c r="A78" s="306">
        <v>29</v>
      </c>
      <c r="B78" s="518" t="s">
        <v>552</v>
      </c>
      <c r="C78" s="517" t="s">
        <v>553</v>
      </c>
      <c r="D78" s="516">
        <v>150</v>
      </c>
      <c r="E78" s="515"/>
      <c r="F78" s="515">
        <f t="shared" ref="F78:F93" si="30">D78+E78</f>
        <v>150</v>
      </c>
      <c r="G78" s="515">
        <f t="shared" ref="G78:G93" si="31">F78*12</f>
        <v>1800</v>
      </c>
      <c r="H78" s="515">
        <f t="shared" ref="H78:H93" si="32">F78</f>
        <v>150</v>
      </c>
      <c r="I78" s="514">
        <f t="shared" ref="I78:I89" si="33">F78*0.075</f>
        <v>11.25</v>
      </c>
      <c r="J78" s="513">
        <f>F78*0.0775</f>
        <v>11.625</v>
      </c>
      <c r="K78" s="468"/>
      <c r="L78" s="468">
        <f>F78*0.001</f>
        <v>0.15</v>
      </c>
      <c r="M78" s="468"/>
      <c r="N78" s="468"/>
      <c r="O78" s="468"/>
      <c r="P78" s="301"/>
    </row>
    <row r="79" spans="1:16" s="286" customFormat="1" x14ac:dyDescent="0.3">
      <c r="A79" s="299">
        <v>30</v>
      </c>
      <c r="B79" s="510" t="s">
        <v>554</v>
      </c>
      <c r="C79" s="410" t="s">
        <v>555</v>
      </c>
      <c r="D79" s="509">
        <v>572</v>
      </c>
      <c r="E79" s="411"/>
      <c r="F79" s="411">
        <f t="shared" si="30"/>
        <v>572</v>
      </c>
      <c r="G79" s="411">
        <f t="shared" si="31"/>
        <v>6864</v>
      </c>
      <c r="H79" s="411">
        <f t="shared" si="32"/>
        <v>572</v>
      </c>
      <c r="I79" s="508">
        <f t="shared" si="33"/>
        <v>42.9</v>
      </c>
      <c r="J79" s="507">
        <f>F79*0.0775</f>
        <v>44.33</v>
      </c>
      <c r="K79" s="280"/>
      <c r="L79" s="280">
        <f>F79*0.001</f>
        <v>0.57200000000000006</v>
      </c>
      <c r="M79" s="280"/>
      <c r="N79" s="280"/>
      <c r="O79" s="280"/>
      <c r="P79" s="301"/>
    </row>
    <row r="80" spans="1:16" s="286" customFormat="1" x14ac:dyDescent="0.3">
      <c r="A80" s="299">
        <v>31</v>
      </c>
      <c r="B80" s="510" t="s">
        <v>556</v>
      </c>
      <c r="C80" s="410" t="s">
        <v>553</v>
      </c>
      <c r="D80" s="509">
        <v>360</v>
      </c>
      <c r="E80" s="411"/>
      <c r="F80" s="411">
        <f t="shared" si="30"/>
        <v>360</v>
      </c>
      <c r="G80" s="411">
        <f t="shared" si="31"/>
        <v>4320</v>
      </c>
      <c r="H80" s="411">
        <f t="shared" si="32"/>
        <v>360</v>
      </c>
      <c r="I80" s="508">
        <f t="shared" si="33"/>
        <v>27</v>
      </c>
      <c r="J80" s="464"/>
      <c r="K80" s="280"/>
      <c r="L80" s="280"/>
      <c r="M80" s="280"/>
      <c r="N80" s="280"/>
      <c r="O80" s="280"/>
      <c r="P80" s="301"/>
    </row>
    <row r="81" spans="1:16" s="286" customFormat="1" x14ac:dyDescent="0.3">
      <c r="A81" s="299">
        <v>32</v>
      </c>
      <c r="B81" s="510" t="s">
        <v>557</v>
      </c>
      <c r="C81" s="410" t="s">
        <v>553</v>
      </c>
      <c r="D81" s="509">
        <v>360</v>
      </c>
      <c r="E81" s="411"/>
      <c r="F81" s="411">
        <f t="shared" si="30"/>
        <v>360</v>
      </c>
      <c r="G81" s="411">
        <f t="shared" si="31"/>
        <v>4320</v>
      </c>
      <c r="H81" s="411">
        <f t="shared" si="32"/>
        <v>360</v>
      </c>
      <c r="I81" s="508">
        <f t="shared" si="33"/>
        <v>27</v>
      </c>
      <c r="J81" s="507">
        <f t="shared" ref="J81:J89" si="34">F81*0.0775</f>
        <v>27.9</v>
      </c>
      <c r="K81" s="280"/>
      <c r="L81" s="280">
        <f t="shared" ref="L81:L89" si="35">F81*0.001</f>
        <v>0.36</v>
      </c>
      <c r="M81" s="280"/>
      <c r="N81" s="280"/>
      <c r="O81" s="280"/>
      <c r="P81" s="301"/>
    </row>
    <row r="82" spans="1:16" s="286" customFormat="1" x14ac:dyDescent="0.3">
      <c r="A82" s="299">
        <v>33</v>
      </c>
      <c r="B82" s="510" t="s">
        <v>558</v>
      </c>
      <c r="C82" s="410" t="s">
        <v>553</v>
      </c>
      <c r="D82" s="509">
        <v>360</v>
      </c>
      <c r="E82" s="411"/>
      <c r="F82" s="411">
        <f t="shared" si="30"/>
        <v>360</v>
      </c>
      <c r="G82" s="411">
        <f t="shared" si="31"/>
        <v>4320</v>
      </c>
      <c r="H82" s="411">
        <f t="shared" si="32"/>
        <v>360</v>
      </c>
      <c r="I82" s="508">
        <f t="shared" si="33"/>
        <v>27</v>
      </c>
      <c r="J82" s="507">
        <f t="shared" si="34"/>
        <v>27.9</v>
      </c>
      <c r="K82" s="280"/>
      <c r="L82" s="280">
        <f t="shared" si="35"/>
        <v>0.36</v>
      </c>
      <c r="M82" s="280"/>
      <c r="N82" s="280"/>
      <c r="O82" s="280"/>
      <c r="P82" s="301"/>
    </row>
    <row r="83" spans="1:16" s="286" customFormat="1" x14ac:dyDescent="0.3">
      <c r="A83" s="299">
        <v>34</v>
      </c>
      <c r="B83" s="510" t="s">
        <v>559</v>
      </c>
      <c r="C83" s="410" t="s">
        <v>560</v>
      </c>
      <c r="D83" s="509">
        <v>302.22000000000003</v>
      </c>
      <c r="E83" s="411"/>
      <c r="F83" s="411">
        <f t="shared" si="30"/>
        <v>302.22000000000003</v>
      </c>
      <c r="G83" s="411">
        <f t="shared" si="31"/>
        <v>3626.6400000000003</v>
      </c>
      <c r="H83" s="411">
        <f t="shared" si="32"/>
        <v>302.22000000000003</v>
      </c>
      <c r="I83" s="508">
        <f t="shared" si="33"/>
        <v>22.666500000000003</v>
      </c>
      <c r="J83" s="507">
        <f t="shared" si="34"/>
        <v>23.422050000000002</v>
      </c>
      <c r="K83" s="280"/>
      <c r="L83" s="280">
        <f t="shared" si="35"/>
        <v>0.30222000000000004</v>
      </c>
      <c r="M83" s="280"/>
      <c r="N83" s="280"/>
      <c r="O83" s="280"/>
      <c r="P83" s="301"/>
    </row>
    <row r="84" spans="1:16" s="286" customFormat="1" x14ac:dyDescent="0.3">
      <c r="A84" s="299">
        <v>35</v>
      </c>
      <c r="B84" s="510" t="s">
        <v>561</v>
      </c>
      <c r="C84" s="512" t="s">
        <v>562</v>
      </c>
      <c r="D84" s="509">
        <v>335.56</v>
      </c>
      <c r="E84" s="411"/>
      <c r="F84" s="411">
        <f t="shared" si="30"/>
        <v>335.56</v>
      </c>
      <c r="G84" s="411">
        <f t="shared" si="31"/>
        <v>4026.7200000000003</v>
      </c>
      <c r="H84" s="411">
        <f t="shared" si="32"/>
        <v>335.56</v>
      </c>
      <c r="I84" s="508">
        <f t="shared" si="33"/>
        <v>25.166999999999998</v>
      </c>
      <c r="J84" s="507">
        <f t="shared" si="34"/>
        <v>26.0059</v>
      </c>
      <c r="K84" s="280"/>
      <c r="L84" s="280">
        <f t="shared" si="35"/>
        <v>0.33556000000000002</v>
      </c>
      <c r="M84" s="280"/>
      <c r="N84" s="280"/>
      <c r="O84" s="280"/>
      <c r="P84" s="301"/>
    </row>
    <row r="85" spans="1:16" s="286" customFormat="1" x14ac:dyDescent="0.3">
      <c r="A85" s="299">
        <v>36</v>
      </c>
      <c r="B85" s="510" t="s">
        <v>563</v>
      </c>
      <c r="C85" s="410" t="s">
        <v>564</v>
      </c>
      <c r="D85" s="509">
        <v>335.56</v>
      </c>
      <c r="E85" s="411"/>
      <c r="F85" s="411">
        <f t="shared" si="30"/>
        <v>335.56</v>
      </c>
      <c r="G85" s="411">
        <f t="shared" si="31"/>
        <v>4026.7200000000003</v>
      </c>
      <c r="H85" s="411">
        <f t="shared" si="32"/>
        <v>335.56</v>
      </c>
      <c r="I85" s="508">
        <f t="shared" si="33"/>
        <v>25.166999999999998</v>
      </c>
      <c r="J85" s="507">
        <f t="shared" si="34"/>
        <v>26.0059</v>
      </c>
      <c r="K85" s="280"/>
      <c r="L85" s="280">
        <f t="shared" si="35"/>
        <v>0.33556000000000002</v>
      </c>
      <c r="M85" s="280"/>
      <c r="N85" s="280"/>
      <c r="O85" s="280"/>
      <c r="P85" s="301"/>
    </row>
    <row r="86" spans="1:16" s="286" customFormat="1" x14ac:dyDescent="0.3">
      <c r="A86" s="299">
        <v>37</v>
      </c>
      <c r="B86" s="510" t="s">
        <v>565</v>
      </c>
      <c r="C86" s="410" t="s">
        <v>566</v>
      </c>
      <c r="D86" s="509">
        <v>300</v>
      </c>
      <c r="E86" s="411"/>
      <c r="F86" s="411">
        <f t="shared" si="30"/>
        <v>300</v>
      </c>
      <c r="G86" s="411">
        <f t="shared" si="31"/>
        <v>3600</v>
      </c>
      <c r="H86" s="411">
        <f t="shared" si="32"/>
        <v>300</v>
      </c>
      <c r="I86" s="508">
        <f t="shared" si="33"/>
        <v>22.5</v>
      </c>
      <c r="J86" s="507">
        <f t="shared" si="34"/>
        <v>23.25</v>
      </c>
      <c r="K86" s="280"/>
      <c r="L86" s="280">
        <f t="shared" si="35"/>
        <v>0.3</v>
      </c>
      <c r="M86" s="280"/>
      <c r="N86" s="280"/>
      <c r="O86" s="280"/>
      <c r="P86" s="301"/>
    </row>
    <row r="87" spans="1:16" s="286" customFormat="1" x14ac:dyDescent="0.3">
      <c r="A87" s="299">
        <v>38</v>
      </c>
      <c r="B87" s="510" t="s">
        <v>567</v>
      </c>
      <c r="C87" s="511" t="s">
        <v>568</v>
      </c>
      <c r="D87" s="509">
        <v>300</v>
      </c>
      <c r="E87" s="411"/>
      <c r="F87" s="411">
        <f t="shared" si="30"/>
        <v>300</v>
      </c>
      <c r="G87" s="411">
        <f t="shared" si="31"/>
        <v>3600</v>
      </c>
      <c r="H87" s="411">
        <f t="shared" si="32"/>
        <v>300</v>
      </c>
      <c r="I87" s="508">
        <f t="shared" si="33"/>
        <v>22.5</v>
      </c>
      <c r="J87" s="507">
        <f t="shared" si="34"/>
        <v>23.25</v>
      </c>
      <c r="K87" s="280"/>
      <c r="L87" s="280">
        <f t="shared" si="35"/>
        <v>0.3</v>
      </c>
      <c r="M87" s="280"/>
      <c r="N87" s="280"/>
      <c r="O87" s="280"/>
      <c r="P87" s="301"/>
    </row>
    <row r="88" spans="1:16" s="286" customFormat="1" x14ac:dyDescent="0.3">
      <c r="A88" s="299">
        <v>39</v>
      </c>
      <c r="B88" s="510" t="s">
        <v>569</v>
      </c>
      <c r="C88" s="410" t="s">
        <v>564</v>
      </c>
      <c r="D88" s="509">
        <v>300</v>
      </c>
      <c r="E88" s="411"/>
      <c r="F88" s="411">
        <f t="shared" si="30"/>
        <v>300</v>
      </c>
      <c r="G88" s="411">
        <f t="shared" si="31"/>
        <v>3600</v>
      </c>
      <c r="H88" s="411">
        <f t="shared" si="32"/>
        <v>300</v>
      </c>
      <c r="I88" s="508">
        <f t="shared" si="33"/>
        <v>22.5</v>
      </c>
      <c r="J88" s="507">
        <f t="shared" si="34"/>
        <v>23.25</v>
      </c>
      <c r="K88" s="280"/>
      <c r="L88" s="280">
        <f t="shared" si="35"/>
        <v>0.3</v>
      </c>
      <c r="M88" s="280"/>
      <c r="N88" s="280"/>
      <c r="O88" s="280"/>
      <c r="P88" s="301"/>
    </row>
    <row r="89" spans="1:16" s="286" customFormat="1" x14ac:dyDescent="0.3">
      <c r="A89" s="299">
        <v>40</v>
      </c>
      <c r="B89" s="510" t="s">
        <v>570</v>
      </c>
      <c r="C89" s="410" t="s">
        <v>571</v>
      </c>
      <c r="D89" s="509">
        <v>300</v>
      </c>
      <c r="E89" s="411"/>
      <c r="F89" s="411">
        <f t="shared" si="30"/>
        <v>300</v>
      </c>
      <c r="G89" s="411">
        <f t="shared" si="31"/>
        <v>3600</v>
      </c>
      <c r="H89" s="411">
        <f t="shared" si="32"/>
        <v>300</v>
      </c>
      <c r="I89" s="508">
        <f t="shared" si="33"/>
        <v>22.5</v>
      </c>
      <c r="J89" s="507">
        <f t="shared" si="34"/>
        <v>23.25</v>
      </c>
      <c r="K89" s="280"/>
      <c r="L89" s="280">
        <f t="shared" si="35"/>
        <v>0.3</v>
      </c>
      <c r="M89" s="280"/>
      <c r="N89" s="280"/>
      <c r="O89" s="280"/>
      <c r="P89" s="301"/>
    </row>
    <row r="90" spans="1:16" s="286" customFormat="1" x14ac:dyDescent="0.3">
      <c r="A90" s="299">
        <v>45</v>
      </c>
      <c r="B90" s="406" t="s">
        <v>580</v>
      </c>
      <c r="C90" s="401" t="s">
        <v>589</v>
      </c>
      <c r="D90" s="407">
        <v>152</v>
      </c>
      <c r="E90" s="280"/>
      <c r="F90" s="280">
        <f t="shared" si="30"/>
        <v>152</v>
      </c>
      <c r="G90" s="280">
        <f t="shared" si="31"/>
        <v>1824</v>
      </c>
      <c r="H90" s="280">
        <f t="shared" si="32"/>
        <v>152</v>
      </c>
      <c r="I90" s="465"/>
      <c r="J90" s="464"/>
      <c r="K90" s="280"/>
      <c r="L90" s="280"/>
      <c r="M90" s="280"/>
      <c r="N90" s="280"/>
      <c r="O90" s="280"/>
      <c r="P90" s="301"/>
    </row>
    <row r="91" spans="1:16" s="286" customFormat="1" x14ac:dyDescent="0.3">
      <c r="A91" s="299">
        <v>46</v>
      </c>
      <c r="B91" s="406" t="s">
        <v>587</v>
      </c>
      <c r="C91" s="401" t="s">
        <v>591</v>
      </c>
      <c r="D91" s="407">
        <v>150</v>
      </c>
      <c r="E91" s="280"/>
      <c r="F91" s="280">
        <f t="shared" si="30"/>
        <v>150</v>
      </c>
      <c r="G91" s="280">
        <f t="shared" si="31"/>
        <v>1800</v>
      </c>
      <c r="H91" s="280">
        <f t="shared" si="32"/>
        <v>150</v>
      </c>
      <c r="I91" s="465"/>
      <c r="J91" s="464"/>
      <c r="K91" s="280"/>
      <c r="L91" s="280"/>
      <c r="M91" s="280"/>
      <c r="N91" s="280"/>
      <c r="O91" s="280"/>
      <c r="P91" s="301"/>
    </row>
    <row r="92" spans="1:16" s="286" customFormat="1" x14ac:dyDescent="0.3">
      <c r="A92" s="299">
        <v>47</v>
      </c>
      <c r="B92" s="406" t="s">
        <v>581</v>
      </c>
      <c r="C92" s="401" t="s">
        <v>590</v>
      </c>
      <c r="D92" s="407">
        <v>300</v>
      </c>
      <c r="E92" s="280"/>
      <c r="F92" s="280">
        <f t="shared" si="30"/>
        <v>300</v>
      </c>
      <c r="G92" s="280">
        <f t="shared" si="31"/>
        <v>3600</v>
      </c>
      <c r="H92" s="280">
        <f t="shared" si="32"/>
        <v>300</v>
      </c>
      <c r="I92" s="465"/>
      <c r="J92" s="464"/>
      <c r="K92" s="280"/>
      <c r="L92" s="280"/>
      <c r="M92" s="280"/>
      <c r="N92" s="280"/>
      <c r="O92" s="280"/>
      <c r="P92" s="301"/>
    </row>
    <row r="93" spans="1:16" s="286" customFormat="1" x14ac:dyDescent="0.3">
      <c r="A93" s="299">
        <v>48</v>
      </c>
      <c r="B93" s="406" t="s">
        <v>582</v>
      </c>
      <c r="C93" s="401" t="s">
        <v>589</v>
      </c>
      <c r="D93" s="407">
        <v>152</v>
      </c>
      <c r="E93" s="280"/>
      <c r="F93" s="280">
        <f t="shared" si="30"/>
        <v>152</v>
      </c>
      <c r="G93" s="280">
        <f t="shared" si="31"/>
        <v>1824</v>
      </c>
      <c r="H93" s="280">
        <f t="shared" si="32"/>
        <v>152</v>
      </c>
      <c r="I93" s="465"/>
      <c r="J93" s="464"/>
      <c r="K93" s="280"/>
      <c r="L93" s="280"/>
      <c r="M93" s="280"/>
      <c r="N93" s="280"/>
      <c r="O93" s="280"/>
      <c r="P93" s="301"/>
    </row>
    <row r="94" spans="1:16" s="286" customFormat="1" ht="33" x14ac:dyDescent="0.3">
      <c r="A94" s="299"/>
      <c r="B94" s="506" t="s">
        <v>612</v>
      </c>
      <c r="C94" s="506"/>
      <c r="D94" s="505">
        <f>SUM(D78:D93)</f>
        <v>4729.34</v>
      </c>
      <c r="E94" s="506"/>
      <c r="F94" s="505">
        <f t="shared" ref="F94:N94" si="36">SUM(F78:F93)</f>
        <v>4729.34</v>
      </c>
      <c r="G94" s="505">
        <f t="shared" si="36"/>
        <v>56752.08</v>
      </c>
      <c r="H94" s="505">
        <f t="shared" si="36"/>
        <v>4729.34</v>
      </c>
      <c r="I94" s="505">
        <f t="shared" si="36"/>
        <v>298.15050000000002</v>
      </c>
      <c r="J94" s="505">
        <f>SUM(J78:J93)</f>
        <v>280.18885</v>
      </c>
      <c r="K94" s="505">
        <f t="shared" si="36"/>
        <v>0</v>
      </c>
      <c r="L94" s="505">
        <f t="shared" si="36"/>
        <v>3.6153399999999998</v>
      </c>
      <c r="M94" s="505">
        <f t="shared" si="36"/>
        <v>0</v>
      </c>
      <c r="N94" s="505">
        <f t="shared" si="36"/>
        <v>0</v>
      </c>
      <c r="O94" s="316"/>
      <c r="P94" s="301"/>
    </row>
    <row r="95" spans="1:16" s="286" customFormat="1" x14ac:dyDescent="0.3">
      <c r="A95" s="299"/>
      <c r="K95" s="309"/>
      <c r="L95" s="309"/>
      <c r="M95" s="309"/>
      <c r="N95" s="309"/>
      <c r="O95" s="309"/>
      <c r="P95" s="301"/>
    </row>
    <row r="96" spans="1:16" s="286" customFormat="1" x14ac:dyDescent="0.3">
      <c r="A96" s="299"/>
      <c r="K96" s="309"/>
      <c r="L96" s="309"/>
      <c r="M96" s="309"/>
      <c r="N96" s="309"/>
      <c r="O96" s="309"/>
      <c r="P96" s="301"/>
    </row>
    <row r="97" spans="1:19" s="286" customFormat="1" x14ac:dyDescent="0.3">
      <c r="A97" s="299"/>
      <c r="K97" s="309"/>
      <c r="L97" s="309"/>
      <c r="M97" s="309"/>
      <c r="N97" s="309"/>
      <c r="O97" s="309"/>
      <c r="P97" s="301"/>
    </row>
    <row r="98" spans="1:19" s="286" customFormat="1" x14ac:dyDescent="0.3">
      <c r="A98" s="299"/>
      <c r="K98" s="309"/>
      <c r="L98" s="309"/>
      <c r="M98" s="309"/>
      <c r="N98" s="309"/>
      <c r="O98" s="309"/>
      <c r="P98" s="301"/>
    </row>
    <row r="99" spans="1:19" s="286" customFormat="1" x14ac:dyDescent="0.3">
      <c r="A99" s="299"/>
      <c r="B99" s="504" t="s">
        <v>572</v>
      </c>
      <c r="C99" s="503" t="s">
        <v>573</v>
      </c>
      <c r="D99" s="502">
        <v>500</v>
      </c>
      <c r="E99" s="501"/>
      <c r="F99" s="501">
        <f>D99+E99</f>
        <v>500</v>
      </c>
      <c r="G99" s="501">
        <f>F99*12</f>
        <v>6000</v>
      </c>
      <c r="H99" s="501">
        <f>F99</f>
        <v>500</v>
      </c>
      <c r="I99" s="500">
        <f>F99*0.075</f>
        <v>37.5</v>
      </c>
      <c r="J99" s="499">
        <f>F99*0.0775</f>
        <v>38.75</v>
      </c>
      <c r="K99" s="309"/>
      <c r="L99" s="280">
        <f>F99*0.001</f>
        <v>0.5</v>
      </c>
      <c r="M99" s="309"/>
      <c r="N99" s="309"/>
      <c r="O99" s="309"/>
      <c r="P99" s="301"/>
    </row>
    <row r="100" spans="1:19" s="471" customFormat="1" x14ac:dyDescent="0.3">
      <c r="A100" s="306"/>
      <c r="B100" s="498" t="s">
        <v>611</v>
      </c>
      <c r="C100" s="497"/>
      <c r="D100" s="496">
        <f t="shared" ref="D100:N100" si="37">D99</f>
        <v>500</v>
      </c>
      <c r="E100" s="496">
        <f t="shared" si="37"/>
        <v>0</v>
      </c>
      <c r="F100" s="496">
        <f t="shared" si="37"/>
        <v>500</v>
      </c>
      <c r="G100" s="496">
        <f t="shared" si="37"/>
        <v>6000</v>
      </c>
      <c r="H100" s="496">
        <f t="shared" si="37"/>
        <v>500</v>
      </c>
      <c r="I100" s="496">
        <f t="shared" si="37"/>
        <v>37.5</v>
      </c>
      <c r="J100" s="496">
        <f>J99</f>
        <v>38.75</v>
      </c>
      <c r="K100" s="496">
        <f t="shared" si="37"/>
        <v>0</v>
      </c>
      <c r="L100" s="496">
        <f t="shared" si="37"/>
        <v>0.5</v>
      </c>
      <c r="M100" s="496">
        <f t="shared" si="37"/>
        <v>0</v>
      </c>
      <c r="N100" s="496">
        <f t="shared" si="37"/>
        <v>0</v>
      </c>
      <c r="O100" s="316"/>
      <c r="P100" s="301"/>
    </row>
    <row r="101" spans="1:19" s="471" customFormat="1" x14ac:dyDescent="0.3">
      <c r="A101" s="306"/>
      <c r="B101" s="495"/>
      <c r="C101" s="494"/>
      <c r="D101" s="493"/>
      <c r="E101" s="493"/>
      <c r="F101" s="493"/>
      <c r="G101" s="493"/>
      <c r="H101" s="493"/>
      <c r="I101" s="493"/>
      <c r="J101" s="493"/>
      <c r="K101" s="493"/>
      <c r="L101" s="493"/>
      <c r="M101" s="493"/>
      <c r="N101" s="493"/>
      <c r="O101" s="309"/>
      <c r="P101" s="301"/>
    </row>
    <row r="102" spans="1:19" s="471" customFormat="1" x14ac:dyDescent="0.3">
      <c r="A102" s="306"/>
      <c r="B102" s="495"/>
      <c r="C102" s="494"/>
      <c r="D102" s="493"/>
      <c r="E102" s="493"/>
      <c r="F102" s="493"/>
      <c r="G102" s="493"/>
      <c r="H102" s="493"/>
      <c r="I102" s="493"/>
      <c r="J102" s="493"/>
      <c r="K102" s="493"/>
      <c r="L102" s="493"/>
      <c r="M102" s="493"/>
      <c r="N102" s="493"/>
      <c r="O102" s="309"/>
      <c r="P102" s="301"/>
    </row>
    <row r="103" spans="1:19" s="471" customFormat="1" x14ac:dyDescent="0.3">
      <c r="A103" s="306"/>
      <c r="B103" s="495"/>
      <c r="C103" s="494"/>
      <c r="D103" s="493"/>
      <c r="E103" s="309"/>
      <c r="F103" s="309"/>
      <c r="G103" s="309"/>
      <c r="H103" s="309"/>
      <c r="I103" s="472"/>
      <c r="J103" s="314"/>
      <c r="K103" s="309"/>
      <c r="L103" s="309"/>
      <c r="M103" s="309"/>
      <c r="N103" s="309"/>
      <c r="O103" s="309"/>
      <c r="P103" s="301"/>
    </row>
    <row r="104" spans="1:19" s="286" customFormat="1" x14ac:dyDescent="0.3">
      <c r="A104" s="306"/>
      <c r="B104" s="492" t="s">
        <v>574</v>
      </c>
      <c r="C104" s="491" t="s">
        <v>575</v>
      </c>
      <c r="D104" s="490">
        <v>468.32</v>
      </c>
      <c r="E104" s="468"/>
      <c r="F104" s="468">
        <f>D104+E104</f>
        <v>468.32</v>
      </c>
      <c r="G104" s="468">
        <f>F104*12</f>
        <v>5619.84</v>
      </c>
      <c r="H104" s="468">
        <f>F104</f>
        <v>468.32</v>
      </c>
      <c r="I104" s="482">
        <f>F104*0.075</f>
        <v>35.123999999999995</v>
      </c>
      <c r="J104" s="489">
        <f>F104*0.0775</f>
        <v>36.294800000000002</v>
      </c>
      <c r="K104" s="309"/>
      <c r="L104" s="280">
        <f>F104*0.001</f>
        <v>0.46832000000000001</v>
      </c>
      <c r="M104" s="309"/>
      <c r="N104" s="309"/>
      <c r="O104" s="309"/>
      <c r="P104" s="301"/>
    </row>
    <row r="105" spans="1:19" s="286" customFormat="1" x14ac:dyDescent="0.3">
      <c r="A105" s="299"/>
      <c r="B105" s="418" t="s">
        <v>576</v>
      </c>
      <c r="C105" s="418" t="s">
        <v>577</v>
      </c>
      <c r="D105" s="419">
        <v>255</v>
      </c>
      <c r="E105" s="280"/>
      <c r="F105" s="280">
        <f>D105+E105</f>
        <v>255</v>
      </c>
      <c r="G105" s="280">
        <f>F105*12</f>
        <v>3060</v>
      </c>
      <c r="H105" s="280">
        <f>F105</f>
        <v>255</v>
      </c>
      <c r="I105" s="292">
        <f>F105*0.075</f>
        <v>19.125</v>
      </c>
      <c r="J105" s="270">
        <f>F105*0.0775</f>
        <v>19.762499999999999</v>
      </c>
      <c r="K105" s="309"/>
      <c r="L105" s="280">
        <f>F105*0.001</f>
        <v>0.255</v>
      </c>
      <c r="M105" s="309"/>
      <c r="N105" s="309"/>
      <c r="O105" s="309"/>
      <c r="P105" s="301"/>
    </row>
    <row r="106" spans="1:19" s="286" customFormat="1" x14ac:dyDescent="0.3">
      <c r="A106" s="299"/>
      <c r="B106" s="488" t="s">
        <v>610</v>
      </c>
      <c r="C106" s="488"/>
      <c r="D106" s="487"/>
      <c r="E106" s="478"/>
      <c r="F106" s="478">
        <f t="shared" ref="F106:P106" si="38">SUM(F104:F105)</f>
        <v>723.31999999999994</v>
      </c>
      <c r="G106" s="478">
        <f t="shared" si="38"/>
        <v>8679.84</v>
      </c>
      <c r="H106" s="478">
        <f t="shared" si="38"/>
        <v>723.31999999999994</v>
      </c>
      <c r="I106" s="478">
        <f t="shared" si="38"/>
        <v>54.248999999999995</v>
      </c>
      <c r="J106" s="478">
        <f>SUM(J104:J105)</f>
        <v>56.057299999999998</v>
      </c>
      <c r="K106" s="478">
        <f t="shared" si="38"/>
        <v>0</v>
      </c>
      <c r="L106" s="478">
        <f t="shared" si="38"/>
        <v>0.72331999999999996</v>
      </c>
      <c r="M106" s="478">
        <f t="shared" si="38"/>
        <v>0</v>
      </c>
      <c r="N106" s="478">
        <f t="shared" si="38"/>
        <v>0</v>
      </c>
      <c r="O106" s="478">
        <f t="shared" si="38"/>
        <v>0</v>
      </c>
      <c r="P106" s="478">
        <f t="shared" si="38"/>
        <v>0</v>
      </c>
    </row>
    <row r="107" spans="1:19" s="471" customFormat="1" x14ac:dyDescent="0.3">
      <c r="A107" s="306"/>
      <c r="B107" s="475"/>
      <c r="C107" s="475"/>
      <c r="D107" s="477"/>
      <c r="E107" s="316"/>
      <c r="F107" s="316"/>
      <c r="G107" s="316"/>
      <c r="H107" s="316"/>
      <c r="I107" s="476"/>
      <c r="J107" s="314"/>
      <c r="K107" s="309"/>
      <c r="L107" s="309"/>
      <c r="M107" s="309"/>
      <c r="N107" s="309"/>
      <c r="O107" s="309"/>
      <c r="P107" s="301"/>
    </row>
    <row r="108" spans="1:19" ht="32.25" customHeight="1" x14ac:dyDescent="0.3">
      <c r="A108" s="486"/>
      <c r="B108" s="485"/>
      <c r="C108" s="484" t="s">
        <v>592</v>
      </c>
      <c r="D108" s="483">
        <v>600</v>
      </c>
      <c r="E108" s="481"/>
      <c r="F108" s="468">
        <f>D108+E108</f>
        <v>600</v>
      </c>
      <c r="G108" s="468">
        <f>F108*12</f>
        <v>7200</v>
      </c>
      <c r="H108" s="545">
        <f>F108</f>
        <v>600</v>
      </c>
      <c r="I108" s="482">
        <f>F108*0.075</f>
        <v>45</v>
      </c>
      <c r="J108" s="481">
        <f>F108*0.0775</f>
        <v>46.5</v>
      </c>
      <c r="K108" s="408"/>
      <c r="L108" s="408">
        <f>F108*0.001</f>
        <v>0.6</v>
      </c>
      <c r="M108" s="408">
        <f>I108+J108+K108+L108</f>
        <v>92.1</v>
      </c>
      <c r="N108" s="408">
        <f>M108*12</f>
        <v>1105.1999999999998</v>
      </c>
      <c r="O108" s="408">
        <f>G108+N108</f>
        <v>8305.2000000000007</v>
      </c>
      <c r="P108" s="298"/>
    </row>
    <row r="109" spans="1:19" ht="31.5" customHeight="1" x14ac:dyDescent="0.3">
      <c r="A109" s="414"/>
      <c r="B109" s="415"/>
      <c r="C109" s="416" t="s">
        <v>609</v>
      </c>
      <c r="D109" s="417">
        <v>400</v>
      </c>
      <c r="E109" s="272"/>
      <c r="F109" s="280">
        <f>D109+E109</f>
        <v>400</v>
      </c>
      <c r="G109" s="468">
        <f>F109*12</f>
        <v>4800</v>
      </c>
      <c r="H109" s="545">
        <f>F109</f>
        <v>400</v>
      </c>
      <c r="I109" s="292">
        <f>F109*0.075</f>
        <v>30</v>
      </c>
      <c r="J109" s="272">
        <f>F109*0.0775</f>
        <v>31</v>
      </c>
      <c r="K109" s="408"/>
      <c r="L109" s="280">
        <f>F109*0.001</f>
        <v>0.4</v>
      </c>
      <c r="M109" s="408"/>
      <c r="N109" s="408"/>
      <c r="O109" s="408"/>
      <c r="P109" s="298"/>
    </row>
    <row r="110" spans="1:19" s="286" customFormat="1" ht="31.5" customHeight="1" x14ac:dyDescent="0.3">
      <c r="A110" s="299"/>
      <c r="B110" s="480" t="s">
        <v>608</v>
      </c>
      <c r="C110" s="479"/>
      <c r="D110" s="478">
        <f>SUM(D108:D109)</f>
        <v>1000</v>
      </c>
      <c r="E110" s="478"/>
      <c r="F110" s="478">
        <f t="shared" ref="F110:S110" si="39">SUM(F108:F109)</f>
        <v>1000</v>
      </c>
      <c r="G110" s="478">
        <f t="shared" si="39"/>
        <v>12000</v>
      </c>
      <c r="H110" s="546">
        <f t="shared" si="39"/>
        <v>1000</v>
      </c>
      <c r="I110" s="478">
        <f t="shared" si="39"/>
        <v>75</v>
      </c>
      <c r="J110" s="478">
        <f>SUM(J108:J109)</f>
        <v>77.5</v>
      </c>
      <c r="K110" s="478">
        <f t="shared" si="39"/>
        <v>0</v>
      </c>
      <c r="L110" s="478">
        <f t="shared" si="39"/>
        <v>1</v>
      </c>
      <c r="M110" s="478">
        <f t="shared" si="39"/>
        <v>92.1</v>
      </c>
      <c r="N110" s="478">
        <f t="shared" si="39"/>
        <v>1105.1999999999998</v>
      </c>
      <c r="O110" s="478">
        <f t="shared" si="39"/>
        <v>8305.2000000000007</v>
      </c>
      <c r="P110" s="478">
        <f t="shared" si="39"/>
        <v>0</v>
      </c>
      <c r="Q110" s="478">
        <f t="shared" si="39"/>
        <v>0</v>
      </c>
      <c r="R110" s="478">
        <f t="shared" si="39"/>
        <v>0</v>
      </c>
      <c r="S110" s="478">
        <f t="shared" si="39"/>
        <v>0</v>
      </c>
    </row>
    <row r="111" spans="1:19" s="471" customFormat="1" x14ac:dyDescent="0.3">
      <c r="A111" s="306"/>
      <c r="B111" s="475"/>
      <c r="C111" s="475"/>
      <c r="D111" s="477"/>
      <c r="E111" s="316"/>
      <c r="F111" s="316"/>
      <c r="G111" s="316"/>
      <c r="H111" s="316"/>
      <c r="I111" s="476"/>
      <c r="J111" s="314"/>
      <c r="K111" s="309"/>
      <c r="L111" s="309"/>
      <c r="M111" s="309"/>
      <c r="N111" s="309"/>
      <c r="O111" s="309"/>
      <c r="P111" s="301"/>
    </row>
    <row r="112" spans="1:19" s="471" customFormat="1" x14ac:dyDescent="0.3">
      <c r="A112" s="306"/>
      <c r="B112" s="475"/>
      <c r="C112" s="475"/>
      <c r="D112" s="477"/>
      <c r="E112" s="316"/>
      <c r="F112" s="316"/>
      <c r="G112" s="316"/>
      <c r="H112" s="316"/>
      <c r="I112" s="476"/>
      <c r="J112" s="314"/>
      <c r="K112" s="309"/>
      <c r="L112" s="309"/>
      <c r="M112" s="309"/>
      <c r="N112" s="309"/>
      <c r="O112" s="309"/>
      <c r="P112" s="301"/>
    </row>
    <row r="113" spans="1:20" s="471" customFormat="1" x14ac:dyDescent="0.3">
      <c r="A113" s="306"/>
      <c r="B113" s="475" t="s">
        <v>1</v>
      </c>
      <c r="C113" s="474"/>
      <c r="D113" s="473"/>
      <c r="E113" s="309"/>
      <c r="F113" s="309"/>
      <c r="G113" s="309"/>
      <c r="H113" s="309"/>
      <c r="I113" s="472"/>
      <c r="J113" s="314"/>
      <c r="K113" s="309"/>
      <c r="L113" s="309"/>
      <c r="M113" s="309"/>
      <c r="N113" s="309"/>
      <c r="O113" s="309"/>
      <c r="P113" s="301"/>
    </row>
    <row r="114" spans="1:20" s="286" customFormat="1" x14ac:dyDescent="0.3">
      <c r="A114" s="306"/>
      <c r="B114" s="470"/>
      <c r="C114" s="470"/>
      <c r="D114" s="469"/>
      <c r="E114" s="468"/>
      <c r="F114" s="468"/>
      <c r="G114" s="468"/>
      <c r="H114" s="468"/>
      <c r="I114" s="467"/>
      <c r="J114" s="466"/>
      <c r="K114" s="309"/>
      <c r="L114" s="309"/>
      <c r="M114" s="309"/>
      <c r="N114" s="309"/>
      <c r="O114" s="309"/>
      <c r="P114" s="301"/>
    </row>
    <row r="115" spans="1:20" s="286" customFormat="1" x14ac:dyDescent="0.3">
      <c r="A115" s="299"/>
      <c r="B115" s="420" t="s">
        <v>578</v>
      </c>
      <c r="C115" s="421" t="s">
        <v>579</v>
      </c>
      <c r="D115" s="422">
        <v>400</v>
      </c>
      <c r="E115" s="280"/>
      <c r="F115" s="280">
        <f>D115+E115</f>
        <v>400</v>
      </c>
      <c r="G115" s="280">
        <f>F115*12</f>
        <v>4800</v>
      </c>
      <c r="H115" s="280">
        <f>F115</f>
        <v>400</v>
      </c>
      <c r="I115" s="465"/>
      <c r="J115" s="464"/>
      <c r="K115" s="309"/>
      <c r="L115" s="309"/>
      <c r="M115" s="309"/>
      <c r="N115" s="309"/>
      <c r="O115" s="309"/>
      <c r="P115" s="301"/>
    </row>
    <row r="116" spans="1:20" s="294" customFormat="1" ht="32.25" customHeight="1" x14ac:dyDescent="0.3">
      <c r="A116" s="412"/>
      <c r="B116" s="463" t="s">
        <v>607</v>
      </c>
      <c r="C116" s="462" t="s">
        <v>606</v>
      </c>
      <c r="D116" s="461">
        <v>300</v>
      </c>
      <c r="E116" s="460"/>
      <c r="F116" s="459">
        <f>D116+E116</f>
        <v>300</v>
      </c>
      <c r="G116" s="280">
        <f>F116*12</f>
        <v>3600</v>
      </c>
      <c r="H116" s="459">
        <v>300</v>
      </c>
      <c r="I116" s="459">
        <f>F116*0.075</f>
        <v>22.5</v>
      </c>
      <c r="J116" s="458">
        <f>F116*0.0775</f>
        <v>23.25</v>
      </c>
      <c r="K116" s="291"/>
      <c r="L116" s="280">
        <f>F116*0.001</f>
        <v>0.3</v>
      </c>
      <c r="M116" s="292"/>
      <c r="N116" s="292"/>
      <c r="O116" s="292"/>
      <c r="P116" s="413"/>
    </row>
    <row r="117" spans="1:20" s="294" customFormat="1" ht="32.25" customHeight="1" x14ac:dyDescent="0.3">
      <c r="A117" s="412"/>
      <c r="B117" s="538"/>
      <c r="C117" s="539" t="s">
        <v>606</v>
      </c>
      <c r="D117" s="540">
        <v>300</v>
      </c>
      <c r="E117" s="541"/>
      <c r="F117" s="542">
        <f>D117+E117</f>
        <v>300</v>
      </c>
      <c r="G117" s="543">
        <f>F117*12</f>
        <v>3600</v>
      </c>
      <c r="H117" s="542">
        <v>300</v>
      </c>
      <c r="I117" s="542">
        <f>F117*0.075</f>
        <v>22.5</v>
      </c>
      <c r="J117" s="544">
        <f>F117*0.0775</f>
        <v>23.25</v>
      </c>
      <c r="K117" s="291"/>
      <c r="L117" s="280">
        <f>F117*0.001</f>
        <v>0.3</v>
      </c>
      <c r="M117" s="292"/>
      <c r="N117" s="292"/>
      <c r="O117" s="292"/>
      <c r="P117" s="413"/>
    </row>
    <row r="118" spans="1:20" s="453" customFormat="1" ht="32.25" customHeight="1" x14ac:dyDescent="0.3">
      <c r="A118" s="457"/>
      <c r="B118" s="456" t="s">
        <v>605</v>
      </c>
      <c r="C118" s="312"/>
      <c r="D118" s="455">
        <f>SUM(D116:D117)</f>
        <v>600</v>
      </c>
      <c r="E118" s="455">
        <f>SUM(E116:E117)</f>
        <v>0</v>
      </c>
      <c r="F118" s="455">
        <f t="shared" ref="F118:Q118" si="40">SUM(F115:F117)</f>
        <v>1000</v>
      </c>
      <c r="G118" s="455">
        <f t="shared" si="40"/>
        <v>12000</v>
      </c>
      <c r="H118" s="455">
        <f t="shared" si="40"/>
        <v>1000</v>
      </c>
      <c r="I118" s="455">
        <f t="shared" si="40"/>
        <v>45</v>
      </c>
      <c r="J118" s="455">
        <f>SUM(J115:J117)</f>
        <v>46.5</v>
      </c>
      <c r="K118" s="455">
        <f t="shared" si="40"/>
        <v>0</v>
      </c>
      <c r="L118" s="455">
        <f t="shared" si="40"/>
        <v>0.6</v>
      </c>
      <c r="M118" s="455">
        <f t="shared" si="40"/>
        <v>0</v>
      </c>
      <c r="N118" s="455">
        <f t="shared" si="40"/>
        <v>0</v>
      </c>
      <c r="O118" s="455">
        <f t="shared" si="40"/>
        <v>0</v>
      </c>
      <c r="P118" s="455">
        <f t="shared" si="40"/>
        <v>0</v>
      </c>
      <c r="Q118" s="455">
        <f t="shared" si="40"/>
        <v>0</v>
      </c>
      <c r="R118" s="455">
        <f>SUM(R116:R117)</f>
        <v>0</v>
      </c>
      <c r="S118" s="455">
        <f>SUM(S116:S117)</f>
        <v>0</v>
      </c>
      <c r="T118" s="454"/>
    </row>
    <row r="119" spans="1:20" ht="25.5" customHeight="1" x14ac:dyDescent="0.3">
      <c r="K119" s="408"/>
      <c r="L119" s="408"/>
      <c r="M119" s="408"/>
      <c r="N119" s="408"/>
      <c r="O119" s="408"/>
      <c r="P119" s="298"/>
    </row>
    <row r="120" spans="1:20" ht="33" x14ac:dyDescent="0.3">
      <c r="A120" s="302"/>
      <c r="B120" s="409"/>
      <c r="C120" s="304" t="s">
        <v>623</v>
      </c>
      <c r="D120" s="303">
        <f>SUM(D61:D109)</f>
        <v>20034.28</v>
      </c>
      <c r="E120" s="303">
        <f>SUM(E61:E109)</f>
        <v>0</v>
      </c>
      <c r="F120" s="303"/>
      <c r="G120" s="303"/>
      <c r="H120" s="303">
        <f>H118+H110+H106+H100+H94+H75+H54</f>
        <v>38153.69</v>
      </c>
      <c r="I120" s="303">
        <f>I118+I110+I106+I100+I94+I75</f>
        <v>710.61</v>
      </c>
      <c r="J120" s="303">
        <f>J118+J110+J106+J100+J94+J75</f>
        <v>683.14699999999993</v>
      </c>
      <c r="K120" s="303">
        <f t="shared" ref="K120:T120" si="41">K118+K110+K106+K100+K94+K75</f>
        <v>0</v>
      </c>
      <c r="L120" s="303">
        <f>L118+L110+L106+L100+L94+L75</f>
        <v>9.4147999999999996</v>
      </c>
      <c r="M120" s="303">
        <f t="shared" si="41"/>
        <v>92.1</v>
      </c>
      <c r="N120" s="303">
        <f t="shared" si="41"/>
        <v>1105.1999999999998</v>
      </c>
      <c r="O120" s="303">
        <f t="shared" si="41"/>
        <v>8305.2000000000007</v>
      </c>
      <c r="P120" s="303">
        <f t="shared" si="41"/>
        <v>0</v>
      </c>
      <c r="Q120" s="303">
        <f t="shared" si="41"/>
        <v>0</v>
      </c>
      <c r="R120" s="303">
        <f t="shared" si="41"/>
        <v>0</v>
      </c>
      <c r="S120" s="303">
        <f t="shared" si="41"/>
        <v>0</v>
      </c>
      <c r="T120" s="303">
        <f t="shared" si="41"/>
        <v>0</v>
      </c>
    </row>
    <row r="121" spans="1:20" x14ac:dyDescent="0.3">
      <c r="A121" s="304"/>
      <c r="B121" s="304"/>
      <c r="C121" s="304"/>
      <c r="D121" s="303"/>
      <c r="E121" s="303"/>
      <c r="F121" s="303"/>
      <c r="G121" s="303"/>
      <c r="H121" s="303"/>
      <c r="I121" s="303">
        <f>I120*12</f>
        <v>8527.32</v>
      </c>
      <c r="J121" s="303"/>
      <c r="K121" s="303"/>
      <c r="L121" s="303"/>
      <c r="M121" s="303"/>
      <c r="N121" s="303"/>
      <c r="O121" s="303"/>
    </row>
    <row r="122" spans="1:20" x14ac:dyDescent="0.3">
      <c r="A122" s="304"/>
      <c r="B122" s="304"/>
      <c r="C122" s="304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</row>
    <row r="123" spans="1:20" x14ac:dyDescent="0.3">
      <c r="A123" s="304"/>
      <c r="C123" s="304" t="s">
        <v>604</v>
      </c>
      <c r="D123" s="303"/>
      <c r="E123" s="303"/>
      <c r="F123" s="303"/>
      <c r="G123" s="303">
        <f>G118+G54</f>
        <v>327298.68</v>
      </c>
      <c r="H123" s="303"/>
      <c r="I123" s="303"/>
      <c r="J123" s="303"/>
      <c r="K123" s="303"/>
      <c r="L123" s="303"/>
      <c r="M123" s="303"/>
      <c r="N123" s="303"/>
      <c r="O123" s="303"/>
    </row>
    <row r="124" spans="1:20" x14ac:dyDescent="0.3">
      <c r="A124" s="304"/>
      <c r="C124" s="304" t="s">
        <v>603</v>
      </c>
      <c r="D124" s="303"/>
      <c r="E124" s="303"/>
      <c r="F124" s="303"/>
      <c r="G124" s="303">
        <f>(I118+I110+I106+I100+I94+I75+I54)*12</f>
        <v>31072.220999999998</v>
      </c>
      <c r="I124" s="303"/>
      <c r="J124" s="303"/>
      <c r="K124" s="303"/>
      <c r="L124" s="303"/>
      <c r="M124" s="303"/>
      <c r="N124" s="303"/>
      <c r="O124" s="303"/>
    </row>
    <row r="125" spans="1:20" x14ac:dyDescent="0.3">
      <c r="A125" s="304"/>
      <c r="C125" s="304" t="s">
        <v>602</v>
      </c>
      <c r="D125" s="303"/>
      <c r="E125" s="303"/>
      <c r="F125" s="303"/>
      <c r="G125" s="303">
        <f>(J118+J110+J106+J100+J94+J75+J54)*12</f>
        <v>31517.411699999997</v>
      </c>
      <c r="H125" s="303"/>
      <c r="I125" s="303"/>
      <c r="J125" s="303"/>
      <c r="K125" s="303"/>
      <c r="L125" s="303"/>
      <c r="M125" s="303"/>
      <c r="N125" s="303"/>
      <c r="O125" s="303"/>
    </row>
    <row r="126" spans="1:20" x14ac:dyDescent="0.3">
      <c r="A126" s="304"/>
      <c r="C126" s="304" t="s">
        <v>601</v>
      </c>
      <c r="D126" s="303"/>
      <c r="E126" s="303"/>
      <c r="F126" s="303"/>
      <c r="G126" s="303">
        <f>K54*12</f>
        <v>1008.0000000000002</v>
      </c>
      <c r="H126" s="303"/>
      <c r="I126" s="303"/>
      <c r="J126" s="303"/>
      <c r="K126" s="303"/>
      <c r="L126" s="303"/>
      <c r="M126" s="303"/>
      <c r="N126" s="303"/>
      <c r="O126" s="303"/>
    </row>
    <row r="127" spans="1:20" x14ac:dyDescent="0.3">
      <c r="A127" s="304"/>
      <c r="B127" s="304"/>
      <c r="C127" s="304" t="s">
        <v>600</v>
      </c>
      <c r="D127" s="303"/>
      <c r="E127" s="303"/>
      <c r="F127" s="303"/>
      <c r="G127" s="303">
        <f>(L118+L110+L106+L100+L94+L75+L54)*12</f>
        <v>428.27627999999999</v>
      </c>
      <c r="H127" s="303"/>
      <c r="I127" s="303"/>
      <c r="J127" s="303"/>
      <c r="K127" s="303"/>
      <c r="L127" s="303"/>
      <c r="M127" s="303"/>
      <c r="N127" s="303"/>
      <c r="O127" s="303"/>
    </row>
    <row r="128" spans="1:20" x14ac:dyDescent="0.3">
      <c r="A128" s="304"/>
      <c r="B128" s="304"/>
      <c r="C128" s="304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</row>
    <row r="129" spans="1:15" x14ac:dyDescent="0.3">
      <c r="A129" s="304"/>
      <c r="B129" s="304"/>
      <c r="C129" s="304" t="s">
        <v>622</v>
      </c>
      <c r="D129" s="303"/>
      <c r="E129" s="303"/>
      <c r="F129" s="303"/>
      <c r="G129" s="303">
        <f>(I118+I110+I106+I100+I94+I75)*12</f>
        <v>8527.32</v>
      </c>
      <c r="H129" s="303"/>
      <c r="I129" s="303"/>
      <c r="J129" s="303"/>
      <c r="K129" s="303"/>
      <c r="L129" s="303"/>
      <c r="M129" s="303"/>
      <c r="N129" s="303"/>
      <c r="O129" s="303"/>
    </row>
    <row r="130" spans="1:15" x14ac:dyDescent="0.3">
      <c r="A130" s="304"/>
      <c r="B130" s="304"/>
      <c r="C130" s="304" t="s">
        <v>624</v>
      </c>
      <c r="D130" s="303"/>
      <c r="E130" s="303"/>
      <c r="F130" s="303"/>
      <c r="G130" s="303">
        <f>(J118+J110+J106+J100+J94+J75)*12</f>
        <v>8197.7639999999992</v>
      </c>
      <c r="H130" s="303"/>
      <c r="I130" s="303"/>
      <c r="J130" s="303"/>
      <c r="K130" s="303"/>
      <c r="L130" s="303"/>
      <c r="M130" s="303"/>
      <c r="N130" s="303"/>
      <c r="O130" s="303"/>
    </row>
    <row r="131" spans="1:15" x14ac:dyDescent="0.3">
      <c r="A131" s="304"/>
      <c r="B131" s="304"/>
      <c r="C131" s="304" t="s">
        <v>625</v>
      </c>
      <c r="D131" s="303"/>
      <c r="E131" s="303"/>
      <c r="F131" s="303"/>
      <c r="G131" s="303">
        <v>11878.8</v>
      </c>
      <c r="H131" s="303"/>
      <c r="I131" s="303"/>
      <c r="J131" s="303"/>
      <c r="K131" s="303"/>
      <c r="L131" s="303"/>
      <c r="M131" s="303"/>
      <c r="N131" s="303"/>
      <c r="O131" s="303"/>
    </row>
    <row r="132" spans="1:15" x14ac:dyDescent="0.3">
      <c r="A132" s="304"/>
      <c r="B132" s="304"/>
      <c r="C132" s="304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</row>
    <row r="133" spans="1:15" x14ac:dyDescent="0.3">
      <c r="A133" s="304"/>
      <c r="B133" s="304"/>
      <c r="C133" s="304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</row>
    <row r="134" spans="1:15" x14ac:dyDescent="0.3">
      <c r="A134" s="304"/>
      <c r="B134" s="304"/>
      <c r="C134" s="304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</row>
    <row r="135" spans="1:15" x14ac:dyDescent="0.3">
      <c r="A135" s="304"/>
      <c r="B135" s="304" t="s">
        <v>626</v>
      </c>
      <c r="C135" s="304" t="s">
        <v>628</v>
      </c>
      <c r="D135" s="303"/>
      <c r="E135" s="303"/>
      <c r="F135" s="303"/>
      <c r="G135" s="303" t="s">
        <v>629</v>
      </c>
      <c r="H135" s="303"/>
      <c r="I135" s="303"/>
      <c r="J135" s="303"/>
      <c r="K135" s="303"/>
      <c r="L135" s="303"/>
      <c r="M135" s="303"/>
      <c r="N135" s="303"/>
      <c r="O135" s="303"/>
    </row>
    <row r="136" spans="1:15" x14ac:dyDescent="0.3">
      <c r="A136" s="304"/>
      <c r="B136" s="304" t="s">
        <v>627</v>
      </c>
      <c r="C136" s="304">
        <f>350*8</f>
        <v>2800</v>
      </c>
      <c r="D136" s="303"/>
      <c r="E136" s="303"/>
      <c r="F136" s="303"/>
      <c r="G136" s="303">
        <f>350*4</f>
        <v>1400</v>
      </c>
      <c r="H136" s="303">
        <f>350*3</f>
        <v>1050</v>
      </c>
      <c r="I136" s="303"/>
      <c r="J136" s="303"/>
      <c r="K136" s="303"/>
      <c r="L136" s="303"/>
      <c r="M136" s="303"/>
      <c r="N136" s="303"/>
      <c r="O136" s="303"/>
    </row>
    <row r="137" spans="1:15" x14ac:dyDescent="0.3">
      <c r="A137" s="304"/>
      <c r="B137" s="304" t="s">
        <v>631</v>
      </c>
      <c r="C137" s="304">
        <f>300*8</f>
        <v>2400</v>
      </c>
      <c r="D137" s="303"/>
      <c r="E137" s="303"/>
      <c r="F137" s="303"/>
      <c r="G137" s="303">
        <f>300*4</f>
        <v>1200</v>
      </c>
      <c r="H137" s="303">
        <f>300*3</f>
        <v>900</v>
      </c>
      <c r="I137" s="303"/>
      <c r="J137" s="303"/>
      <c r="K137" s="303"/>
      <c r="L137" s="303"/>
      <c r="M137" s="303"/>
      <c r="N137" s="303"/>
      <c r="O137" s="303"/>
    </row>
    <row r="138" spans="1:15" x14ac:dyDescent="0.3">
      <c r="A138" s="304"/>
      <c r="B138" s="304" t="s">
        <v>630</v>
      </c>
      <c r="C138" s="304">
        <f>300*8</f>
        <v>2400</v>
      </c>
      <c r="D138" s="303"/>
      <c r="E138" s="303"/>
      <c r="F138" s="303"/>
      <c r="G138" s="303">
        <f>300*4</f>
        <v>1200</v>
      </c>
      <c r="H138" s="303">
        <f>300*3</f>
        <v>900</v>
      </c>
      <c r="I138" s="303"/>
      <c r="J138" s="303"/>
      <c r="K138" s="303"/>
      <c r="L138" s="303"/>
      <c r="M138" s="303"/>
      <c r="N138" s="303"/>
      <c r="O138" s="303"/>
    </row>
    <row r="139" spans="1:15" x14ac:dyDescent="0.3">
      <c r="A139" s="304"/>
      <c r="B139" s="304" t="s">
        <v>632</v>
      </c>
      <c r="C139" s="304">
        <f>3750*8</f>
        <v>30000</v>
      </c>
      <c r="D139" s="303"/>
      <c r="E139" s="303"/>
      <c r="F139" s="303"/>
      <c r="G139" s="303">
        <v>15000</v>
      </c>
      <c r="H139" s="303">
        <f>3750*3</f>
        <v>11250</v>
      </c>
      <c r="I139" s="303"/>
      <c r="J139" s="303"/>
      <c r="K139" s="303"/>
      <c r="L139" s="303"/>
      <c r="M139" s="303"/>
      <c r="N139" s="303"/>
      <c r="O139" s="303"/>
    </row>
    <row r="140" spans="1:15" x14ac:dyDescent="0.3">
      <c r="A140" s="304"/>
      <c r="B140" s="304" t="s">
        <v>278</v>
      </c>
      <c r="C140" s="304"/>
      <c r="D140" s="303"/>
      <c r="E140" s="303"/>
      <c r="F140" s="303"/>
      <c r="G140" s="303">
        <f>SUM(G136:G139)</f>
        <v>18800</v>
      </c>
      <c r="H140" s="303"/>
      <c r="I140" s="303"/>
      <c r="J140" s="303"/>
      <c r="K140" s="303"/>
      <c r="L140" s="303"/>
      <c r="M140" s="303"/>
      <c r="N140" s="303"/>
      <c r="O140" s="303"/>
    </row>
    <row r="141" spans="1:15" x14ac:dyDescent="0.3">
      <c r="A141" s="304"/>
      <c r="B141" s="304"/>
      <c r="C141" s="304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</row>
    <row r="142" spans="1:15" x14ac:dyDescent="0.3">
      <c r="A142" s="304"/>
      <c r="B142" s="304"/>
      <c r="C142" s="304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</row>
    <row r="143" spans="1:15" x14ac:dyDescent="0.3">
      <c r="A143" s="304"/>
      <c r="B143" s="304"/>
      <c r="C143" s="304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</row>
    <row r="144" spans="1:15" x14ac:dyDescent="0.3">
      <c r="A144" s="304"/>
      <c r="B144" s="304"/>
      <c r="C144" s="304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</row>
    <row r="145" spans="1:16" x14ac:dyDescent="0.3">
      <c r="A145" s="304"/>
      <c r="B145" s="304"/>
      <c r="C145" s="304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</row>
    <row r="146" spans="1:16" x14ac:dyDescent="0.3">
      <c r="A146" s="304"/>
      <c r="B146" s="304"/>
      <c r="C146" s="304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</row>
    <row r="147" spans="1:16" x14ac:dyDescent="0.3">
      <c r="A147" s="304"/>
      <c r="B147" s="304"/>
      <c r="C147" s="304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</row>
    <row r="148" spans="1:16" x14ac:dyDescent="0.3">
      <c r="A148" s="304"/>
      <c r="B148" s="304"/>
      <c r="C148" s="304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</row>
    <row r="149" spans="1:16" x14ac:dyDescent="0.3">
      <c r="A149" s="304"/>
      <c r="B149" s="304"/>
      <c r="C149" s="304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</row>
    <row r="150" spans="1:16" x14ac:dyDescent="0.3">
      <c r="A150" s="304"/>
      <c r="B150" s="304"/>
      <c r="C150" s="304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</row>
    <row r="151" spans="1:16" x14ac:dyDescent="0.3">
      <c r="A151" s="304"/>
      <c r="B151" s="304"/>
      <c r="C151" s="304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</row>
    <row r="152" spans="1:16" x14ac:dyDescent="0.3">
      <c r="A152" s="304"/>
      <c r="B152" s="304"/>
      <c r="C152" s="304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</row>
    <row r="153" spans="1:16" x14ac:dyDescent="0.3">
      <c r="A153" s="304"/>
      <c r="B153" s="304"/>
      <c r="C153" s="304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</row>
    <row r="154" spans="1:16" x14ac:dyDescent="0.3">
      <c r="A154" s="304"/>
      <c r="B154" s="304"/>
      <c r="C154" s="304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</row>
    <row r="155" spans="1:16" x14ac:dyDescent="0.3">
      <c r="A155" s="304"/>
      <c r="B155" s="304"/>
      <c r="C155" s="304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</row>
    <row r="156" spans="1:16" x14ac:dyDescent="0.3">
      <c r="A156" s="304"/>
      <c r="B156" s="304"/>
      <c r="C156" s="304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</row>
    <row r="157" spans="1:16" x14ac:dyDescent="0.3">
      <c r="A157" s="661" t="s">
        <v>469</v>
      </c>
      <c r="B157" s="661"/>
      <c r="C157" s="661"/>
      <c r="D157" s="661"/>
      <c r="E157" s="661"/>
      <c r="F157" s="661"/>
      <c r="G157" s="661"/>
      <c r="H157" s="661"/>
      <c r="I157" s="661"/>
      <c r="J157" s="661"/>
      <c r="K157" s="661"/>
      <c r="L157" s="661"/>
      <c r="M157" s="661"/>
      <c r="N157" s="661"/>
      <c r="O157" s="661"/>
      <c r="P157" s="661"/>
    </row>
    <row r="158" spans="1:16" s="286" customFormat="1" x14ac:dyDescent="0.3">
      <c r="A158" s="306"/>
      <c r="B158" s="307"/>
      <c r="C158" s="308"/>
      <c r="D158" s="309"/>
      <c r="E158" s="309"/>
      <c r="F158" s="309"/>
      <c r="G158" s="309"/>
      <c r="H158" s="309"/>
      <c r="I158" s="309"/>
      <c r="J158" s="309"/>
      <c r="K158" s="309"/>
      <c r="L158" s="309"/>
      <c r="M158" s="309"/>
      <c r="N158" s="309"/>
      <c r="O158" s="309"/>
      <c r="P158" s="301"/>
    </row>
    <row r="159" spans="1:16" s="286" customFormat="1" x14ac:dyDescent="0.3">
      <c r="A159" s="306"/>
      <c r="B159" s="307"/>
      <c r="C159" s="308"/>
      <c r="D159" s="309"/>
      <c r="E159" s="309"/>
      <c r="F159" s="309"/>
      <c r="G159" s="309"/>
      <c r="H159" s="309"/>
      <c r="I159" s="309"/>
      <c r="J159" s="309"/>
      <c r="K159" s="309"/>
      <c r="L159" s="309"/>
      <c r="M159" s="309"/>
      <c r="N159" s="309"/>
      <c r="O159" s="309"/>
      <c r="P159" s="301"/>
    </row>
    <row r="160" spans="1:16" s="286" customFormat="1" x14ac:dyDescent="0.3">
      <c r="A160" s="310"/>
      <c r="B160" s="311" t="s">
        <v>470</v>
      </c>
      <c r="C160" s="312" t="s">
        <v>471</v>
      </c>
      <c r="D160" s="309" t="s">
        <v>472</v>
      </c>
      <c r="E160" s="309"/>
      <c r="F160" s="309"/>
      <c r="G160" s="309"/>
      <c r="H160" s="309"/>
      <c r="I160" s="309"/>
      <c r="J160" s="309"/>
      <c r="K160" s="309"/>
      <c r="L160" s="309"/>
      <c r="M160" s="309"/>
      <c r="N160" s="309"/>
      <c r="O160" s="309"/>
      <c r="P160" s="301"/>
    </row>
    <row r="161" spans="1:16" s="286" customFormat="1" x14ac:dyDescent="0.3">
      <c r="A161" s="306"/>
      <c r="B161" s="307" t="s">
        <v>473</v>
      </c>
      <c r="C161" s="314">
        <f>G161</f>
        <v>5118.72</v>
      </c>
      <c r="D161" s="315">
        <v>4</v>
      </c>
      <c r="E161" s="315">
        <v>96</v>
      </c>
      <c r="F161" s="309">
        <v>13.33</v>
      </c>
      <c r="G161" s="309">
        <f t="shared" ref="G161:G166" si="42">D161*E161*F161</f>
        <v>5118.72</v>
      </c>
      <c r="H161" s="309"/>
      <c r="I161" s="309"/>
      <c r="J161" s="309"/>
      <c r="K161" s="309"/>
      <c r="L161" s="309"/>
      <c r="M161" s="309"/>
      <c r="N161" s="309"/>
      <c r="O161" s="309"/>
      <c r="P161" s="301"/>
    </row>
    <row r="162" spans="1:16" s="286" customFormat="1" x14ac:dyDescent="0.3">
      <c r="A162" s="306">
        <v>2</v>
      </c>
      <c r="B162" s="307" t="s">
        <v>474</v>
      </c>
      <c r="C162" s="314">
        <f>G162</f>
        <v>559.86</v>
      </c>
      <c r="D162" s="315">
        <v>6</v>
      </c>
      <c r="E162" s="315">
        <v>7</v>
      </c>
      <c r="F162" s="309">
        <v>13.33</v>
      </c>
      <c r="G162" s="316">
        <f t="shared" si="42"/>
        <v>559.86</v>
      </c>
      <c r="H162" s="309"/>
      <c r="I162" s="309"/>
      <c r="J162" s="309"/>
      <c r="K162" s="309"/>
      <c r="L162" s="309"/>
      <c r="M162" s="309"/>
      <c r="N162" s="309"/>
      <c r="O162" s="309"/>
      <c r="P162" s="301"/>
    </row>
    <row r="163" spans="1:16" s="286" customFormat="1" x14ac:dyDescent="0.3">
      <c r="A163" s="306"/>
      <c r="B163" s="307" t="s">
        <v>475</v>
      </c>
      <c r="C163" s="314">
        <f>G163</f>
        <v>746.48</v>
      </c>
      <c r="D163" s="315">
        <v>8</v>
      </c>
      <c r="E163" s="315">
        <v>7</v>
      </c>
      <c r="F163" s="309">
        <v>13.33</v>
      </c>
      <c r="G163" s="316">
        <f t="shared" si="42"/>
        <v>746.48</v>
      </c>
      <c r="H163" s="309"/>
      <c r="I163" s="309"/>
      <c r="J163" s="309"/>
      <c r="K163" s="309"/>
      <c r="L163" s="309"/>
      <c r="M163" s="309"/>
      <c r="N163" s="309"/>
      <c r="O163" s="309"/>
      <c r="P163" s="301"/>
    </row>
    <row r="164" spans="1:16" s="286" customFormat="1" x14ac:dyDescent="0.3">
      <c r="A164" s="306"/>
      <c r="B164" s="307" t="s">
        <v>476</v>
      </c>
      <c r="C164" s="314">
        <f>G164</f>
        <v>1466.3</v>
      </c>
      <c r="D164" s="315">
        <v>10</v>
      </c>
      <c r="E164" s="315">
        <v>11</v>
      </c>
      <c r="F164" s="309">
        <v>13.33</v>
      </c>
      <c r="G164" s="316">
        <f t="shared" si="42"/>
        <v>1466.3</v>
      </c>
      <c r="H164" s="309"/>
      <c r="I164" s="309"/>
      <c r="J164" s="309"/>
      <c r="K164" s="309"/>
      <c r="L164" s="309"/>
      <c r="M164" s="309"/>
      <c r="N164" s="309"/>
      <c r="O164" s="309"/>
      <c r="P164" s="301"/>
    </row>
    <row r="165" spans="1:16" s="286" customFormat="1" ht="14.25" customHeight="1" x14ac:dyDescent="0.3">
      <c r="A165" s="306"/>
      <c r="B165" s="307" t="s">
        <v>477</v>
      </c>
      <c r="C165" s="313">
        <v>1279.68</v>
      </c>
      <c r="D165" s="315">
        <v>4</v>
      </c>
      <c r="E165" s="315">
        <v>24</v>
      </c>
      <c r="F165" s="309">
        <v>13.33</v>
      </c>
      <c r="G165" s="316">
        <f t="shared" si="42"/>
        <v>1279.68</v>
      </c>
      <c r="H165" s="309"/>
      <c r="I165" s="309"/>
      <c r="J165" s="309"/>
      <c r="K165" s="309"/>
      <c r="L165" s="309"/>
      <c r="M165" s="309"/>
      <c r="N165" s="309"/>
      <c r="O165" s="309"/>
      <c r="P165" s="301"/>
    </row>
    <row r="166" spans="1:16" s="286" customFormat="1" x14ac:dyDescent="0.3">
      <c r="A166" s="306"/>
      <c r="B166" s="307" t="s">
        <v>478</v>
      </c>
      <c r="C166" s="314">
        <f>G166</f>
        <v>1439.64</v>
      </c>
      <c r="D166" s="315">
        <v>1</v>
      </c>
      <c r="E166" s="315">
        <v>108</v>
      </c>
      <c r="F166" s="309">
        <v>13.33</v>
      </c>
      <c r="G166" s="316">
        <f t="shared" si="42"/>
        <v>1439.64</v>
      </c>
      <c r="H166" s="309"/>
      <c r="I166" s="309"/>
      <c r="J166" s="309"/>
      <c r="K166" s="309"/>
      <c r="L166" s="309"/>
      <c r="M166" s="309"/>
      <c r="N166" s="309"/>
      <c r="O166" s="309"/>
      <c r="P166" s="301"/>
    </row>
    <row r="167" spans="1:16" s="286" customFormat="1" x14ac:dyDescent="0.3">
      <c r="A167" s="317"/>
      <c r="B167" s="318" t="s">
        <v>479</v>
      </c>
      <c r="C167" s="319">
        <f>G167*12</f>
        <v>4800</v>
      </c>
      <c r="D167" s="320"/>
      <c r="E167" s="315"/>
      <c r="F167" s="309"/>
      <c r="G167" s="316">
        <v>400</v>
      </c>
      <c r="H167" s="309"/>
      <c r="I167" s="309"/>
      <c r="J167" s="309"/>
      <c r="K167" s="309"/>
      <c r="L167" s="309"/>
      <c r="M167" s="309"/>
      <c r="N167" s="309"/>
      <c r="O167" s="309"/>
      <c r="P167" s="301"/>
    </row>
    <row r="168" spans="1:16" s="286" customFormat="1" x14ac:dyDescent="0.3">
      <c r="A168" s="306"/>
      <c r="B168" s="307" t="s">
        <v>480</v>
      </c>
      <c r="C168" s="314">
        <f>350*12</f>
        <v>4200</v>
      </c>
      <c r="D168" s="309"/>
      <c r="E168" s="315"/>
      <c r="F168" s="309"/>
      <c r="G168" s="316"/>
      <c r="H168" s="309"/>
      <c r="I168" s="309"/>
      <c r="J168" s="309"/>
      <c r="K168" s="309"/>
      <c r="L168" s="309"/>
      <c r="M168" s="309"/>
      <c r="N168" s="309"/>
      <c r="O168" s="309"/>
      <c r="P168" s="301"/>
    </row>
    <row r="169" spans="1:16" s="286" customFormat="1" x14ac:dyDescent="0.3">
      <c r="A169" s="306">
        <v>4</v>
      </c>
      <c r="B169" s="307" t="s">
        <v>519</v>
      </c>
      <c r="C169" s="314">
        <f>4*15*166.67</f>
        <v>10000.199999999999</v>
      </c>
      <c r="D169" s="309" t="s">
        <v>599</v>
      </c>
      <c r="E169" s="315"/>
      <c r="F169" s="309"/>
      <c r="G169" s="316"/>
      <c r="H169" s="309"/>
      <c r="I169" s="309"/>
      <c r="J169" s="309"/>
      <c r="K169" s="309"/>
      <c r="L169" s="309"/>
      <c r="M169" s="309"/>
      <c r="N169" s="309"/>
      <c r="O169" s="309"/>
      <c r="P169" s="301"/>
    </row>
    <row r="170" spans="1:16" s="286" customFormat="1" x14ac:dyDescent="0.3">
      <c r="A170" s="306"/>
      <c r="B170" s="311" t="s">
        <v>278</v>
      </c>
      <c r="C170" s="321">
        <f>SUM(C161:C169)</f>
        <v>29610.879999999997</v>
      </c>
      <c r="D170" s="309"/>
      <c r="E170" s="309"/>
      <c r="F170" s="309"/>
      <c r="G170" s="309"/>
      <c r="H170" s="309"/>
      <c r="I170" s="309"/>
      <c r="J170" s="309"/>
      <c r="K170" s="309"/>
      <c r="L170" s="309"/>
      <c r="M170" s="309"/>
      <c r="N170" s="309"/>
      <c r="O170" s="309"/>
      <c r="P170" s="301"/>
    </row>
    <row r="171" spans="1:16" s="286" customFormat="1" x14ac:dyDescent="0.3">
      <c r="A171" s="306"/>
      <c r="B171" s="307"/>
      <c r="C171" s="308"/>
      <c r="D171" s="309"/>
      <c r="E171" s="309"/>
      <c r="F171" s="309"/>
      <c r="G171" s="309"/>
      <c r="H171" s="309"/>
      <c r="I171" s="309"/>
      <c r="J171" s="309"/>
      <c r="K171" s="309"/>
      <c r="L171" s="309"/>
      <c r="M171" s="309"/>
      <c r="N171" s="309"/>
      <c r="O171" s="309"/>
      <c r="P171" s="301"/>
    </row>
    <row r="172" spans="1:16" ht="24.75" customHeight="1" x14ac:dyDescent="0.3">
      <c r="A172" s="660" t="s">
        <v>481</v>
      </c>
      <c r="B172" s="660"/>
      <c r="C172" s="660"/>
      <c r="D172" s="660"/>
      <c r="E172" s="660"/>
      <c r="F172" s="660"/>
      <c r="G172" s="660"/>
      <c r="H172" s="427"/>
      <c r="I172" s="322"/>
    </row>
    <row r="173" spans="1:16" ht="60" customHeight="1" x14ac:dyDescent="0.3">
      <c r="A173" s="660" t="s">
        <v>482</v>
      </c>
      <c r="B173" s="660"/>
      <c r="C173" s="660"/>
      <c r="D173" s="660"/>
      <c r="E173" s="660"/>
      <c r="F173" s="660"/>
      <c r="G173" s="660"/>
      <c r="H173" s="660"/>
      <c r="I173" s="660"/>
    </row>
    <row r="174" spans="1:16" ht="60" customHeight="1" x14ac:dyDescent="0.3">
      <c r="A174" s="660" t="s">
        <v>483</v>
      </c>
      <c r="B174" s="660"/>
      <c r="C174" s="660"/>
      <c r="D174" s="660"/>
      <c r="E174" s="660"/>
      <c r="F174" s="660"/>
      <c r="G174" s="660"/>
      <c r="H174" s="427"/>
      <c r="I174" s="323" t="e">
        <f>#REF!+I120+I54</f>
        <v>#REF!</v>
      </c>
      <c r="J174" s="323" t="e">
        <f>#REF!+J120+J54</f>
        <v>#REF!</v>
      </c>
      <c r="K174" s="323" t="e">
        <f>#REF!+K120+K54</f>
        <v>#REF!</v>
      </c>
      <c r="L174" s="323" t="e">
        <f>#REF!+L120+L54</f>
        <v>#REF!</v>
      </c>
      <c r="M174" s="323" t="e">
        <f>#REF!+M120+M54</f>
        <v>#REF!</v>
      </c>
      <c r="N174" s="323" t="e">
        <f>#REF!+N120+N54</f>
        <v>#REF!</v>
      </c>
      <c r="O174" s="323" t="e">
        <f>#REF!+O120+O54</f>
        <v>#REF!</v>
      </c>
    </row>
    <row r="175" spans="1:16" ht="60" customHeight="1" x14ac:dyDescent="0.3">
      <c r="A175" s="660" t="s">
        <v>484</v>
      </c>
      <c r="B175" s="660"/>
      <c r="C175" s="660"/>
      <c r="D175" s="660"/>
      <c r="E175" s="660"/>
      <c r="F175" s="660"/>
      <c r="G175" s="660"/>
      <c r="H175" s="427"/>
      <c r="I175" s="322" t="e">
        <f>I174*12</f>
        <v>#REF!</v>
      </c>
      <c r="J175" s="322" t="e">
        <f>J174*12</f>
        <v>#REF!</v>
      </c>
      <c r="K175" s="322" t="e">
        <f>K174*12</f>
        <v>#REF!</v>
      </c>
      <c r="L175" s="322" t="e">
        <f>L174*12</f>
        <v>#REF!</v>
      </c>
      <c r="M175" s="322" t="e">
        <f>M174*12</f>
        <v>#REF!</v>
      </c>
    </row>
    <row r="176" spans="1:16" ht="60" customHeight="1" x14ac:dyDescent="0.3">
      <c r="A176" s="660" t="s">
        <v>485</v>
      </c>
      <c r="B176" s="660"/>
      <c r="C176" s="660"/>
      <c r="D176" s="660"/>
      <c r="E176" s="660"/>
      <c r="F176" s="660"/>
      <c r="G176" s="660"/>
      <c r="H176" s="427"/>
      <c r="I176" s="322"/>
    </row>
    <row r="177" spans="1:16" ht="60" customHeight="1" x14ac:dyDescent="0.3">
      <c r="A177" s="660" t="s">
        <v>486</v>
      </c>
      <c r="B177" s="660"/>
      <c r="C177" s="660"/>
      <c r="D177" s="660"/>
      <c r="E177" s="660"/>
      <c r="F177" s="660"/>
      <c r="G177" s="660"/>
      <c r="H177" s="427"/>
      <c r="I177" s="322"/>
    </row>
    <row r="178" spans="1:16" ht="60" customHeight="1" x14ac:dyDescent="0.3">
      <c r="A178" s="660" t="s">
        <v>487</v>
      </c>
      <c r="B178" s="660"/>
      <c r="C178" s="660"/>
      <c r="D178" s="660"/>
      <c r="E178" s="660"/>
      <c r="F178" s="660"/>
      <c r="G178" s="660"/>
      <c r="H178" s="427"/>
      <c r="I178" s="322"/>
      <c r="M178" s="305" t="e">
        <f>M175+[1]FODES!N56</f>
        <v>#REF!</v>
      </c>
    </row>
    <row r="179" spans="1:16" ht="60" customHeight="1" x14ac:dyDescent="0.3">
      <c r="A179" s="660" t="s">
        <v>488</v>
      </c>
      <c r="B179" s="660"/>
      <c r="C179" s="660"/>
      <c r="D179" s="660"/>
      <c r="E179" s="322"/>
      <c r="F179" s="322"/>
      <c r="G179" s="322"/>
      <c r="H179" s="322"/>
      <c r="I179" s="322"/>
    </row>
    <row r="180" spans="1:16" ht="60" customHeight="1" x14ac:dyDescent="0.3">
      <c r="A180" s="660" t="s">
        <v>489</v>
      </c>
      <c r="B180" s="660"/>
      <c r="C180" s="660"/>
      <c r="D180" s="660"/>
      <c r="E180" s="660"/>
      <c r="F180" s="660"/>
      <c r="G180" s="660"/>
      <c r="H180" s="427"/>
      <c r="I180" s="322"/>
    </row>
    <row r="181" spans="1:16" ht="36" customHeight="1" x14ac:dyDescent="0.3">
      <c r="A181" s="660" t="s">
        <v>490</v>
      </c>
      <c r="B181" s="660"/>
      <c r="C181" s="660"/>
      <c r="D181" s="660"/>
      <c r="E181" s="660"/>
      <c r="F181" s="660"/>
      <c r="G181" s="660"/>
      <c r="H181" s="427"/>
    </row>
    <row r="183" spans="1:16" ht="31.5" customHeight="1" x14ac:dyDescent="0.3"/>
    <row r="184" spans="1:16" ht="31.5" customHeight="1" x14ac:dyDescent="0.3">
      <c r="B184" s="305"/>
      <c r="C184" s="305"/>
      <c r="F184" s="324">
        <v>0.75</v>
      </c>
      <c r="I184" s="305" t="s">
        <v>491</v>
      </c>
      <c r="J184" s="305">
        <v>500</v>
      </c>
      <c r="K184" s="305">
        <f>J184*12</f>
        <v>6000</v>
      </c>
      <c r="M184" s="325" t="s">
        <v>1</v>
      </c>
      <c r="N184" s="326"/>
    </row>
    <row r="185" spans="1:16" x14ac:dyDescent="0.3">
      <c r="B185" s="305"/>
      <c r="C185" s="305"/>
      <c r="E185" s="305" t="e">
        <f>G120+G54+#REF!</f>
        <v>#REF!</v>
      </c>
      <c r="I185" s="305" t="s">
        <v>492</v>
      </c>
      <c r="J185" s="305">
        <f>4031.49+5693.17+1229</f>
        <v>10953.66</v>
      </c>
      <c r="K185" s="305">
        <f t="shared" ref="K185:K190" si="43">J185*9</f>
        <v>98582.94</v>
      </c>
      <c r="M185" s="326" t="s">
        <v>493</v>
      </c>
      <c r="N185" s="326"/>
      <c r="O185" s="326">
        <v>56995.9</v>
      </c>
    </row>
    <row r="186" spans="1:16" ht="49.5" x14ac:dyDescent="0.3">
      <c r="B186" s="305"/>
      <c r="C186" s="305"/>
      <c r="D186" s="305" t="s">
        <v>494</v>
      </c>
      <c r="E186" s="327" t="e">
        <f>E185-F185</f>
        <v>#REF!</v>
      </c>
      <c r="I186" s="305" t="s">
        <v>495</v>
      </c>
      <c r="J186" s="305">
        <v>357.53</v>
      </c>
      <c r="K186" s="305">
        <f t="shared" si="43"/>
        <v>3217.7699999999995</v>
      </c>
      <c r="M186" s="326" t="s">
        <v>85</v>
      </c>
      <c r="N186" s="326"/>
      <c r="O186" s="326">
        <v>31398.22</v>
      </c>
    </row>
    <row r="187" spans="1:16" x14ac:dyDescent="0.3">
      <c r="B187" s="264"/>
      <c r="C187" s="328" t="s">
        <v>25</v>
      </c>
      <c r="D187" s="305" t="s">
        <v>496</v>
      </c>
      <c r="E187" s="305">
        <v>30000</v>
      </c>
      <c r="I187" s="305" t="s">
        <v>497</v>
      </c>
      <c r="J187" s="305">
        <v>104.97</v>
      </c>
      <c r="K187" s="305">
        <f t="shared" si="43"/>
        <v>944.73</v>
      </c>
      <c r="M187" s="305" t="s">
        <v>492</v>
      </c>
      <c r="N187" s="305">
        <f>4031.49+5693.17+1229</f>
        <v>10953.66</v>
      </c>
      <c r="O187" s="305">
        <f>N187*3</f>
        <v>32860.979999999996</v>
      </c>
    </row>
    <row r="188" spans="1:16" x14ac:dyDescent="0.3">
      <c r="B188" s="305"/>
      <c r="C188" s="305"/>
      <c r="D188" s="305" t="s">
        <v>498</v>
      </c>
      <c r="E188" s="305">
        <v>42000</v>
      </c>
      <c r="I188" s="305" t="s">
        <v>499</v>
      </c>
      <c r="J188" s="305">
        <v>500</v>
      </c>
      <c r="K188" s="305">
        <f t="shared" si="43"/>
        <v>4500</v>
      </c>
      <c r="M188" s="305" t="s">
        <v>495</v>
      </c>
      <c r="N188" s="305">
        <v>357.53</v>
      </c>
      <c r="O188" s="305">
        <f>N188*3</f>
        <v>1072.5899999999999</v>
      </c>
    </row>
    <row r="189" spans="1:16" ht="49.5" x14ac:dyDescent="0.3">
      <c r="B189" s="305"/>
      <c r="C189" s="305"/>
      <c r="D189" s="305" t="s">
        <v>500</v>
      </c>
      <c r="E189" s="327">
        <v>0</v>
      </c>
      <c r="I189" s="264" t="s">
        <v>501</v>
      </c>
      <c r="J189" s="264">
        <v>400</v>
      </c>
      <c r="K189" s="305">
        <f t="shared" si="43"/>
        <v>3600</v>
      </c>
      <c r="M189" s="305" t="s">
        <v>497</v>
      </c>
      <c r="N189" s="305">
        <v>104.97</v>
      </c>
      <c r="O189" s="305">
        <f>N189*3</f>
        <v>314.90999999999997</v>
      </c>
    </row>
    <row r="190" spans="1:16" ht="49.5" x14ac:dyDescent="0.3">
      <c r="B190" s="305"/>
      <c r="C190" s="305"/>
      <c r="E190" s="327" t="e">
        <f>SUM(E186:E189)</f>
        <v>#REF!</v>
      </c>
      <c r="I190" s="305" t="s">
        <v>502</v>
      </c>
      <c r="J190" s="305">
        <v>833</v>
      </c>
      <c r="K190" s="305">
        <f t="shared" si="43"/>
        <v>7497</v>
      </c>
      <c r="M190" s="305" t="s">
        <v>499</v>
      </c>
      <c r="N190" s="305">
        <v>500</v>
      </c>
      <c r="O190" s="305">
        <f>N190*3</f>
        <v>1500</v>
      </c>
    </row>
    <row r="191" spans="1:16" ht="33" x14ac:dyDescent="0.3">
      <c r="B191" s="305"/>
      <c r="C191" s="327">
        <v>508715.28</v>
      </c>
      <c r="D191" s="305" t="s">
        <v>503</v>
      </c>
      <c r="E191" s="305">
        <f>C191*0.75</f>
        <v>381536.46</v>
      </c>
      <c r="G191" s="327">
        <f>C191-E191+896.94</f>
        <v>128075.76000000001</v>
      </c>
      <c r="H191" s="327"/>
      <c r="I191" s="305" t="s">
        <v>504</v>
      </c>
      <c r="K191" s="329">
        <v>3733.32</v>
      </c>
      <c r="L191" s="264"/>
      <c r="M191" s="305" t="s">
        <v>505</v>
      </c>
      <c r="N191" s="305">
        <v>400</v>
      </c>
      <c r="O191" s="305">
        <f>N191*3</f>
        <v>1200</v>
      </c>
      <c r="P191" s="305"/>
    </row>
    <row r="192" spans="1:16" ht="33" x14ac:dyDescent="0.3">
      <c r="B192" s="305"/>
      <c r="C192" s="305"/>
      <c r="D192" s="305" t="s">
        <v>506</v>
      </c>
      <c r="E192" s="305" t="e">
        <f>E190-E191</f>
        <v>#REF!</v>
      </c>
      <c r="F192" s="303" t="e">
        <f>E192/12</f>
        <v>#REF!</v>
      </c>
      <c r="I192" s="264"/>
      <c r="J192" s="264"/>
      <c r="K192" s="264"/>
      <c r="M192" s="305" t="s">
        <v>507</v>
      </c>
      <c r="N192" s="305">
        <f>2701.06-251.7+40.67</f>
        <v>2490.0300000000002</v>
      </c>
      <c r="O192" s="305">
        <f>N192*10</f>
        <v>24900.300000000003</v>
      </c>
      <c r="P192" s="305"/>
    </row>
    <row r="193" spans="2:16" x14ac:dyDescent="0.3">
      <c r="B193" s="305"/>
      <c r="C193" s="305"/>
      <c r="F193" s="303"/>
      <c r="K193" s="305">
        <f>SUM(K184:K192)</f>
        <v>128075.76000000001</v>
      </c>
      <c r="L193" s="305">
        <f>G191-K193</f>
        <v>0</v>
      </c>
      <c r="M193" s="305" t="s">
        <v>508</v>
      </c>
      <c r="N193" s="305">
        <v>6000</v>
      </c>
      <c r="O193" s="305">
        <f>N193*5</f>
        <v>30000</v>
      </c>
      <c r="P193" s="305"/>
    </row>
    <row r="194" spans="2:16" x14ac:dyDescent="0.3">
      <c r="B194" s="305"/>
      <c r="C194" s="264"/>
      <c r="D194" s="264"/>
      <c r="E194" s="264"/>
      <c r="F194" s="303"/>
      <c r="I194" s="264"/>
      <c r="J194" s="264"/>
      <c r="K194" s="264"/>
      <c r="L194" s="264"/>
      <c r="M194" s="305" t="s">
        <v>509</v>
      </c>
      <c r="O194" s="305">
        <f>5000-K191</f>
        <v>1266.6799999999998</v>
      </c>
      <c r="P194" s="305"/>
    </row>
    <row r="195" spans="2:16" x14ac:dyDescent="0.3">
      <c r="B195" s="305"/>
      <c r="C195" s="264"/>
      <c r="D195" s="264"/>
      <c r="E195" s="264"/>
      <c r="F195" s="303"/>
      <c r="I195" s="264"/>
      <c r="J195" s="264"/>
      <c r="K195" s="264"/>
      <c r="L195" s="264"/>
      <c r="M195" s="305" t="s">
        <v>510</v>
      </c>
      <c r="O195" s="305">
        <v>30000</v>
      </c>
      <c r="P195" s="305"/>
    </row>
    <row r="196" spans="2:16" ht="33" x14ac:dyDescent="0.3">
      <c r="B196" s="305"/>
      <c r="C196" s="264"/>
      <c r="D196" s="264"/>
      <c r="E196" s="264"/>
      <c r="F196" s="303"/>
      <c r="I196" s="264"/>
      <c r="J196" s="264">
        <f>7500/12</f>
        <v>625</v>
      </c>
      <c r="K196" s="264"/>
      <c r="L196" s="264"/>
      <c r="M196" s="305" t="s">
        <v>511</v>
      </c>
      <c r="O196" s="305">
        <v>12000</v>
      </c>
      <c r="P196" s="305"/>
    </row>
    <row r="197" spans="2:16" x14ac:dyDescent="0.3">
      <c r="B197" s="305"/>
      <c r="C197" s="264"/>
      <c r="D197" s="264"/>
      <c r="E197" s="264"/>
      <c r="I197" s="264"/>
      <c r="J197" s="264"/>
      <c r="K197" s="264"/>
      <c r="L197" s="264"/>
      <c r="P197" s="305"/>
    </row>
    <row r="198" spans="2:16" x14ac:dyDescent="0.3">
      <c r="B198" s="305"/>
      <c r="C198" s="264"/>
      <c r="D198" s="264"/>
      <c r="E198" s="264"/>
      <c r="I198" s="264"/>
      <c r="J198" s="264"/>
      <c r="K198" s="264"/>
      <c r="L198" s="264"/>
      <c r="O198" s="305">
        <f>SUM(O185:O196)</f>
        <v>223509.58</v>
      </c>
      <c r="P198" s="305"/>
    </row>
    <row r="199" spans="2:16" x14ac:dyDescent="0.3">
      <c r="E199" s="264"/>
      <c r="F199" s="264"/>
      <c r="G199" s="264"/>
      <c r="H199" s="264"/>
    </row>
    <row r="200" spans="2:16" x14ac:dyDescent="0.3">
      <c r="E200" s="264"/>
      <c r="F200" s="264"/>
      <c r="G200" s="264"/>
      <c r="H200" s="264"/>
      <c r="J200" s="264"/>
      <c r="K200" s="264"/>
      <c r="L200" s="264"/>
      <c r="M200" s="264"/>
      <c r="N200" s="264"/>
      <c r="O200" s="264"/>
    </row>
    <row r="201" spans="2:16" x14ac:dyDescent="0.3">
      <c r="E201" s="264"/>
      <c r="J201" s="264"/>
      <c r="K201" s="264"/>
      <c r="L201" s="264"/>
      <c r="M201" s="264"/>
      <c r="N201" s="330">
        <v>271423.83</v>
      </c>
      <c r="O201" s="264"/>
    </row>
    <row r="202" spans="2:16" x14ac:dyDescent="0.3">
      <c r="E202" s="264"/>
      <c r="F202" s="264"/>
      <c r="G202" s="264"/>
      <c r="H202" s="264"/>
      <c r="J202" s="264"/>
      <c r="K202" s="264"/>
      <c r="L202" s="264"/>
      <c r="M202" s="264"/>
      <c r="N202" s="264"/>
      <c r="O202" s="264"/>
    </row>
    <row r="203" spans="2:16" x14ac:dyDescent="0.3">
      <c r="E203" s="264"/>
      <c r="F203" s="264"/>
      <c r="G203" s="264"/>
      <c r="H203" s="264"/>
      <c r="J203" s="264"/>
      <c r="K203" s="264"/>
      <c r="L203" s="264"/>
      <c r="M203" s="264"/>
      <c r="N203" s="305">
        <f>N201-O198</f>
        <v>47914.250000000029</v>
      </c>
      <c r="O203" s="264"/>
    </row>
    <row r="204" spans="2:16" x14ac:dyDescent="0.3">
      <c r="E204" s="264"/>
      <c r="F204" s="264"/>
      <c r="G204" s="264"/>
      <c r="H204" s="264"/>
      <c r="J204" s="264"/>
      <c r="K204" s="264"/>
      <c r="L204" s="264"/>
      <c r="M204" s="264"/>
      <c r="N204" s="264"/>
      <c r="O204" s="264"/>
    </row>
    <row r="205" spans="2:16" hidden="1" x14ac:dyDescent="0.3">
      <c r="C205" s="331"/>
      <c r="D205" s="332"/>
      <c r="E205" s="264"/>
      <c r="F205" s="264"/>
      <c r="G205" s="264"/>
      <c r="H205" s="264"/>
      <c r="J205" s="264"/>
      <c r="K205" s="264"/>
      <c r="L205" s="264"/>
      <c r="M205" s="264"/>
      <c r="N205" s="264"/>
      <c r="O205" s="264"/>
    </row>
    <row r="206" spans="2:16" hidden="1" x14ac:dyDescent="0.3">
      <c r="B206" s="303" t="s">
        <v>85</v>
      </c>
      <c r="E206" s="264"/>
      <c r="F206" s="264"/>
      <c r="G206" s="264"/>
      <c r="H206" s="264"/>
      <c r="J206" s="264"/>
      <c r="K206" s="264"/>
      <c r="L206" s="264"/>
      <c r="M206" s="264"/>
      <c r="N206" s="264"/>
      <c r="O206" s="264"/>
    </row>
    <row r="207" spans="2:16" hidden="1" x14ac:dyDescent="0.3">
      <c r="B207" s="305" t="s">
        <v>512</v>
      </c>
      <c r="C207" s="305">
        <v>500</v>
      </c>
      <c r="D207" s="305">
        <f>C207*10</f>
        <v>5000</v>
      </c>
      <c r="E207" s="264"/>
      <c r="F207" s="264"/>
      <c r="G207" s="264"/>
      <c r="H207" s="264"/>
      <c r="J207" s="264"/>
      <c r="K207" s="264"/>
      <c r="L207" s="264"/>
      <c r="M207" s="264"/>
      <c r="N207" s="264"/>
      <c r="O207" s="264"/>
    </row>
    <row r="208" spans="2:16" hidden="1" x14ac:dyDescent="0.3">
      <c r="B208" s="305" t="s">
        <v>513</v>
      </c>
      <c r="C208" s="305">
        <v>550</v>
      </c>
      <c r="D208" s="305">
        <f>C208*4</f>
        <v>2200</v>
      </c>
      <c r="E208" s="264"/>
      <c r="F208" s="264"/>
      <c r="G208" s="264"/>
      <c r="H208" s="264"/>
      <c r="J208" s="264"/>
      <c r="K208" s="264"/>
      <c r="L208" s="264"/>
      <c r="M208" s="264"/>
      <c r="N208" s="264"/>
      <c r="O208" s="264"/>
    </row>
    <row r="209" spans="2:15" hidden="1" x14ac:dyDescent="0.3">
      <c r="B209" s="305" t="s">
        <v>514</v>
      </c>
      <c r="C209" s="305">
        <v>700</v>
      </c>
      <c r="D209" s="305">
        <f>C209*12</f>
        <v>8400</v>
      </c>
      <c r="E209" s="264"/>
      <c r="F209" s="264"/>
      <c r="G209" s="264"/>
      <c r="H209" s="264"/>
      <c r="J209" s="264"/>
      <c r="K209" s="264"/>
      <c r="L209" s="264"/>
      <c r="M209" s="264"/>
      <c r="N209" s="264"/>
      <c r="O209" s="264"/>
    </row>
    <row r="210" spans="2:15" hidden="1" x14ac:dyDescent="0.3">
      <c r="B210" s="305" t="s">
        <v>515</v>
      </c>
      <c r="C210" s="305">
        <v>300</v>
      </c>
      <c r="D210" s="305">
        <f>C210*4</f>
        <v>1200</v>
      </c>
      <c r="K210" s="264"/>
      <c r="L210" s="264"/>
      <c r="M210" s="264"/>
      <c r="N210" s="264"/>
      <c r="O210" s="264"/>
    </row>
    <row r="211" spans="2:15" hidden="1" x14ac:dyDescent="0.3">
      <c r="B211" s="333" t="s">
        <v>516</v>
      </c>
      <c r="C211" s="333">
        <v>500</v>
      </c>
      <c r="D211" s="333">
        <v>3858.22</v>
      </c>
      <c r="K211" s="264"/>
      <c r="L211" s="264"/>
      <c r="M211" s="264"/>
      <c r="N211" s="264"/>
    </row>
    <row r="212" spans="2:15" hidden="1" x14ac:dyDescent="0.3">
      <c r="B212" s="305" t="s">
        <v>517</v>
      </c>
      <c r="C212" s="305">
        <v>300</v>
      </c>
      <c r="D212" s="305">
        <f>C212*5</f>
        <v>1500</v>
      </c>
      <c r="K212" s="264"/>
      <c r="L212" s="264"/>
      <c r="M212" s="264"/>
      <c r="N212" s="264"/>
    </row>
    <row r="213" spans="2:15" hidden="1" x14ac:dyDescent="0.3">
      <c r="B213" s="305" t="s">
        <v>518</v>
      </c>
      <c r="C213" s="305">
        <v>770</v>
      </c>
      <c r="D213" s="305">
        <f>C213*12</f>
        <v>9240</v>
      </c>
      <c r="K213" s="264"/>
      <c r="L213" s="264"/>
      <c r="M213" s="264"/>
      <c r="N213" s="264"/>
    </row>
    <row r="214" spans="2:15" hidden="1" x14ac:dyDescent="0.3">
      <c r="B214" s="305"/>
      <c r="C214" s="303">
        <f>SUM(C208:C213)</f>
        <v>3120</v>
      </c>
      <c r="D214" s="303">
        <f>SUM(D207:D213)</f>
        <v>31398.22</v>
      </c>
    </row>
    <row r="215" spans="2:15" hidden="1" x14ac:dyDescent="0.3"/>
    <row r="216" spans="2:15" x14ac:dyDescent="0.3">
      <c r="K216" s="264"/>
      <c r="L216" s="264"/>
      <c r="M216" s="264"/>
      <c r="N216" s="264"/>
      <c r="O216" s="264"/>
    </row>
    <row r="217" spans="2:15" x14ac:dyDescent="0.3">
      <c r="B217" s="427" t="s">
        <v>80</v>
      </c>
    </row>
    <row r="218" spans="2:15" x14ac:dyDescent="0.3">
      <c r="B218" s="334">
        <v>12000</v>
      </c>
    </row>
  </sheetData>
  <mergeCells count="15">
    <mergeCell ref="A174:G174"/>
    <mergeCell ref="A1:P1"/>
    <mergeCell ref="A54:C54"/>
    <mergeCell ref="A157:P157"/>
    <mergeCell ref="A172:G172"/>
    <mergeCell ref="A173:I173"/>
    <mergeCell ref="A60:P60"/>
    <mergeCell ref="A75:C75"/>
    <mergeCell ref="A181:G181"/>
    <mergeCell ref="A175:G175"/>
    <mergeCell ref="A176:G176"/>
    <mergeCell ref="A177:G177"/>
    <mergeCell ref="A178:G178"/>
    <mergeCell ref="A179:D179"/>
    <mergeCell ref="A180:G180"/>
  </mergeCells>
  <pageMargins left="0.7" right="0.7" top="0.75" bottom="0.75" header="0.3" footer="0.3"/>
  <pageSetup orientation="landscape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"/>
  <sheetViews>
    <sheetView topLeftCell="K4" zoomScale="106" zoomScaleNormal="106" workbookViewId="0">
      <selection activeCell="B14" sqref="B14"/>
    </sheetView>
  </sheetViews>
  <sheetFormatPr baseColWidth="10" defaultRowHeight="15" x14ac:dyDescent="0.25"/>
  <cols>
    <col min="1" max="1" width="6.7109375" customWidth="1"/>
    <col min="2" max="2" width="38.42578125" customWidth="1"/>
    <col min="3" max="3" width="15.28515625" customWidth="1"/>
    <col min="4" max="5" width="13.5703125" customWidth="1"/>
    <col min="6" max="6" width="14.7109375" customWidth="1"/>
    <col min="7" max="7" width="14.42578125" customWidth="1"/>
    <col min="8" max="8" width="12.7109375" customWidth="1"/>
    <col min="9" max="9" width="16.42578125" customWidth="1"/>
    <col min="11" max="11" width="13" customWidth="1"/>
    <col min="13" max="13" width="13.5703125" customWidth="1"/>
    <col min="14" max="14" width="16" customWidth="1"/>
    <col min="15" max="15" width="15" customWidth="1"/>
    <col min="16" max="16" width="14.28515625" customWidth="1"/>
    <col min="17" max="17" width="14.42578125" customWidth="1"/>
    <col min="18" max="19" width="14.140625" customWidth="1"/>
    <col min="20" max="20" width="17.28515625" customWidth="1"/>
    <col min="21" max="21" width="15.85546875" customWidth="1"/>
  </cols>
  <sheetData>
    <row r="1" spans="1:20" ht="28.5" x14ac:dyDescent="0.45">
      <c r="A1" s="666" t="s">
        <v>139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666"/>
      <c r="R1" s="666"/>
      <c r="S1" s="666"/>
      <c r="T1" s="666"/>
    </row>
    <row r="2" spans="1:20" ht="28.5" x14ac:dyDescent="0.45">
      <c r="A2" s="666" t="s">
        <v>140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</row>
    <row r="3" spans="1:20" ht="15.75" thickBot="1" x14ac:dyDescent="0.3"/>
    <row r="4" spans="1:20" ht="15.75" thickBot="1" x14ac:dyDescent="0.3">
      <c r="A4" s="16"/>
      <c r="B4" s="1"/>
      <c r="C4" s="55" t="s">
        <v>26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  <c r="O4" s="657" t="s">
        <v>0</v>
      </c>
      <c r="P4" s="654"/>
      <c r="Q4" s="654"/>
      <c r="R4" s="654"/>
      <c r="S4" s="655"/>
      <c r="T4" s="1"/>
    </row>
    <row r="5" spans="1:20" ht="15.75" thickBot="1" x14ac:dyDescent="0.3">
      <c r="A5" s="17"/>
      <c r="B5" s="2"/>
      <c r="C5" s="641" t="s">
        <v>25</v>
      </c>
      <c r="D5" s="641"/>
      <c r="E5" s="641"/>
      <c r="F5" s="641"/>
      <c r="G5" s="642"/>
      <c r="H5" s="657" t="s">
        <v>11</v>
      </c>
      <c r="I5" s="654"/>
      <c r="J5" s="654"/>
      <c r="K5" s="654"/>
      <c r="L5" s="654"/>
      <c r="M5" s="654"/>
      <c r="N5" s="654"/>
      <c r="O5" s="658" t="s">
        <v>1</v>
      </c>
      <c r="P5" s="641"/>
      <c r="Q5" s="641"/>
      <c r="R5" s="641"/>
      <c r="S5" s="642"/>
      <c r="T5" s="54" t="s">
        <v>4</v>
      </c>
    </row>
    <row r="6" spans="1:20" x14ac:dyDescent="0.25">
      <c r="A6" s="53" t="s">
        <v>28</v>
      </c>
      <c r="B6" s="54" t="s">
        <v>27</v>
      </c>
      <c r="C6" s="643" t="s">
        <v>2</v>
      </c>
      <c r="D6" s="643"/>
      <c r="E6" s="643"/>
      <c r="F6" s="643"/>
      <c r="G6" s="643"/>
      <c r="H6" s="45" t="s">
        <v>18</v>
      </c>
      <c r="I6" s="46" t="s">
        <v>18</v>
      </c>
      <c r="J6" s="46" t="s">
        <v>18</v>
      </c>
      <c r="K6" s="46" t="s">
        <v>19</v>
      </c>
      <c r="L6" s="46" t="s">
        <v>18</v>
      </c>
      <c r="M6" s="46" t="s">
        <v>20</v>
      </c>
      <c r="N6" s="47"/>
      <c r="O6" s="659" t="s">
        <v>2</v>
      </c>
      <c r="P6" s="651"/>
      <c r="Q6" s="651"/>
      <c r="R6" s="651"/>
      <c r="S6" s="652"/>
      <c r="T6" s="54" t="s">
        <v>5</v>
      </c>
    </row>
    <row r="7" spans="1:20" x14ac:dyDescent="0.25">
      <c r="A7" s="17"/>
      <c r="B7" s="2"/>
      <c r="C7" s="645" t="s">
        <v>24</v>
      </c>
      <c r="D7" s="645"/>
      <c r="E7" s="645"/>
      <c r="F7" s="645"/>
      <c r="G7" s="645"/>
      <c r="H7" s="13" t="s">
        <v>21</v>
      </c>
      <c r="I7" s="14" t="s">
        <v>21</v>
      </c>
      <c r="J7" s="14" t="s">
        <v>21</v>
      </c>
      <c r="K7" s="14" t="s">
        <v>22</v>
      </c>
      <c r="L7" s="14" t="s">
        <v>21</v>
      </c>
      <c r="M7" s="14" t="s">
        <v>23</v>
      </c>
      <c r="N7" s="8" t="s">
        <v>12</v>
      </c>
      <c r="O7" s="659" t="s">
        <v>3</v>
      </c>
      <c r="P7" s="651"/>
      <c r="Q7" s="651"/>
      <c r="R7" s="651"/>
      <c r="S7" s="652"/>
      <c r="T7" s="2"/>
    </row>
    <row r="8" spans="1:20" ht="25.5" thickBot="1" x14ac:dyDescent="0.3">
      <c r="A8" s="18"/>
      <c r="B8" s="3"/>
      <c r="C8" s="15" t="s">
        <v>6</v>
      </c>
      <c r="D8" s="10" t="s">
        <v>7</v>
      </c>
      <c r="E8" s="10" t="s">
        <v>8</v>
      </c>
      <c r="F8" s="10" t="s">
        <v>9</v>
      </c>
      <c r="G8" s="11" t="s">
        <v>10</v>
      </c>
      <c r="H8" s="9" t="s">
        <v>13</v>
      </c>
      <c r="I8" s="10" t="s">
        <v>14</v>
      </c>
      <c r="J8" s="10" t="s">
        <v>14</v>
      </c>
      <c r="K8" s="10" t="s">
        <v>15</v>
      </c>
      <c r="L8" s="10" t="s">
        <v>16</v>
      </c>
      <c r="M8" s="11" t="s">
        <v>17</v>
      </c>
      <c r="N8" s="12"/>
      <c r="O8" s="4" t="s">
        <v>6</v>
      </c>
      <c r="P8" s="5" t="s">
        <v>7</v>
      </c>
      <c r="Q8" s="5" t="s">
        <v>8</v>
      </c>
      <c r="R8" s="5" t="s">
        <v>9</v>
      </c>
      <c r="S8" s="6" t="s">
        <v>10</v>
      </c>
      <c r="T8" s="3"/>
    </row>
    <row r="9" spans="1:20" x14ac:dyDescent="0.25">
      <c r="A9" s="22">
        <v>51</v>
      </c>
      <c r="B9" s="23" t="s">
        <v>30</v>
      </c>
      <c r="C9" s="31">
        <f>C10+C14+C18+C21+C27+C30+C24</f>
        <v>124657.79</v>
      </c>
      <c r="D9" s="31">
        <f t="shared" ref="D9:R9" si="0">D10+D14+D18+D21+D27+D30+D24</f>
        <v>103071</v>
      </c>
      <c r="E9" s="31">
        <f t="shared" si="0"/>
        <v>39043</v>
      </c>
      <c r="F9" s="31">
        <f t="shared" si="0"/>
        <v>114095.69</v>
      </c>
      <c r="G9" s="32">
        <f>G10+G14+G18+G21+G27+G30+G24</f>
        <v>380867.48</v>
      </c>
      <c r="H9" s="35">
        <f t="shared" si="0"/>
        <v>0</v>
      </c>
      <c r="I9" s="31">
        <f t="shared" si="0"/>
        <v>0</v>
      </c>
      <c r="J9" s="31">
        <f t="shared" si="0"/>
        <v>0</v>
      </c>
      <c r="K9" s="31">
        <f t="shared" si="0"/>
        <v>0</v>
      </c>
      <c r="L9" s="31">
        <f t="shared" si="0"/>
        <v>0</v>
      </c>
      <c r="M9" s="31">
        <f t="shared" si="0"/>
        <v>0</v>
      </c>
      <c r="N9" s="36">
        <f t="shared" si="0"/>
        <v>0</v>
      </c>
      <c r="O9" s="35">
        <f>O10+O14+O18+O21+O27+O30+O24</f>
        <v>109779.32</v>
      </c>
      <c r="P9" s="31">
        <f t="shared" si="0"/>
        <v>13680.960000000001</v>
      </c>
      <c r="Q9" s="31">
        <f t="shared" si="0"/>
        <v>5164.2</v>
      </c>
      <c r="R9" s="31">
        <f t="shared" si="0"/>
        <v>27165</v>
      </c>
      <c r="S9" s="31">
        <f>S10+S14+S18+S21+S24+S27+S30</f>
        <v>155789.48000000001</v>
      </c>
      <c r="T9" s="36">
        <f>T10+T14+T18+T21+T27+T30+T24</f>
        <v>536656.96</v>
      </c>
    </row>
    <row r="10" spans="1:20" x14ac:dyDescent="0.25">
      <c r="A10" s="24">
        <v>511</v>
      </c>
      <c r="B10" s="25" t="s">
        <v>31</v>
      </c>
      <c r="C10" s="31">
        <f>C11+C12+C13</f>
        <v>112657.79</v>
      </c>
      <c r="D10" s="31">
        <f t="shared" ref="D10:E10" si="1">D11+D12+D13</f>
        <v>103071</v>
      </c>
      <c r="E10" s="31">
        <f t="shared" si="1"/>
        <v>39043</v>
      </c>
      <c r="F10" s="31">
        <f t="shared" ref="F10" si="2">F11+F12+F13</f>
        <v>114095.69</v>
      </c>
      <c r="G10" s="32">
        <f t="shared" ref="G10" si="3">G11+G12+G13</f>
        <v>368867.48</v>
      </c>
      <c r="H10" s="35">
        <f t="shared" ref="H10:N10" si="4">H11+H12+H13</f>
        <v>0</v>
      </c>
      <c r="I10" s="31">
        <f t="shared" si="4"/>
        <v>0</v>
      </c>
      <c r="J10" s="31">
        <f t="shared" si="4"/>
        <v>0</v>
      </c>
      <c r="K10" s="31">
        <f t="shared" si="4"/>
        <v>0</v>
      </c>
      <c r="L10" s="31">
        <f t="shared" si="4"/>
        <v>0</v>
      </c>
      <c r="M10" s="31">
        <f t="shared" si="4"/>
        <v>0</v>
      </c>
      <c r="N10" s="36">
        <f t="shared" si="4"/>
        <v>0</v>
      </c>
      <c r="O10" s="35">
        <f t="shared" ref="O10" si="5">O11+O12+O13</f>
        <v>30000</v>
      </c>
      <c r="P10" s="31">
        <f t="shared" ref="P10" si="6">P11+P12+P13</f>
        <v>0</v>
      </c>
      <c r="Q10" s="31">
        <f t="shared" ref="Q10" si="7">Q11+Q12+Q13</f>
        <v>0</v>
      </c>
      <c r="R10" s="31">
        <f t="shared" ref="R10" si="8">R11+R12+R13</f>
        <v>0</v>
      </c>
      <c r="S10" s="31">
        <f t="shared" ref="S10" si="9">S11+S12+S13</f>
        <v>30000</v>
      </c>
      <c r="T10" s="36">
        <f>T11+T12+T13</f>
        <v>398867.48</v>
      </c>
    </row>
    <row r="11" spans="1:20" x14ac:dyDescent="0.25">
      <c r="A11" s="20" t="s">
        <v>274</v>
      </c>
      <c r="B11" s="7" t="s">
        <v>32</v>
      </c>
      <c r="C11" s="19">
        <v>66166.679999999993</v>
      </c>
      <c r="D11" s="19">
        <v>95880</v>
      </c>
      <c r="E11" s="19">
        <v>36240</v>
      </c>
      <c r="F11" s="19">
        <f>65946.72+32000.04</f>
        <v>97946.760000000009</v>
      </c>
      <c r="G11" s="49">
        <f>C11+D11+E11+F11</f>
        <v>296233.44</v>
      </c>
      <c r="H11" s="37"/>
      <c r="I11" s="19"/>
      <c r="J11" s="19"/>
      <c r="K11" s="19"/>
      <c r="L11" s="19"/>
      <c r="M11" s="19"/>
      <c r="N11" s="38">
        <f t="shared" ref="N11:N68" si="10">SUM(H11:M11)</f>
        <v>0</v>
      </c>
      <c r="O11" s="37"/>
      <c r="P11" s="19"/>
      <c r="Q11" s="19"/>
      <c r="R11" s="19"/>
      <c r="S11" s="19">
        <f>SUM(O11:R11)</f>
        <v>0</v>
      </c>
      <c r="T11" s="48">
        <f>S11+N11+G11</f>
        <v>296233.44</v>
      </c>
    </row>
    <row r="12" spans="1:20" x14ac:dyDescent="0.25">
      <c r="A12" s="20">
        <v>51103</v>
      </c>
      <c r="B12" s="7" t="s">
        <v>33</v>
      </c>
      <c r="C12" s="19">
        <v>4491.1099999999997</v>
      </c>
      <c r="D12" s="19">
        <v>7191</v>
      </c>
      <c r="E12" s="19">
        <v>2803</v>
      </c>
      <c r="F12" s="19">
        <f>8032.23+8116.7</f>
        <v>16148.93</v>
      </c>
      <c r="G12" s="49">
        <f>C12+D12+E12+F12</f>
        <v>30634.04</v>
      </c>
      <c r="H12" s="37"/>
      <c r="I12" s="19"/>
      <c r="J12" s="19"/>
      <c r="K12" s="19"/>
      <c r="L12" s="19"/>
      <c r="M12" s="19"/>
      <c r="N12" s="38">
        <f t="shared" si="10"/>
        <v>0</v>
      </c>
      <c r="O12" s="37"/>
      <c r="P12" s="19"/>
      <c r="Q12" s="19"/>
      <c r="R12" s="19"/>
      <c r="S12" s="19">
        <f t="shared" ref="S12:S31" si="11">SUM(O12:R12)</f>
        <v>0</v>
      </c>
      <c r="T12" s="48">
        <f t="shared" ref="T12:T13" si="12">S12+N12+G12</f>
        <v>30634.04</v>
      </c>
    </row>
    <row r="13" spans="1:20" x14ac:dyDescent="0.25">
      <c r="A13" s="20">
        <v>51105</v>
      </c>
      <c r="B13" s="7" t="s">
        <v>34</v>
      </c>
      <c r="C13" s="19">
        <v>42000</v>
      </c>
      <c r="D13" s="19"/>
      <c r="E13" s="19"/>
      <c r="F13" s="19"/>
      <c r="G13" s="49">
        <f>C13+D13+E13+F13</f>
        <v>42000</v>
      </c>
      <c r="H13" s="37"/>
      <c r="I13" s="19"/>
      <c r="J13" s="19"/>
      <c r="K13" s="19"/>
      <c r="L13" s="19"/>
      <c r="M13" s="19"/>
      <c r="N13" s="38">
        <f t="shared" si="10"/>
        <v>0</v>
      </c>
      <c r="O13" s="37">
        <v>30000</v>
      </c>
      <c r="P13" s="19"/>
      <c r="Q13" s="19"/>
      <c r="R13" s="19"/>
      <c r="S13" s="19">
        <f t="shared" si="11"/>
        <v>30000</v>
      </c>
      <c r="T13" s="48">
        <f t="shared" si="12"/>
        <v>72000</v>
      </c>
    </row>
    <row r="14" spans="1:20" x14ac:dyDescent="0.25">
      <c r="A14" s="24">
        <v>512</v>
      </c>
      <c r="B14" s="25" t="s">
        <v>35</v>
      </c>
      <c r="C14" s="31">
        <f>C15+C16+C17</f>
        <v>7200</v>
      </c>
      <c r="D14" s="31">
        <f t="shared" ref="D14:E14" si="13">D15+D16+D17</f>
        <v>0</v>
      </c>
      <c r="E14" s="31">
        <f t="shared" si="13"/>
        <v>0</v>
      </c>
      <c r="F14" s="31">
        <f t="shared" ref="F14" si="14">F15+F16+F17</f>
        <v>0</v>
      </c>
      <c r="G14" s="32">
        <f>G15+G16+G17</f>
        <v>7200</v>
      </c>
      <c r="H14" s="35">
        <f t="shared" ref="H14" si="15">H15+H16+H17</f>
        <v>0</v>
      </c>
      <c r="I14" s="31">
        <f t="shared" ref="I14" si="16">I15+I16+I17</f>
        <v>0</v>
      </c>
      <c r="J14" s="31">
        <f t="shared" ref="J14" si="17">J15+J16+J17</f>
        <v>0</v>
      </c>
      <c r="K14" s="31">
        <f t="shared" ref="K14" si="18">K15+K16+K17</f>
        <v>0</v>
      </c>
      <c r="L14" s="31">
        <f t="shared" ref="L14" si="19">L15+L16+L17</f>
        <v>0</v>
      </c>
      <c r="M14" s="31">
        <f t="shared" ref="M14:N14" si="20">M15+M16+M17</f>
        <v>0</v>
      </c>
      <c r="N14" s="36">
        <f t="shared" si="20"/>
        <v>0</v>
      </c>
      <c r="O14" s="35">
        <f t="shared" ref="O14" si="21">O15+O16+O17</f>
        <v>25000</v>
      </c>
      <c r="P14" s="31">
        <f t="shared" ref="P14" si="22">P15+P16+P17</f>
        <v>0</v>
      </c>
      <c r="Q14" s="31">
        <f t="shared" ref="Q14" si="23">Q15+Q16+Q17</f>
        <v>0</v>
      </c>
      <c r="R14" s="31">
        <f t="shared" ref="R14" si="24">R15+R16+R17</f>
        <v>0</v>
      </c>
      <c r="S14" s="31">
        <f t="shared" ref="S14" si="25">S15+S16+S17</f>
        <v>25000</v>
      </c>
      <c r="T14" s="36">
        <f t="shared" ref="T14" si="26">T15+T16+T17</f>
        <v>32200</v>
      </c>
    </row>
    <row r="15" spans="1:20" x14ac:dyDescent="0.25">
      <c r="A15" s="20">
        <v>51201</v>
      </c>
      <c r="B15" s="7" t="s">
        <v>32</v>
      </c>
      <c r="C15" s="19">
        <v>7200</v>
      </c>
      <c r="D15" s="19"/>
      <c r="E15" s="19"/>
      <c r="F15" s="19"/>
      <c r="G15" s="49">
        <f t="shared" ref="G15:G80" si="27">C15+D15+E15+F15</f>
        <v>7200</v>
      </c>
      <c r="H15" s="37"/>
      <c r="I15" s="19"/>
      <c r="J15" s="19"/>
      <c r="K15" s="19"/>
      <c r="L15" s="19"/>
      <c r="M15" s="19"/>
      <c r="N15" s="38">
        <f t="shared" si="10"/>
        <v>0</v>
      </c>
      <c r="O15" s="37"/>
      <c r="P15" s="19"/>
      <c r="Q15" s="19"/>
      <c r="R15" s="19"/>
      <c r="S15" s="19">
        <f t="shared" si="11"/>
        <v>0</v>
      </c>
      <c r="T15" s="48">
        <f t="shared" ref="T15:T17" si="28">S15+N15+G15</f>
        <v>7200</v>
      </c>
    </row>
    <row r="16" spans="1:20" x14ac:dyDescent="0.25">
      <c r="A16" s="20">
        <v>51202</v>
      </c>
      <c r="B16" s="7" t="s">
        <v>36</v>
      </c>
      <c r="C16" s="19"/>
      <c r="D16" s="19"/>
      <c r="E16" s="19"/>
      <c r="F16" s="19"/>
      <c r="G16" s="49">
        <f t="shared" si="27"/>
        <v>0</v>
      </c>
      <c r="H16" s="37"/>
      <c r="I16" s="19"/>
      <c r="J16" s="19"/>
      <c r="K16" s="19"/>
      <c r="L16" s="19"/>
      <c r="M16" s="19"/>
      <c r="N16" s="38">
        <f t="shared" si="10"/>
        <v>0</v>
      </c>
      <c r="O16" s="37">
        <v>25000</v>
      </c>
      <c r="P16" s="19"/>
      <c r="Q16" s="19"/>
      <c r="R16" s="19"/>
      <c r="S16" s="19">
        <f t="shared" si="11"/>
        <v>25000</v>
      </c>
      <c r="T16" s="48">
        <f t="shared" si="28"/>
        <v>25000</v>
      </c>
    </row>
    <row r="17" spans="1:20" x14ac:dyDescent="0.25">
      <c r="A17" s="20">
        <v>51203</v>
      </c>
      <c r="B17" s="7" t="s">
        <v>33</v>
      </c>
      <c r="C17" s="19"/>
      <c r="D17" s="19"/>
      <c r="E17" s="19"/>
      <c r="F17" s="19"/>
      <c r="G17" s="49">
        <f t="shared" si="27"/>
        <v>0</v>
      </c>
      <c r="H17" s="37"/>
      <c r="I17" s="19"/>
      <c r="J17" s="19"/>
      <c r="K17" s="19"/>
      <c r="L17" s="19"/>
      <c r="M17" s="19"/>
      <c r="N17" s="38">
        <f t="shared" si="10"/>
        <v>0</v>
      </c>
      <c r="O17" s="37"/>
      <c r="P17" s="19"/>
      <c r="Q17" s="19"/>
      <c r="R17" s="19"/>
      <c r="S17" s="19">
        <f t="shared" si="11"/>
        <v>0</v>
      </c>
      <c r="T17" s="48">
        <f t="shared" si="28"/>
        <v>0</v>
      </c>
    </row>
    <row r="18" spans="1:20" x14ac:dyDescent="0.25">
      <c r="A18" s="24">
        <v>514</v>
      </c>
      <c r="B18" s="25" t="s">
        <v>37</v>
      </c>
      <c r="C18" s="31">
        <f>C19+C20</f>
        <v>0</v>
      </c>
      <c r="D18" s="31">
        <f t="shared" ref="D18:G18" si="29">D19+D20</f>
        <v>0</v>
      </c>
      <c r="E18" s="31">
        <f t="shared" si="29"/>
        <v>0</v>
      </c>
      <c r="F18" s="31">
        <f t="shared" si="29"/>
        <v>0</v>
      </c>
      <c r="G18" s="32">
        <f t="shared" si="29"/>
        <v>0</v>
      </c>
      <c r="H18" s="35">
        <f t="shared" ref="H18:N18" si="30">H19+H20</f>
        <v>0</v>
      </c>
      <c r="I18" s="31">
        <f t="shared" si="30"/>
        <v>0</v>
      </c>
      <c r="J18" s="31">
        <f t="shared" si="30"/>
        <v>0</v>
      </c>
      <c r="K18" s="31">
        <f t="shared" si="30"/>
        <v>0</v>
      </c>
      <c r="L18" s="31">
        <f t="shared" si="30"/>
        <v>0</v>
      </c>
      <c r="M18" s="31">
        <f t="shared" si="30"/>
        <v>0</v>
      </c>
      <c r="N18" s="36">
        <f t="shared" si="30"/>
        <v>0</v>
      </c>
      <c r="O18" s="35">
        <f t="shared" ref="O18:T18" si="31">O19+O20</f>
        <v>4760.04</v>
      </c>
      <c r="P18" s="31">
        <f t="shared" si="31"/>
        <v>7191</v>
      </c>
      <c r="Q18" s="31">
        <f t="shared" si="31"/>
        <v>2718</v>
      </c>
      <c r="R18" s="31">
        <f t="shared" si="31"/>
        <v>14538.84</v>
      </c>
      <c r="S18" s="31">
        <f t="shared" si="31"/>
        <v>29207.88</v>
      </c>
      <c r="T18" s="36">
        <f t="shared" si="31"/>
        <v>29207.88</v>
      </c>
    </row>
    <row r="19" spans="1:20" x14ac:dyDescent="0.25">
      <c r="A19" s="20">
        <v>51401</v>
      </c>
      <c r="B19" s="7" t="s">
        <v>38</v>
      </c>
      <c r="C19" s="19">
        <v>0</v>
      </c>
      <c r="D19" s="19">
        <v>0</v>
      </c>
      <c r="E19" s="19">
        <v>0</v>
      </c>
      <c r="F19" s="19">
        <v>0</v>
      </c>
      <c r="G19" s="49">
        <f t="shared" si="27"/>
        <v>0</v>
      </c>
      <c r="H19" s="37"/>
      <c r="I19" s="19"/>
      <c r="J19" s="19"/>
      <c r="K19" s="19"/>
      <c r="L19" s="19"/>
      <c r="M19" s="19"/>
      <c r="N19" s="38">
        <f t="shared" si="10"/>
        <v>0</v>
      </c>
      <c r="O19" s="37">
        <f>321.67*12</f>
        <v>3860.04</v>
      </c>
      <c r="P19" s="19">
        <f>599.25*12</f>
        <v>7191</v>
      </c>
      <c r="Q19" s="19">
        <f>226.5*12</f>
        <v>2718</v>
      </c>
      <c r="R19" s="19">
        <f>(412.17+599.4+200)*12</f>
        <v>14538.84</v>
      </c>
      <c r="S19" s="19">
        <f t="shared" si="11"/>
        <v>28307.88</v>
      </c>
      <c r="T19" s="48">
        <f t="shared" ref="T19:T20" si="32">S19+N19+G19</f>
        <v>28307.88</v>
      </c>
    </row>
    <row r="20" spans="1:20" x14ac:dyDescent="0.25">
      <c r="A20" s="20">
        <v>51402</v>
      </c>
      <c r="B20" s="7" t="s">
        <v>39</v>
      </c>
      <c r="C20" s="19"/>
      <c r="D20" s="19"/>
      <c r="E20" s="19"/>
      <c r="F20" s="19"/>
      <c r="G20" s="49">
        <f t="shared" si="27"/>
        <v>0</v>
      </c>
      <c r="H20" s="37"/>
      <c r="I20" s="19"/>
      <c r="J20" s="19"/>
      <c r="K20" s="19"/>
      <c r="L20" s="19"/>
      <c r="M20" s="19"/>
      <c r="N20" s="38">
        <f t="shared" si="10"/>
        <v>0</v>
      </c>
      <c r="O20" s="37">
        <f>75*12</f>
        <v>900</v>
      </c>
      <c r="P20" s="19"/>
      <c r="Q20" s="19"/>
      <c r="R20" s="19"/>
      <c r="S20" s="19">
        <f t="shared" si="11"/>
        <v>900</v>
      </c>
      <c r="T20" s="48">
        <f t="shared" si="32"/>
        <v>900</v>
      </c>
    </row>
    <row r="21" spans="1:20" x14ac:dyDescent="0.25">
      <c r="A21" s="24">
        <v>515</v>
      </c>
      <c r="B21" s="25" t="s">
        <v>40</v>
      </c>
      <c r="C21" s="31">
        <f>C22+C23</f>
        <v>0</v>
      </c>
      <c r="D21" s="31">
        <f t="shared" ref="D21:G21" si="33">D22+D23</f>
        <v>0</v>
      </c>
      <c r="E21" s="31">
        <f t="shared" si="33"/>
        <v>0</v>
      </c>
      <c r="F21" s="31">
        <f t="shared" si="33"/>
        <v>0</v>
      </c>
      <c r="G21" s="32">
        <f t="shared" si="33"/>
        <v>0</v>
      </c>
      <c r="H21" s="35">
        <f t="shared" ref="H21:N21" si="34">H22+H23</f>
        <v>0</v>
      </c>
      <c r="I21" s="31">
        <f t="shared" si="34"/>
        <v>0</v>
      </c>
      <c r="J21" s="31">
        <f t="shared" si="34"/>
        <v>0</v>
      </c>
      <c r="K21" s="31">
        <f t="shared" si="34"/>
        <v>0</v>
      </c>
      <c r="L21" s="31">
        <f t="shared" si="34"/>
        <v>0</v>
      </c>
      <c r="M21" s="31">
        <f t="shared" si="34"/>
        <v>0</v>
      </c>
      <c r="N21" s="36">
        <f t="shared" si="34"/>
        <v>0</v>
      </c>
      <c r="O21" s="35">
        <f>O22+O23</f>
        <v>5219.28</v>
      </c>
      <c r="P21" s="31">
        <f t="shared" ref="P21" si="35">P22+P23</f>
        <v>6489.9600000000009</v>
      </c>
      <c r="Q21" s="31">
        <f t="shared" ref="Q21" si="36">Q22+Q23</f>
        <v>2446.1999999999998</v>
      </c>
      <c r="R21" s="31">
        <f t="shared" ref="R21" si="37">R22+R23</f>
        <v>12626.16</v>
      </c>
      <c r="S21" s="31">
        <f>S22+S23</f>
        <v>26781.600000000002</v>
      </c>
      <c r="T21" s="36">
        <f>T22+T23</f>
        <v>26781.600000000002</v>
      </c>
    </row>
    <row r="22" spans="1:20" x14ac:dyDescent="0.25">
      <c r="A22" s="20">
        <v>51501</v>
      </c>
      <c r="B22" s="7" t="s">
        <v>38</v>
      </c>
      <c r="C22" s="19"/>
      <c r="D22" s="19"/>
      <c r="E22" s="19"/>
      <c r="F22" s="19"/>
      <c r="G22" s="49">
        <f t="shared" si="27"/>
        <v>0</v>
      </c>
      <c r="H22" s="37"/>
      <c r="I22" s="19"/>
      <c r="J22" s="19"/>
      <c r="K22" s="19"/>
      <c r="L22" s="19"/>
      <c r="M22" s="19"/>
      <c r="N22" s="38">
        <f t="shared" si="10"/>
        <v>0</v>
      </c>
      <c r="O22" s="37">
        <f>372.19*12</f>
        <v>4466.28</v>
      </c>
      <c r="P22" s="19">
        <f>540.83*12</f>
        <v>6489.9600000000009</v>
      </c>
      <c r="Q22" s="19">
        <f>203.85*12</f>
        <v>2446.1999999999998</v>
      </c>
      <c r="R22" s="19">
        <f>(372.45+509.94+169.79)*12</f>
        <v>12626.16</v>
      </c>
      <c r="S22" s="19">
        <f t="shared" si="11"/>
        <v>26028.600000000002</v>
      </c>
      <c r="T22" s="48">
        <f t="shared" ref="T22:T23" si="38">S22+N22+G22</f>
        <v>26028.600000000002</v>
      </c>
    </row>
    <row r="23" spans="1:20" x14ac:dyDescent="0.25">
      <c r="A23" s="20">
        <v>51502</v>
      </c>
      <c r="B23" s="7" t="s">
        <v>39</v>
      </c>
      <c r="C23" s="19"/>
      <c r="D23" s="19"/>
      <c r="E23" s="19"/>
      <c r="F23" s="19"/>
      <c r="G23" s="49">
        <f t="shared" si="27"/>
        <v>0</v>
      </c>
      <c r="H23" s="37"/>
      <c r="I23" s="19"/>
      <c r="J23" s="19"/>
      <c r="K23" s="19"/>
      <c r="L23" s="19"/>
      <c r="M23" s="19"/>
      <c r="N23" s="38">
        <f t="shared" si="10"/>
        <v>0</v>
      </c>
      <c r="O23" s="37">
        <f>62.75*12</f>
        <v>753</v>
      </c>
      <c r="P23" s="19"/>
      <c r="Q23" s="19"/>
      <c r="R23" s="19"/>
      <c r="S23" s="19">
        <f t="shared" si="11"/>
        <v>753</v>
      </c>
      <c r="T23" s="48">
        <f t="shared" si="38"/>
        <v>753</v>
      </c>
    </row>
    <row r="24" spans="1:20" x14ac:dyDescent="0.25">
      <c r="A24" s="24">
        <v>517</v>
      </c>
      <c r="B24" s="25" t="s">
        <v>85</v>
      </c>
      <c r="C24" s="31">
        <f>C25+C26</f>
        <v>0</v>
      </c>
      <c r="D24" s="31">
        <f>D25+D26</f>
        <v>0</v>
      </c>
      <c r="E24" s="31">
        <f t="shared" ref="E24:R24" si="39">E25+E26</f>
        <v>0</v>
      </c>
      <c r="F24" s="31">
        <f t="shared" si="39"/>
        <v>0</v>
      </c>
      <c r="G24" s="32">
        <f t="shared" si="39"/>
        <v>0</v>
      </c>
      <c r="H24" s="35">
        <f t="shared" si="39"/>
        <v>0</v>
      </c>
      <c r="I24" s="31">
        <f t="shared" si="39"/>
        <v>0</v>
      </c>
      <c r="J24" s="31">
        <f t="shared" si="39"/>
        <v>0</v>
      </c>
      <c r="K24" s="31">
        <f t="shared" si="39"/>
        <v>0</v>
      </c>
      <c r="L24" s="31">
        <f t="shared" si="39"/>
        <v>0</v>
      </c>
      <c r="M24" s="31">
        <f t="shared" si="39"/>
        <v>0</v>
      </c>
      <c r="N24" s="36">
        <f t="shared" si="39"/>
        <v>0</v>
      </c>
      <c r="O24" s="31">
        <f>O25+O26</f>
        <v>31800</v>
      </c>
      <c r="P24" s="31">
        <f t="shared" si="39"/>
        <v>0</v>
      </c>
      <c r="Q24" s="31">
        <f t="shared" si="39"/>
        <v>0</v>
      </c>
      <c r="R24" s="31">
        <f t="shared" si="39"/>
        <v>0</v>
      </c>
      <c r="S24" s="31">
        <f>S25+S26</f>
        <v>31800</v>
      </c>
      <c r="T24" s="36">
        <f>T25+T26</f>
        <v>31800</v>
      </c>
    </row>
    <row r="25" spans="1:20" x14ac:dyDescent="0.25">
      <c r="A25" s="20">
        <v>51701</v>
      </c>
      <c r="B25" s="7" t="s">
        <v>135</v>
      </c>
      <c r="C25" s="19"/>
      <c r="D25" s="19">
        <v>0</v>
      </c>
      <c r="E25" s="19">
        <v>0</v>
      </c>
      <c r="F25" s="19">
        <v>0</v>
      </c>
      <c r="G25" s="33">
        <v>0</v>
      </c>
      <c r="H25" s="37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41">
        <v>0</v>
      </c>
      <c r="O25" s="19">
        <v>31500</v>
      </c>
      <c r="P25" s="19">
        <v>0</v>
      </c>
      <c r="Q25" s="19">
        <v>0</v>
      </c>
      <c r="R25" s="19">
        <v>0</v>
      </c>
      <c r="S25" s="19">
        <f t="shared" si="11"/>
        <v>31500</v>
      </c>
      <c r="T25" s="48">
        <f t="shared" ref="T25:T26" si="40">S25+N25+G25</f>
        <v>31500</v>
      </c>
    </row>
    <row r="26" spans="1:20" x14ac:dyDescent="0.25">
      <c r="A26" s="20">
        <v>51702</v>
      </c>
      <c r="B26" s="7" t="s">
        <v>86</v>
      </c>
      <c r="C26" s="19"/>
      <c r="D26" s="19"/>
      <c r="E26" s="19"/>
      <c r="F26" s="19"/>
      <c r="G26" s="33">
        <v>0</v>
      </c>
      <c r="H26" s="37"/>
      <c r="I26" s="19"/>
      <c r="J26" s="19"/>
      <c r="K26" s="19"/>
      <c r="L26" s="19"/>
      <c r="M26" s="19"/>
      <c r="N26" s="38"/>
      <c r="O26" s="37">
        <v>300</v>
      </c>
      <c r="P26" s="19"/>
      <c r="Q26" s="19"/>
      <c r="R26" s="19"/>
      <c r="S26" s="19">
        <f t="shared" si="11"/>
        <v>300</v>
      </c>
      <c r="T26" s="48">
        <f t="shared" si="40"/>
        <v>300</v>
      </c>
    </row>
    <row r="27" spans="1:20" x14ac:dyDescent="0.25">
      <c r="A27" s="24">
        <v>516</v>
      </c>
      <c r="B27" s="25" t="s">
        <v>41</v>
      </c>
      <c r="C27" s="31">
        <f>C28+C29</f>
        <v>0</v>
      </c>
      <c r="D27" s="31">
        <f t="shared" ref="D27:G27" si="41">D28+D29</f>
        <v>0</v>
      </c>
      <c r="E27" s="31">
        <f t="shared" si="41"/>
        <v>0</v>
      </c>
      <c r="F27" s="31">
        <f t="shared" si="41"/>
        <v>0</v>
      </c>
      <c r="G27" s="32">
        <f t="shared" si="41"/>
        <v>0</v>
      </c>
      <c r="H27" s="35">
        <f t="shared" ref="H27:N27" si="42">H28+H29</f>
        <v>0</v>
      </c>
      <c r="I27" s="31">
        <f t="shared" si="42"/>
        <v>0</v>
      </c>
      <c r="J27" s="31">
        <f t="shared" si="42"/>
        <v>0</v>
      </c>
      <c r="K27" s="31">
        <f t="shared" si="42"/>
        <v>0</v>
      </c>
      <c r="L27" s="31">
        <f t="shared" si="42"/>
        <v>0</v>
      </c>
      <c r="M27" s="31">
        <f t="shared" si="42"/>
        <v>0</v>
      </c>
      <c r="N27" s="36">
        <f t="shared" si="42"/>
        <v>0</v>
      </c>
      <c r="O27" s="35">
        <f t="shared" ref="O27" si="43">O28+O29</f>
        <v>12500</v>
      </c>
      <c r="P27" s="31">
        <f t="shared" ref="P27" si="44">P28+P29</f>
        <v>0</v>
      </c>
      <c r="Q27" s="31">
        <f t="shared" ref="Q27" si="45">Q28+Q29</f>
        <v>0</v>
      </c>
      <c r="R27" s="31">
        <f t="shared" ref="R27" si="46">R28+R29</f>
        <v>0</v>
      </c>
      <c r="S27" s="31">
        <f>S28+S29</f>
        <v>12500</v>
      </c>
      <c r="T27" s="36">
        <f t="shared" ref="T27" si="47">T28+T29</f>
        <v>12500</v>
      </c>
    </row>
    <row r="28" spans="1:20" x14ac:dyDescent="0.25">
      <c r="A28" s="20">
        <v>51601</v>
      </c>
      <c r="B28" s="7" t="s">
        <v>42</v>
      </c>
      <c r="C28" s="19"/>
      <c r="D28" s="19"/>
      <c r="E28" s="19"/>
      <c r="F28" s="19"/>
      <c r="G28" s="49">
        <f t="shared" si="27"/>
        <v>0</v>
      </c>
      <c r="H28" s="37"/>
      <c r="I28" s="19"/>
      <c r="J28" s="19"/>
      <c r="K28" s="19"/>
      <c r="L28" s="19"/>
      <c r="M28" s="19"/>
      <c r="N28" s="38">
        <f t="shared" si="10"/>
        <v>0</v>
      </c>
      <c r="O28" s="37">
        <v>12000</v>
      </c>
      <c r="P28" s="19"/>
      <c r="Q28" s="19"/>
      <c r="R28" s="19"/>
      <c r="S28" s="19">
        <f t="shared" si="11"/>
        <v>12000</v>
      </c>
      <c r="T28" s="48">
        <f t="shared" ref="T28:T31" si="48">S28+N28+G28</f>
        <v>12000</v>
      </c>
    </row>
    <row r="29" spans="1:20" x14ac:dyDescent="0.25">
      <c r="A29" s="20">
        <v>51602</v>
      </c>
      <c r="B29" s="7" t="s">
        <v>43</v>
      </c>
      <c r="C29" s="19"/>
      <c r="D29" s="19"/>
      <c r="E29" s="19"/>
      <c r="F29" s="19"/>
      <c r="G29" s="49">
        <f t="shared" si="27"/>
        <v>0</v>
      </c>
      <c r="H29" s="37"/>
      <c r="I29" s="19"/>
      <c r="J29" s="19"/>
      <c r="K29" s="19"/>
      <c r="L29" s="19"/>
      <c r="M29" s="19"/>
      <c r="N29" s="38">
        <f t="shared" si="10"/>
        <v>0</v>
      </c>
      <c r="O29" s="37">
        <v>500</v>
      </c>
      <c r="P29" s="19"/>
      <c r="Q29" s="19"/>
      <c r="R29" s="19"/>
      <c r="S29" s="19">
        <f t="shared" si="11"/>
        <v>500</v>
      </c>
      <c r="T29" s="48">
        <f t="shared" si="48"/>
        <v>500</v>
      </c>
    </row>
    <row r="30" spans="1:20" x14ac:dyDescent="0.25">
      <c r="A30" s="24">
        <v>519</v>
      </c>
      <c r="B30" s="25" t="s">
        <v>44</v>
      </c>
      <c r="C30" s="31">
        <f>C31</f>
        <v>4800</v>
      </c>
      <c r="D30" s="31">
        <f t="shared" ref="D30:G30" si="49">D31</f>
        <v>0</v>
      </c>
      <c r="E30" s="31">
        <f t="shared" si="49"/>
        <v>0</v>
      </c>
      <c r="F30" s="31">
        <f t="shared" si="49"/>
        <v>0</v>
      </c>
      <c r="G30" s="32">
        <f t="shared" si="49"/>
        <v>4800</v>
      </c>
      <c r="H30" s="35">
        <f>H31</f>
        <v>0</v>
      </c>
      <c r="I30" s="31">
        <f t="shared" ref="I30" si="50">I31</f>
        <v>0</v>
      </c>
      <c r="J30" s="31">
        <f t="shared" ref="J30" si="51">J31</f>
        <v>0</v>
      </c>
      <c r="K30" s="31">
        <f t="shared" ref="K30" si="52">K31</f>
        <v>0</v>
      </c>
      <c r="L30" s="31">
        <f t="shared" ref="L30" si="53">L31</f>
        <v>0</v>
      </c>
      <c r="M30" s="31">
        <f t="shared" ref="M30" si="54">M31</f>
        <v>0</v>
      </c>
      <c r="N30" s="36">
        <f t="shared" ref="N30" si="55">N31</f>
        <v>0</v>
      </c>
      <c r="O30" s="35">
        <f t="shared" ref="O30" si="56">O31</f>
        <v>500</v>
      </c>
      <c r="P30" s="31">
        <f t="shared" ref="P30" si="57">P31</f>
        <v>0</v>
      </c>
      <c r="Q30" s="31">
        <f t="shared" ref="Q30" si="58">Q31</f>
        <v>0</v>
      </c>
      <c r="R30" s="31">
        <f t="shared" ref="R30" si="59">R31</f>
        <v>0</v>
      </c>
      <c r="S30" s="31">
        <f>S31</f>
        <v>500</v>
      </c>
      <c r="T30" s="36">
        <f t="shared" ref="T30" si="60">T31</f>
        <v>5300</v>
      </c>
    </row>
    <row r="31" spans="1:20" x14ac:dyDescent="0.25">
      <c r="A31" s="20">
        <v>51901</v>
      </c>
      <c r="B31" s="7" t="s">
        <v>45</v>
      </c>
      <c r="C31" s="19">
        <v>4800</v>
      </c>
      <c r="D31" s="19"/>
      <c r="E31" s="19"/>
      <c r="F31" s="19"/>
      <c r="G31" s="49">
        <f t="shared" si="27"/>
        <v>4800</v>
      </c>
      <c r="H31" s="37"/>
      <c r="I31" s="19"/>
      <c r="J31" s="19"/>
      <c r="K31" s="19"/>
      <c r="L31" s="19"/>
      <c r="M31" s="19"/>
      <c r="N31" s="38">
        <f t="shared" si="10"/>
        <v>0</v>
      </c>
      <c r="O31" s="37">
        <v>500</v>
      </c>
      <c r="P31" s="19"/>
      <c r="Q31" s="19"/>
      <c r="R31" s="19"/>
      <c r="S31" s="19">
        <f t="shared" si="11"/>
        <v>500</v>
      </c>
      <c r="T31" s="48">
        <f t="shared" si="48"/>
        <v>5300</v>
      </c>
    </row>
    <row r="32" spans="1:20" x14ac:dyDescent="0.25">
      <c r="A32" s="24">
        <v>54</v>
      </c>
      <c r="B32" s="25" t="s">
        <v>46</v>
      </c>
      <c r="C32" s="31">
        <f>C33+C52+C58</f>
        <v>119847.8</v>
      </c>
      <c r="D32" s="31">
        <f t="shared" ref="D32:T32" si="61">D33+D52+D58</f>
        <v>1000</v>
      </c>
      <c r="E32" s="31">
        <f t="shared" si="61"/>
        <v>500</v>
      </c>
      <c r="F32" s="31">
        <f t="shared" si="61"/>
        <v>500</v>
      </c>
      <c r="G32" s="32">
        <f>G33+G52+G58+G69+G79+G73</f>
        <v>121847.8</v>
      </c>
      <c r="H32" s="35">
        <f t="shared" si="61"/>
        <v>0</v>
      </c>
      <c r="I32" s="31">
        <f t="shared" si="61"/>
        <v>0</v>
      </c>
      <c r="J32" s="31">
        <f t="shared" si="61"/>
        <v>0</v>
      </c>
      <c r="K32" s="31">
        <f t="shared" si="61"/>
        <v>0</v>
      </c>
      <c r="L32" s="31">
        <f t="shared" si="61"/>
        <v>0</v>
      </c>
      <c r="M32" s="31">
        <f t="shared" si="61"/>
        <v>0</v>
      </c>
      <c r="N32" s="36">
        <f t="shared" si="61"/>
        <v>0</v>
      </c>
      <c r="O32" s="35">
        <f t="shared" si="61"/>
        <v>109825.2</v>
      </c>
      <c r="P32" s="31">
        <f t="shared" si="61"/>
        <v>6100</v>
      </c>
      <c r="Q32" s="31">
        <f t="shared" si="61"/>
        <v>4600</v>
      </c>
      <c r="R32" s="31">
        <f t="shared" si="61"/>
        <v>4050</v>
      </c>
      <c r="S32" s="31">
        <f>S33+S52+S58+S69+S79+S73</f>
        <v>130775.2</v>
      </c>
      <c r="T32" s="36">
        <f t="shared" si="61"/>
        <v>246423</v>
      </c>
    </row>
    <row r="33" spans="1:20" x14ac:dyDescent="0.25">
      <c r="A33" s="24">
        <v>541</v>
      </c>
      <c r="B33" s="25" t="s">
        <v>47</v>
      </c>
      <c r="C33" s="31">
        <f>SUM(C34:C51)</f>
        <v>9102.36</v>
      </c>
      <c r="D33" s="31">
        <f t="shared" ref="D33:T33" si="62">SUM(D34:D51)</f>
        <v>1000</v>
      </c>
      <c r="E33" s="31">
        <f t="shared" si="62"/>
        <v>500</v>
      </c>
      <c r="F33" s="31">
        <f t="shared" si="62"/>
        <v>500</v>
      </c>
      <c r="G33" s="32">
        <f>SUM(G34:G51)</f>
        <v>11102.36</v>
      </c>
      <c r="H33" s="35">
        <f t="shared" si="62"/>
        <v>0</v>
      </c>
      <c r="I33" s="31">
        <f t="shared" si="62"/>
        <v>0</v>
      </c>
      <c r="J33" s="31">
        <f t="shared" si="62"/>
        <v>0</v>
      </c>
      <c r="K33" s="31">
        <f t="shared" si="62"/>
        <v>0</v>
      </c>
      <c r="L33" s="31">
        <f t="shared" si="62"/>
        <v>0</v>
      </c>
      <c r="M33" s="31">
        <f t="shared" si="62"/>
        <v>0</v>
      </c>
      <c r="N33" s="36">
        <f t="shared" si="62"/>
        <v>0</v>
      </c>
      <c r="O33" s="35">
        <f t="shared" si="62"/>
        <v>36100</v>
      </c>
      <c r="P33" s="31">
        <f t="shared" si="62"/>
        <v>6100</v>
      </c>
      <c r="Q33" s="31">
        <f t="shared" si="62"/>
        <v>4600</v>
      </c>
      <c r="R33" s="31">
        <f t="shared" si="62"/>
        <v>4050</v>
      </c>
      <c r="S33" s="31">
        <f>SUM(S34:S51)</f>
        <v>50850</v>
      </c>
      <c r="T33" s="36">
        <f t="shared" si="62"/>
        <v>61952.36</v>
      </c>
    </row>
    <row r="34" spans="1:20" x14ac:dyDescent="0.25">
      <c r="A34" s="20">
        <v>54101</v>
      </c>
      <c r="B34" s="7" t="s">
        <v>48</v>
      </c>
      <c r="C34" s="19"/>
      <c r="D34" s="19"/>
      <c r="E34" s="19"/>
      <c r="F34" s="19"/>
      <c r="G34" s="49">
        <f t="shared" si="27"/>
        <v>0</v>
      </c>
      <c r="H34" s="37"/>
      <c r="I34" s="19"/>
      <c r="J34" s="19"/>
      <c r="K34" s="19"/>
      <c r="L34" s="19"/>
      <c r="M34" s="19"/>
      <c r="N34" s="38">
        <f t="shared" si="10"/>
        <v>0</v>
      </c>
      <c r="O34" s="37">
        <v>100</v>
      </c>
      <c r="P34" s="19"/>
      <c r="Q34" s="19"/>
      <c r="R34" s="19"/>
      <c r="S34" s="19">
        <f t="shared" ref="S34:S51" si="63">SUM(O34:R34)</f>
        <v>100</v>
      </c>
      <c r="T34" s="48">
        <f t="shared" ref="T34:T51" si="64">S34+N34+G34</f>
        <v>100</v>
      </c>
    </row>
    <row r="35" spans="1:20" x14ac:dyDescent="0.25">
      <c r="A35" s="20">
        <v>54103</v>
      </c>
      <c r="B35" s="7" t="s">
        <v>49</v>
      </c>
      <c r="C35" s="19"/>
      <c r="D35" s="19"/>
      <c r="E35" s="19"/>
      <c r="F35" s="19"/>
      <c r="G35" s="49">
        <f t="shared" si="27"/>
        <v>0</v>
      </c>
      <c r="H35" s="37"/>
      <c r="I35" s="19"/>
      <c r="J35" s="19"/>
      <c r="K35" s="19"/>
      <c r="L35" s="19"/>
      <c r="M35" s="19"/>
      <c r="N35" s="38">
        <f t="shared" si="10"/>
        <v>0</v>
      </c>
      <c r="O35" s="37">
        <v>300</v>
      </c>
      <c r="P35" s="19"/>
      <c r="Q35" s="19"/>
      <c r="R35" s="19"/>
      <c r="S35" s="19">
        <f t="shared" si="63"/>
        <v>300</v>
      </c>
      <c r="T35" s="48">
        <f t="shared" si="64"/>
        <v>300</v>
      </c>
    </row>
    <row r="36" spans="1:20" x14ac:dyDescent="0.25">
      <c r="A36" s="20">
        <v>54104</v>
      </c>
      <c r="B36" s="7" t="s">
        <v>50</v>
      </c>
      <c r="C36" s="19">
        <f>3605.36</f>
        <v>3605.36</v>
      </c>
      <c r="D36" s="19"/>
      <c r="E36" s="19"/>
      <c r="F36" s="19"/>
      <c r="G36" s="49">
        <f t="shared" si="27"/>
        <v>3605.36</v>
      </c>
      <c r="H36" s="37"/>
      <c r="I36" s="19"/>
      <c r="J36" s="19"/>
      <c r="K36" s="19"/>
      <c r="L36" s="19"/>
      <c r="M36" s="19"/>
      <c r="N36" s="38">
        <f t="shared" si="10"/>
        <v>0</v>
      </c>
      <c r="O36" s="37">
        <v>5400</v>
      </c>
      <c r="P36" s="19"/>
      <c r="Q36" s="19"/>
      <c r="R36" s="19"/>
      <c r="S36" s="19">
        <f t="shared" si="63"/>
        <v>5400</v>
      </c>
      <c r="T36" s="48">
        <f t="shared" si="64"/>
        <v>9005.36</v>
      </c>
    </row>
    <row r="37" spans="1:20" x14ac:dyDescent="0.25">
      <c r="A37" s="20">
        <v>54105</v>
      </c>
      <c r="B37" s="7" t="s">
        <v>51</v>
      </c>
      <c r="C37" s="19"/>
      <c r="D37" s="19"/>
      <c r="E37" s="19"/>
      <c r="F37" s="19"/>
      <c r="G37" s="49">
        <f t="shared" si="27"/>
        <v>0</v>
      </c>
      <c r="H37" s="37"/>
      <c r="I37" s="19"/>
      <c r="J37" s="19"/>
      <c r="K37" s="19"/>
      <c r="L37" s="19"/>
      <c r="M37" s="19"/>
      <c r="N37" s="38">
        <f t="shared" si="10"/>
        <v>0</v>
      </c>
      <c r="O37" s="37">
        <v>2000</v>
      </c>
      <c r="P37" s="19">
        <v>1000</v>
      </c>
      <c r="Q37" s="19">
        <v>1000</v>
      </c>
      <c r="R37" s="19">
        <v>500</v>
      </c>
      <c r="S37" s="19">
        <f t="shared" si="63"/>
        <v>4500</v>
      </c>
      <c r="T37" s="48">
        <f t="shared" si="64"/>
        <v>4500</v>
      </c>
    </row>
    <row r="38" spans="1:20" x14ac:dyDescent="0.25">
      <c r="A38" s="20">
        <v>54106</v>
      </c>
      <c r="B38" s="7" t="s">
        <v>52</v>
      </c>
      <c r="C38" s="19"/>
      <c r="D38" s="19"/>
      <c r="E38" s="19"/>
      <c r="F38" s="19"/>
      <c r="G38" s="49">
        <f t="shared" si="27"/>
        <v>0</v>
      </c>
      <c r="H38" s="37"/>
      <c r="I38" s="19"/>
      <c r="J38" s="19"/>
      <c r="K38" s="19"/>
      <c r="L38" s="19"/>
      <c r="M38" s="19"/>
      <c r="N38" s="38">
        <f t="shared" si="10"/>
        <v>0</v>
      </c>
      <c r="O38" s="37">
        <v>100</v>
      </c>
      <c r="P38" s="37">
        <v>100</v>
      </c>
      <c r="Q38" s="37">
        <v>100</v>
      </c>
      <c r="R38" s="37">
        <v>50</v>
      </c>
      <c r="S38" s="19">
        <f t="shared" si="63"/>
        <v>350</v>
      </c>
      <c r="T38" s="48">
        <f t="shared" si="64"/>
        <v>350</v>
      </c>
    </row>
    <row r="39" spans="1:20" x14ac:dyDescent="0.25">
      <c r="A39" s="20">
        <v>54107</v>
      </c>
      <c r="B39" s="7" t="s">
        <v>53</v>
      </c>
      <c r="C39" s="19"/>
      <c r="D39" s="19"/>
      <c r="E39" s="19"/>
      <c r="F39" s="19"/>
      <c r="G39" s="49">
        <f t="shared" si="27"/>
        <v>0</v>
      </c>
      <c r="H39" s="37"/>
      <c r="I39" s="19"/>
      <c r="J39" s="19"/>
      <c r="K39" s="19"/>
      <c r="L39" s="19"/>
      <c r="M39" s="19"/>
      <c r="N39" s="38">
        <f t="shared" si="10"/>
        <v>0</v>
      </c>
      <c r="O39" s="37">
        <v>2000</v>
      </c>
      <c r="P39" s="19">
        <v>1000</v>
      </c>
      <c r="Q39" s="19">
        <v>500</v>
      </c>
      <c r="R39" s="19">
        <v>500</v>
      </c>
      <c r="S39" s="19">
        <f t="shared" si="63"/>
        <v>4000</v>
      </c>
      <c r="T39" s="48">
        <f t="shared" si="64"/>
        <v>4000</v>
      </c>
    </row>
    <row r="40" spans="1:20" x14ac:dyDescent="0.25">
      <c r="A40" s="20">
        <v>54108</v>
      </c>
      <c r="B40" s="7" t="s">
        <v>54</v>
      </c>
      <c r="C40" s="19"/>
      <c r="D40" s="19"/>
      <c r="E40" s="19"/>
      <c r="F40" s="19"/>
      <c r="G40" s="49">
        <f t="shared" si="27"/>
        <v>0</v>
      </c>
      <c r="H40" s="37"/>
      <c r="I40" s="19"/>
      <c r="J40" s="19"/>
      <c r="K40" s="19"/>
      <c r="L40" s="19"/>
      <c r="M40" s="19"/>
      <c r="N40" s="38">
        <f t="shared" si="10"/>
        <v>0</v>
      </c>
      <c r="O40" s="37">
        <v>100</v>
      </c>
      <c r="P40" s="19"/>
      <c r="Q40" s="19"/>
      <c r="R40" s="19"/>
      <c r="S40" s="19">
        <f t="shared" si="63"/>
        <v>100</v>
      </c>
      <c r="T40" s="48">
        <f t="shared" si="64"/>
        <v>100</v>
      </c>
    </row>
    <row r="41" spans="1:20" x14ac:dyDescent="0.25">
      <c r="A41" s="20">
        <v>54109</v>
      </c>
      <c r="B41" s="7" t="s">
        <v>55</v>
      </c>
      <c r="C41" s="19"/>
      <c r="D41" s="19"/>
      <c r="E41" s="19"/>
      <c r="F41" s="19"/>
      <c r="G41" s="49">
        <f t="shared" si="27"/>
        <v>0</v>
      </c>
      <c r="H41" s="37"/>
      <c r="I41" s="19"/>
      <c r="J41" s="19"/>
      <c r="K41" s="19"/>
      <c r="L41" s="19"/>
      <c r="M41" s="19"/>
      <c r="N41" s="38">
        <f t="shared" si="10"/>
        <v>0</v>
      </c>
      <c r="O41" s="37">
        <v>9000</v>
      </c>
      <c r="P41" s="19"/>
      <c r="Q41" s="19"/>
      <c r="R41" s="19"/>
      <c r="S41" s="19">
        <f t="shared" si="63"/>
        <v>9000</v>
      </c>
      <c r="T41" s="48">
        <f t="shared" si="64"/>
        <v>9000</v>
      </c>
    </row>
    <row r="42" spans="1:20" x14ac:dyDescent="0.25">
      <c r="A42" s="20">
        <v>54110</v>
      </c>
      <c r="B42" s="7" t="s">
        <v>56</v>
      </c>
      <c r="C42" s="19">
        <v>1497</v>
      </c>
      <c r="D42" s="19">
        <v>1000</v>
      </c>
      <c r="E42" s="19">
        <v>500</v>
      </c>
      <c r="F42" s="19">
        <v>500</v>
      </c>
      <c r="G42" s="49">
        <f>C42+D42+E42+F42</f>
        <v>3497</v>
      </c>
      <c r="H42" s="37"/>
      <c r="I42" s="19"/>
      <c r="J42" s="19"/>
      <c r="K42" s="19"/>
      <c r="L42" s="19"/>
      <c r="M42" s="19"/>
      <c r="N42" s="38">
        <f t="shared" si="10"/>
        <v>0</v>
      </c>
      <c r="O42" s="37">
        <v>3000</v>
      </c>
      <c r="P42" s="19">
        <v>1000</v>
      </c>
      <c r="Q42" s="19">
        <v>1000</v>
      </c>
      <c r="R42" s="19">
        <v>1000</v>
      </c>
      <c r="S42" s="19">
        <f t="shared" si="63"/>
        <v>6000</v>
      </c>
      <c r="T42" s="48">
        <f t="shared" si="64"/>
        <v>9497</v>
      </c>
    </row>
    <row r="43" spans="1:20" x14ac:dyDescent="0.25">
      <c r="A43" s="20">
        <v>54111</v>
      </c>
      <c r="B43" s="7" t="s">
        <v>57</v>
      </c>
      <c r="C43" s="19"/>
      <c r="D43" s="19"/>
      <c r="E43" s="19"/>
      <c r="F43" s="19"/>
      <c r="G43" s="49">
        <f t="shared" si="27"/>
        <v>0</v>
      </c>
      <c r="H43" s="37"/>
      <c r="I43" s="19"/>
      <c r="J43" s="19"/>
      <c r="K43" s="19"/>
      <c r="L43" s="19"/>
      <c r="M43" s="19"/>
      <c r="N43" s="38">
        <f t="shared" si="10"/>
        <v>0</v>
      </c>
      <c r="O43" s="37">
        <v>1000</v>
      </c>
      <c r="P43" s="19"/>
      <c r="Q43" s="19"/>
      <c r="R43" s="19"/>
      <c r="S43" s="19">
        <f t="shared" si="63"/>
        <v>1000</v>
      </c>
      <c r="T43" s="48">
        <f t="shared" si="64"/>
        <v>1000</v>
      </c>
    </row>
    <row r="44" spans="1:20" x14ac:dyDescent="0.25">
      <c r="A44" s="20">
        <v>54112</v>
      </c>
      <c r="B44" s="7" t="s">
        <v>58</v>
      </c>
      <c r="C44" s="19"/>
      <c r="D44" s="19"/>
      <c r="E44" s="19"/>
      <c r="F44" s="19"/>
      <c r="G44" s="49">
        <f t="shared" si="27"/>
        <v>0</v>
      </c>
      <c r="H44" s="37"/>
      <c r="I44" s="19"/>
      <c r="J44" s="19"/>
      <c r="K44" s="19"/>
      <c r="L44" s="19"/>
      <c r="M44" s="19"/>
      <c r="N44" s="38">
        <f t="shared" si="10"/>
        <v>0</v>
      </c>
      <c r="O44" s="37">
        <v>1000</v>
      </c>
      <c r="P44" s="19"/>
      <c r="Q44" s="19"/>
      <c r="R44" s="19"/>
      <c r="S44" s="19">
        <f t="shared" si="63"/>
        <v>1000</v>
      </c>
      <c r="T44" s="48">
        <f t="shared" si="64"/>
        <v>1000</v>
      </c>
    </row>
    <row r="45" spans="1:20" x14ac:dyDescent="0.25">
      <c r="A45" s="20">
        <v>54114</v>
      </c>
      <c r="B45" s="7" t="s">
        <v>59</v>
      </c>
      <c r="C45" s="19"/>
      <c r="D45" s="19"/>
      <c r="E45" s="19"/>
      <c r="F45" s="19"/>
      <c r="G45" s="49">
        <f t="shared" si="27"/>
        <v>0</v>
      </c>
      <c r="H45" s="37"/>
      <c r="I45" s="19"/>
      <c r="J45" s="19"/>
      <c r="K45" s="19"/>
      <c r="L45" s="19"/>
      <c r="M45" s="19"/>
      <c r="N45" s="38">
        <f t="shared" si="10"/>
        <v>0</v>
      </c>
      <c r="O45" s="37">
        <v>3000</v>
      </c>
      <c r="P45" s="19">
        <v>2000</v>
      </c>
      <c r="Q45" s="19">
        <v>1000</v>
      </c>
      <c r="R45" s="19">
        <v>1000</v>
      </c>
      <c r="S45" s="19">
        <f t="shared" si="63"/>
        <v>7000</v>
      </c>
      <c r="T45" s="48">
        <f t="shared" si="64"/>
        <v>7000</v>
      </c>
    </row>
    <row r="46" spans="1:20" x14ac:dyDescent="0.25">
      <c r="A46" s="20">
        <v>54115</v>
      </c>
      <c r="B46" s="7" t="s">
        <v>60</v>
      </c>
      <c r="C46" s="19"/>
      <c r="D46" s="19"/>
      <c r="E46" s="19"/>
      <c r="F46" s="19"/>
      <c r="G46" s="49">
        <f t="shared" si="27"/>
        <v>0</v>
      </c>
      <c r="H46" s="37"/>
      <c r="I46" s="19"/>
      <c r="J46" s="19"/>
      <c r="K46" s="19"/>
      <c r="L46" s="19"/>
      <c r="M46" s="19"/>
      <c r="N46" s="38">
        <f t="shared" si="10"/>
        <v>0</v>
      </c>
      <c r="O46" s="37">
        <v>6000</v>
      </c>
      <c r="P46" s="19">
        <v>1000</v>
      </c>
      <c r="Q46" s="19">
        <v>1000</v>
      </c>
      <c r="R46" s="19">
        <v>1000</v>
      </c>
      <c r="S46" s="19">
        <f t="shared" si="63"/>
        <v>9000</v>
      </c>
      <c r="T46" s="48">
        <f t="shared" si="64"/>
        <v>9000</v>
      </c>
    </row>
    <row r="47" spans="1:20" x14ac:dyDescent="0.25">
      <c r="A47" s="20">
        <v>54116</v>
      </c>
      <c r="B47" s="7" t="s">
        <v>61</v>
      </c>
      <c r="C47" s="19"/>
      <c r="D47" s="19"/>
      <c r="E47" s="19"/>
      <c r="F47" s="19"/>
      <c r="G47" s="49">
        <f t="shared" si="27"/>
        <v>0</v>
      </c>
      <c r="H47" s="37"/>
      <c r="I47" s="19"/>
      <c r="J47" s="19"/>
      <c r="K47" s="19"/>
      <c r="L47" s="19"/>
      <c r="M47" s="19"/>
      <c r="N47" s="38">
        <f t="shared" si="10"/>
        <v>0</v>
      </c>
      <c r="O47" s="37">
        <v>100</v>
      </c>
      <c r="P47" s="19"/>
      <c r="Q47" s="19"/>
      <c r="R47" s="19"/>
      <c r="S47" s="19">
        <f t="shared" si="63"/>
        <v>100</v>
      </c>
      <c r="T47" s="48">
        <f t="shared" si="64"/>
        <v>100</v>
      </c>
    </row>
    <row r="48" spans="1:20" x14ac:dyDescent="0.25">
      <c r="A48" s="20">
        <v>54118</v>
      </c>
      <c r="B48" s="7" t="s">
        <v>62</v>
      </c>
      <c r="C48" s="19"/>
      <c r="D48" s="19"/>
      <c r="E48" s="19"/>
      <c r="F48" s="19"/>
      <c r="G48" s="49">
        <f t="shared" si="27"/>
        <v>0</v>
      </c>
      <c r="H48" s="37"/>
      <c r="I48" s="19"/>
      <c r="J48" s="19"/>
      <c r="K48" s="19"/>
      <c r="L48" s="19"/>
      <c r="M48" s="19"/>
      <c r="N48" s="38">
        <f t="shared" si="10"/>
        <v>0</v>
      </c>
      <c r="O48" s="37">
        <v>1000</v>
      </c>
      <c r="P48" s="19"/>
      <c r="Q48" s="19"/>
      <c r="R48" s="19"/>
      <c r="S48" s="19">
        <f t="shared" si="63"/>
        <v>1000</v>
      </c>
      <c r="T48" s="48">
        <f t="shared" si="64"/>
        <v>1000</v>
      </c>
    </row>
    <row r="49" spans="1:20" x14ac:dyDescent="0.25">
      <c r="A49" s="20">
        <v>54119</v>
      </c>
      <c r="B49" s="7" t="s">
        <v>63</v>
      </c>
      <c r="C49" s="19"/>
      <c r="D49" s="19"/>
      <c r="E49" s="19"/>
      <c r="F49" s="19"/>
      <c r="G49" s="49">
        <f t="shared" si="27"/>
        <v>0</v>
      </c>
      <c r="H49" s="37"/>
      <c r="I49" s="19"/>
      <c r="J49" s="19"/>
      <c r="K49" s="19"/>
      <c r="L49" s="19"/>
      <c r="M49" s="19"/>
      <c r="N49" s="38">
        <f t="shared" si="10"/>
        <v>0</v>
      </c>
      <c r="O49" s="37">
        <v>1000</v>
      </c>
      <c r="P49" s="19"/>
      <c r="Q49" s="19"/>
      <c r="R49" s="19"/>
      <c r="S49" s="19">
        <f t="shared" si="63"/>
        <v>1000</v>
      </c>
      <c r="T49" s="48">
        <f t="shared" si="64"/>
        <v>1000</v>
      </c>
    </row>
    <row r="50" spans="1:20" x14ac:dyDescent="0.25">
      <c r="A50" s="20">
        <v>54121</v>
      </c>
      <c r="B50" s="7" t="s">
        <v>64</v>
      </c>
      <c r="C50" s="19">
        <v>4000</v>
      </c>
      <c r="D50" s="19"/>
      <c r="E50" s="19"/>
      <c r="F50" s="19"/>
      <c r="G50" s="49">
        <f t="shared" si="27"/>
        <v>4000</v>
      </c>
      <c r="H50" s="37"/>
      <c r="I50" s="19"/>
      <c r="J50" s="19"/>
      <c r="K50" s="19"/>
      <c r="L50" s="19"/>
      <c r="M50" s="19"/>
      <c r="N50" s="38">
        <f t="shared" si="10"/>
        <v>0</v>
      </c>
      <c r="O50" s="37"/>
      <c r="P50" s="19"/>
      <c r="Q50" s="19"/>
      <c r="R50" s="19"/>
      <c r="S50" s="19">
        <f t="shared" si="63"/>
        <v>0</v>
      </c>
      <c r="T50" s="48">
        <f t="shared" si="64"/>
        <v>4000</v>
      </c>
    </row>
    <row r="51" spans="1:20" x14ac:dyDescent="0.25">
      <c r="A51" s="20">
        <v>54199</v>
      </c>
      <c r="B51" s="7" t="s">
        <v>47</v>
      </c>
      <c r="C51" s="19"/>
      <c r="D51" s="19"/>
      <c r="E51" s="19"/>
      <c r="F51" s="19"/>
      <c r="G51" s="49">
        <f t="shared" si="27"/>
        <v>0</v>
      </c>
      <c r="H51" s="37"/>
      <c r="I51" s="19"/>
      <c r="J51" s="19"/>
      <c r="K51" s="19"/>
      <c r="L51" s="19"/>
      <c r="M51" s="19"/>
      <c r="N51" s="38">
        <f t="shared" si="10"/>
        <v>0</v>
      </c>
      <c r="O51" s="37">
        <v>1000</v>
      </c>
      <c r="P51" s="19"/>
      <c r="Q51" s="19"/>
      <c r="R51" s="19"/>
      <c r="S51" s="19">
        <f t="shared" si="63"/>
        <v>1000</v>
      </c>
      <c r="T51" s="48">
        <f t="shared" si="64"/>
        <v>1000</v>
      </c>
    </row>
    <row r="52" spans="1:20" x14ac:dyDescent="0.25">
      <c r="A52" s="24">
        <v>542</v>
      </c>
      <c r="B52" s="25" t="s">
        <v>65</v>
      </c>
      <c r="C52" s="31">
        <f>SUM(C53:C57)</f>
        <v>110745.44</v>
      </c>
      <c r="D52" s="31">
        <f t="shared" ref="D52:T52" si="65">SUM(D53:D57)</f>
        <v>0</v>
      </c>
      <c r="E52" s="31">
        <f t="shared" si="65"/>
        <v>0</v>
      </c>
      <c r="F52" s="31">
        <f t="shared" si="65"/>
        <v>0</v>
      </c>
      <c r="G52" s="32">
        <f>SUM(G53:G57)</f>
        <v>110745.44</v>
      </c>
      <c r="H52" s="35">
        <f t="shared" si="65"/>
        <v>0</v>
      </c>
      <c r="I52" s="31">
        <f t="shared" si="65"/>
        <v>0</v>
      </c>
      <c r="J52" s="31">
        <f t="shared" si="65"/>
        <v>0</v>
      </c>
      <c r="K52" s="31">
        <f t="shared" si="65"/>
        <v>0</v>
      </c>
      <c r="L52" s="31">
        <f t="shared" si="65"/>
        <v>0</v>
      </c>
      <c r="M52" s="31">
        <f t="shared" si="65"/>
        <v>0</v>
      </c>
      <c r="N52" s="36">
        <f t="shared" si="65"/>
        <v>0</v>
      </c>
      <c r="O52" s="35">
        <f t="shared" si="65"/>
        <v>37125.199999999997</v>
      </c>
      <c r="P52" s="31">
        <f t="shared" si="65"/>
        <v>0</v>
      </c>
      <c r="Q52" s="31">
        <f t="shared" si="65"/>
        <v>0</v>
      </c>
      <c r="R52" s="31">
        <f t="shared" si="65"/>
        <v>0</v>
      </c>
      <c r="S52" s="31">
        <f t="shared" si="65"/>
        <v>37125.199999999997</v>
      </c>
      <c r="T52" s="36">
        <f t="shared" si="65"/>
        <v>147870.64000000001</v>
      </c>
    </row>
    <row r="53" spans="1:20" x14ac:dyDescent="0.25">
      <c r="A53" s="20">
        <v>54201</v>
      </c>
      <c r="B53" s="7" t="s">
        <v>66</v>
      </c>
      <c r="C53" s="19">
        <v>49082.94</v>
      </c>
      <c r="D53" s="19"/>
      <c r="E53" s="19"/>
      <c r="F53" s="19"/>
      <c r="G53" s="49">
        <f t="shared" si="27"/>
        <v>49082.94</v>
      </c>
      <c r="H53" s="37"/>
      <c r="I53" s="19"/>
      <c r="J53" s="19"/>
      <c r="K53" s="19"/>
      <c r="L53" s="19"/>
      <c r="M53" s="19"/>
      <c r="N53" s="38">
        <f t="shared" si="10"/>
        <v>0</v>
      </c>
      <c r="O53" s="37">
        <v>16400</v>
      </c>
      <c r="P53" s="19"/>
      <c r="Q53" s="19"/>
      <c r="R53" s="19"/>
      <c r="S53" s="19">
        <f t="shared" ref="S53:S57" si="66">SUM(O53:R53)</f>
        <v>16400</v>
      </c>
      <c r="T53" s="48">
        <f t="shared" ref="T53:T57" si="67">S53+N53+G53</f>
        <v>65482.94</v>
      </c>
    </row>
    <row r="54" spans="1:20" x14ac:dyDescent="0.25">
      <c r="A54" s="21">
        <v>54202</v>
      </c>
      <c r="B54" s="7" t="s">
        <v>67</v>
      </c>
      <c r="C54" s="19">
        <f>944.73</f>
        <v>944.73</v>
      </c>
      <c r="D54" s="19"/>
      <c r="E54" s="19"/>
      <c r="F54" s="19"/>
      <c r="G54" s="49">
        <f t="shared" si="27"/>
        <v>944.73</v>
      </c>
      <c r="H54" s="37"/>
      <c r="I54" s="19"/>
      <c r="J54" s="19"/>
      <c r="K54" s="19"/>
      <c r="L54" s="19"/>
      <c r="M54" s="19"/>
      <c r="N54" s="38">
        <f t="shared" si="10"/>
        <v>0</v>
      </c>
      <c r="O54" s="37">
        <v>350</v>
      </c>
      <c r="P54" s="19"/>
      <c r="Q54" s="19"/>
      <c r="R54" s="19"/>
      <c r="S54" s="19">
        <f t="shared" si="66"/>
        <v>350</v>
      </c>
      <c r="T54" s="48">
        <f t="shared" si="67"/>
        <v>1294.73</v>
      </c>
    </row>
    <row r="55" spans="1:20" x14ac:dyDescent="0.25">
      <c r="A55" s="21">
        <v>54203</v>
      </c>
      <c r="B55" s="7" t="s">
        <v>68</v>
      </c>
      <c r="C55" s="19">
        <f>3217.77+4500+3500</f>
        <v>11217.77</v>
      </c>
      <c r="D55" s="19"/>
      <c r="E55" s="19"/>
      <c r="F55" s="19"/>
      <c r="G55" s="49">
        <f t="shared" si="27"/>
        <v>11217.77</v>
      </c>
      <c r="H55" s="37"/>
      <c r="I55" s="19"/>
      <c r="J55" s="19"/>
      <c r="K55" s="19"/>
      <c r="L55" s="19"/>
      <c r="M55" s="19"/>
      <c r="N55" s="38">
        <f t="shared" si="10"/>
        <v>0</v>
      </c>
      <c r="O55" s="37">
        <v>3775</v>
      </c>
      <c r="P55" s="19"/>
      <c r="Q55" s="19"/>
      <c r="R55" s="19"/>
      <c r="S55" s="19">
        <f t="shared" si="66"/>
        <v>3775</v>
      </c>
      <c r="T55" s="48">
        <f t="shared" si="67"/>
        <v>14992.77</v>
      </c>
    </row>
    <row r="56" spans="1:20" x14ac:dyDescent="0.25">
      <c r="A56" s="21">
        <v>54204</v>
      </c>
      <c r="B56" s="7" t="s">
        <v>69</v>
      </c>
      <c r="C56" s="19"/>
      <c r="D56" s="19"/>
      <c r="E56" s="19"/>
      <c r="F56" s="19"/>
      <c r="G56" s="49">
        <f t="shared" si="27"/>
        <v>0</v>
      </c>
      <c r="H56" s="37"/>
      <c r="I56" s="19"/>
      <c r="J56" s="19"/>
      <c r="K56" s="19"/>
      <c r="L56" s="19"/>
      <c r="M56" s="19"/>
      <c r="N56" s="38">
        <f t="shared" si="10"/>
        <v>0</v>
      </c>
      <c r="O56" s="37">
        <v>100.2</v>
      </c>
      <c r="P56" s="19"/>
      <c r="Q56" s="19"/>
      <c r="R56" s="19"/>
      <c r="S56" s="19">
        <f t="shared" si="66"/>
        <v>100.2</v>
      </c>
      <c r="T56" s="48">
        <f t="shared" si="67"/>
        <v>100.2</v>
      </c>
    </row>
    <row r="57" spans="1:20" x14ac:dyDescent="0.25">
      <c r="A57" s="21">
        <v>54205</v>
      </c>
      <c r="B57" s="7" t="s">
        <v>70</v>
      </c>
      <c r="C57" s="19">
        <v>49500</v>
      </c>
      <c r="D57" s="19"/>
      <c r="E57" s="19"/>
      <c r="F57" s="19"/>
      <c r="G57" s="49">
        <f t="shared" si="27"/>
        <v>49500</v>
      </c>
      <c r="H57" s="37"/>
      <c r="I57" s="19"/>
      <c r="J57" s="19"/>
      <c r="K57" s="19"/>
      <c r="L57" s="19"/>
      <c r="M57" s="19"/>
      <c r="N57" s="38">
        <f t="shared" si="10"/>
        <v>0</v>
      </c>
      <c r="O57" s="37">
        <v>16500</v>
      </c>
      <c r="P57" s="19"/>
      <c r="Q57" s="19"/>
      <c r="R57" s="19"/>
      <c r="S57" s="19">
        <f t="shared" si="66"/>
        <v>16500</v>
      </c>
      <c r="T57" s="48">
        <f t="shared" si="67"/>
        <v>66000</v>
      </c>
    </row>
    <row r="58" spans="1:20" x14ac:dyDescent="0.25">
      <c r="A58" s="26">
        <v>543</v>
      </c>
      <c r="B58" s="25" t="s">
        <v>71</v>
      </c>
      <c r="C58" s="31">
        <f>SUM(C59:C68)</f>
        <v>0</v>
      </c>
      <c r="D58" s="31">
        <f t="shared" ref="D58:S58" si="68">SUM(D59:D68)</f>
        <v>0</v>
      </c>
      <c r="E58" s="31">
        <f t="shared" si="68"/>
        <v>0</v>
      </c>
      <c r="F58" s="31">
        <f t="shared" si="68"/>
        <v>0</v>
      </c>
      <c r="G58" s="32">
        <f>SUM(G59:G68)</f>
        <v>0</v>
      </c>
      <c r="H58" s="35">
        <f t="shared" si="68"/>
        <v>0</v>
      </c>
      <c r="I58" s="31">
        <f t="shared" si="68"/>
        <v>0</v>
      </c>
      <c r="J58" s="31">
        <f t="shared" si="68"/>
        <v>0</v>
      </c>
      <c r="K58" s="31">
        <f t="shared" si="68"/>
        <v>0</v>
      </c>
      <c r="L58" s="31">
        <f t="shared" si="68"/>
        <v>0</v>
      </c>
      <c r="M58" s="31">
        <f t="shared" si="68"/>
        <v>0</v>
      </c>
      <c r="N58" s="36">
        <f t="shared" si="68"/>
        <v>0</v>
      </c>
      <c r="O58" s="35">
        <f t="shared" si="68"/>
        <v>36600</v>
      </c>
      <c r="P58" s="31">
        <f t="shared" si="68"/>
        <v>0</v>
      </c>
      <c r="Q58" s="31">
        <f t="shared" si="68"/>
        <v>0</v>
      </c>
      <c r="R58" s="31">
        <f t="shared" si="68"/>
        <v>0</v>
      </c>
      <c r="S58" s="31">
        <f t="shared" si="68"/>
        <v>36600</v>
      </c>
      <c r="T58" s="36">
        <f>SUM(T59:T68)</f>
        <v>36600</v>
      </c>
    </row>
    <row r="59" spans="1:20" x14ac:dyDescent="0.25">
      <c r="A59" s="21">
        <v>54301</v>
      </c>
      <c r="B59" s="7" t="s">
        <v>72</v>
      </c>
      <c r="C59" s="19"/>
      <c r="D59" s="19"/>
      <c r="E59" s="19"/>
      <c r="F59" s="19"/>
      <c r="G59" s="49">
        <f t="shared" si="27"/>
        <v>0</v>
      </c>
      <c r="H59" s="37"/>
      <c r="I59" s="19"/>
      <c r="J59" s="19"/>
      <c r="K59" s="19"/>
      <c r="L59" s="19"/>
      <c r="M59" s="19"/>
      <c r="N59" s="38">
        <f t="shared" si="10"/>
        <v>0</v>
      </c>
      <c r="O59" s="37">
        <v>8000</v>
      </c>
      <c r="P59" s="19"/>
      <c r="Q59" s="19"/>
      <c r="R59" s="19"/>
      <c r="S59" s="19">
        <f t="shared" ref="S59:S80" si="69">SUM(O59:R59)</f>
        <v>8000</v>
      </c>
      <c r="T59" s="48">
        <f t="shared" ref="T59:T68" si="70">S59+N59+G59</f>
        <v>8000</v>
      </c>
    </row>
    <row r="60" spans="1:20" x14ac:dyDescent="0.25">
      <c r="A60" s="21">
        <v>54302</v>
      </c>
      <c r="B60" s="7" t="s">
        <v>73</v>
      </c>
      <c r="C60" s="19"/>
      <c r="D60" s="19"/>
      <c r="E60" s="19"/>
      <c r="F60" s="19"/>
      <c r="G60" s="49">
        <f t="shared" si="27"/>
        <v>0</v>
      </c>
      <c r="H60" s="37"/>
      <c r="I60" s="19"/>
      <c r="J60" s="19"/>
      <c r="K60" s="19"/>
      <c r="L60" s="19"/>
      <c r="M60" s="19"/>
      <c r="N60" s="38">
        <f t="shared" si="10"/>
        <v>0</v>
      </c>
      <c r="O60" s="37">
        <v>100</v>
      </c>
      <c r="P60" s="19"/>
      <c r="Q60" s="19"/>
      <c r="R60" s="19"/>
      <c r="S60" s="19">
        <f t="shared" si="69"/>
        <v>100</v>
      </c>
      <c r="T60" s="48">
        <f t="shared" si="70"/>
        <v>100</v>
      </c>
    </row>
    <row r="61" spans="1:20" x14ac:dyDescent="0.25">
      <c r="A61" s="21">
        <v>54303</v>
      </c>
      <c r="B61" s="7" t="s">
        <v>74</v>
      </c>
      <c r="C61" s="19"/>
      <c r="D61" s="19"/>
      <c r="E61" s="19"/>
      <c r="F61" s="19"/>
      <c r="G61" s="49">
        <f t="shared" si="27"/>
        <v>0</v>
      </c>
      <c r="H61" s="37"/>
      <c r="I61" s="19"/>
      <c r="J61" s="19"/>
      <c r="K61" s="19"/>
      <c r="L61" s="19"/>
      <c r="M61" s="19"/>
      <c r="N61" s="38">
        <f t="shared" si="10"/>
        <v>0</v>
      </c>
      <c r="O61" s="37">
        <v>1500</v>
      </c>
      <c r="P61" s="19"/>
      <c r="Q61" s="19"/>
      <c r="R61" s="19"/>
      <c r="S61" s="19">
        <f t="shared" si="69"/>
        <v>1500</v>
      </c>
      <c r="T61" s="48">
        <f t="shared" si="70"/>
        <v>1500</v>
      </c>
    </row>
    <row r="62" spans="1:20" x14ac:dyDescent="0.25">
      <c r="A62" s="21">
        <v>54304</v>
      </c>
      <c r="B62" s="7" t="s">
        <v>75</v>
      </c>
      <c r="C62" s="19"/>
      <c r="D62" s="19"/>
      <c r="E62" s="19"/>
      <c r="F62" s="19"/>
      <c r="G62" s="49">
        <f t="shared" si="27"/>
        <v>0</v>
      </c>
      <c r="H62" s="37"/>
      <c r="I62" s="19"/>
      <c r="J62" s="19"/>
      <c r="K62" s="19"/>
      <c r="L62" s="19"/>
      <c r="M62" s="19"/>
      <c r="N62" s="38">
        <f t="shared" si="10"/>
        <v>0</v>
      </c>
      <c r="O62" s="37">
        <v>5000</v>
      </c>
      <c r="P62" s="19"/>
      <c r="Q62" s="19"/>
      <c r="R62" s="19"/>
      <c r="S62" s="19">
        <f t="shared" si="69"/>
        <v>5000</v>
      </c>
      <c r="T62" s="48">
        <f t="shared" si="70"/>
        <v>5000</v>
      </c>
    </row>
    <row r="63" spans="1:20" x14ac:dyDescent="0.25">
      <c r="A63" s="21">
        <v>54305</v>
      </c>
      <c r="B63" s="7" t="s">
        <v>76</v>
      </c>
      <c r="C63" s="19"/>
      <c r="D63" s="19"/>
      <c r="E63" s="19"/>
      <c r="F63" s="19"/>
      <c r="G63" s="49">
        <f t="shared" si="27"/>
        <v>0</v>
      </c>
      <c r="H63" s="37"/>
      <c r="I63" s="19"/>
      <c r="J63" s="19"/>
      <c r="K63" s="19"/>
      <c r="L63" s="19"/>
      <c r="M63" s="19"/>
      <c r="N63" s="38">
        <f t="shared" si="10"/>
        <v>0</v>
      </c>
      <c r="O63" s="37">
        <v>4800</v>
      </c>
      <c r="P63" s="19"/>
      <c r="Q63" s="19"/>
      <c r="R63" s="19"/>
      <c r="S63" s="19">
        <f t="shared" si="69"/>
        <v>4800</v>
      </c>
      <c r="T63" s="48">
        <f t="shared" si="70"/>
        <v>4800</v>
      </c>
    </row>
    <row r="64" spans="1:20" x14ac:dyDescent="0.25">
      <c r="A64" s="21">
        <v>54307</v>
      </c>
      <c r="B64" s="7" t="s">
        <v>77</v>
      </c>
      <c r="C64" s="19"/>
      <c r="D64" s="19"/>
      <c r="E64" s="19"/>
      <c r="F64" s="19"/>
      <c r="G64" s="49">
        <f t="shared" si="27"/>
        <v>0</v>
      </c>
      <c r="H64" s="37"/>
      <c r="I64" s="19"/>
      <c r="J64" s="19"/>
      <c r="K64" s="19"/>
      <c r="L64" s="19"/>
      <c r="M64" s="19"/>
      <c r="N64" s="38">
        <f t="shared" si="10"/>
        <v>0</v>
      </c>
      <c r="O64" s="37">
        <v>100</v>
      </c>
      <c r="P64" s="19"/>
      <c r="Q64" s="19"/>
      <c r="R64" s="19"/>
      <c r="S64" s="19">
        <f t="shared" si="69"/>
        <v>100</v>
      </c>
      <c r="T64" s="48">
        <f t="shared" si="70"/>
        <v>100</v>
      </c>
    </row>
    <row r="65" spans="1:20" x14ac:dyDescent="0.25">
      <c r="A65" s="21">
        <v>54311</v>
      </c>
      <c r="B65" s="7" t="s">
        <v>78</v>
      </c>
      <c r="C65" s="19"/>
      <c r="D65" s="19"/>
      <c r="E65" s="19"/>
      <c r="F65" s="19"/>
      <c r="G65" s="49">
        <f t="shared" si="27"/>
        <v>0</v>
      </c>
      <c r="H65" s="37"/>
      <c r="I65" s="19"/>
      <c r="J65" s="19"/>
      <c r="K65" s="19"/>
      <c r="L65" s="19"/>
      <c r="M65" s="19"/>
      <c r="N65" s="38">
        <f t="shared" si="10"/>
        <v>0</v>
      </c>
      <c r="O65" s="37">
        <v>100</v>
      </c>
      <c r="P65" s="19"/>
      <c r="Q65" s="19"/>
      <c r="R65" s="19"/>
      <c r="S65" s="19">
        <f t="shared" si="69"/>
        <v>100</v>
      </c>
      <c r="T65" s="48">
        <f t="shared" si="70"/>
        <v>100</v>
      </c>
    </row>
    <row r="66" spans="1:20" x14ac:dyDescent="0.25">
      <c r="A66" s="21">
        <v>54313</v>
      </c>
      <c r="B66" s="7" t="s">
        <v>79</v>
      </c>
      <c r="C66" s="19"/>
      <c r="D66" s="19"/>
      <c r="E66" s="19"/>
      <c r="F66" s="19"/>
      <c r="G66" s="49">
        <f t="shared" si="27"/>
        <v>0</v>
      </c>
      <c r="H66" s="37"/>
      <c r="I66" s="19"/>
      <c r="J66" s="19"/>
      <c r="K66" s="19"/>
      <c r="L66" s="19"/>
      <c r="M66" s="19"/>
      <c r="N66" s="38">
        <f t="shared" si="10"/>
        <v>0</v>
      </c>
      <c r="O66" s="37">
        <v>2500</v>
      </c>
      <c r="P66" s="19"/>
      <c r="Q66" s="19"/>
      <c r="R66" s="19"/>
      <c r="S66" s="19">
        <f t="shared" si="69"/>
        <v>2500</v>
      </c>
      <c r="T66" s="48">
        <f t="shared" si="70"/>
        <v>2500</v>
      </c>
    </row>
    <row r="67" spans="1:20" x14ac:dyDescent="0.25">
      <c r="A67" s="21">
        <v>54314</v>
      </c>
      <c r="B67" s="7" t="s">
        <v>80</v>
      </c>
      <c r="C67" s="19"/>
      <c r="D67" s="19"/>
      <c r="E67" s="19"/>
      <c r="F67" s="19"/>
      <c r="G67" s="49">
        <f t="shared" si="27"/>
        <v>0</v>
      </c>
      <c r="H67" s="37"/>
      <c r="I67" s="19"/>
      <c r="J67" s="19"/>
      <c r="K67" s="19"/>
      <c r="L67" s="19"/>
      <c r="M67" s="19"/>
      <c r="N67" s="38">
        <f t="shared" si="10"/>
        <v>0</v>
      </c>
      <c r="O67" s="37">
        <v>12000</v>
      </c>
      <c r="P67" s="19"/>
      <c r="Q67" s="19"/>
      <c r="R67" s="19"/>
      <c r="S67" s="19">
        <f t="shared" si="69"/>
        <v>12000</v>
      </c>
      <c r="T67" s="48">
        <f t="shared" si="70"/>
        <v>12000</v>
      </c>
    </row>
    <row r="68" spans="1:20" x14ac:dyDescent="0.25">
      <c r="A68" s="21">
        <v>54316</v>
      </c>
      <c r="B68" s="7" t="s">
        <v>136</v>
      </c>
      <c r="C68" s="19"/>
      <c r="D68" s="19"/>
      <c r="E68" s="19"/>
      <c r="F68" s="19"/>
      <c r="G68" s="49">
        <f t="shared" si="27"/>
        <v>0</v>
      </c>
      <c r="H68" s="37"/>
      <c r="I68" s="19"/>
      <c r="J68" s="19"/>
      <c r="K68" s="19"/>
      <c r="L68" s="19"/>
      <c r="M68" s="19"/>
      <c r="N68" s="38">
        <f t="shared" si="10"/>
        <v>0</v>
      </c>
      <c r="O68" s="37">
        <v>2500</v>
      </c>
      <c r="P68" s="19"/>
      <c r="Q68" s="19"/>
      <c r="R68" s="19"/>
      <c r="S68" s="19">
        <f t="shared" si="69"/>
        <v>2500</v>
      </c>
      <c r="T68" s="48">
        <f t="shared" si="70"/>
        <v>2500</v>
      </c>
    </row>
    <row r="69" spans="1:20" x14ac:dyDescent="0.25">
      <c r="A69" s="26">
        <v>544</v>
      </c>
      <c r="B69" s="25" t="s">
        <v>87</v>
      </c>
      <c r="C69" s="25"/>
      <c r="D69" s="29">
        <f t="shared" ref="D69:S69" si="71">SUM(D70:D72)</f>
        <v>0</v>
      </c>
      <c r="E69" s="29">
        <f t="shared" si="71"/>
        <v>0</v>
      </c>
      <c r="F69" s="29">
        <f t="shared" si="71"/>
        <v>0</v>
      </c>
      <c r="G69" s="34">
        <f>SUM(G70:G72)</f>
        <v>0</v>
      </c>
      <c r="H69" s="39">
        <f t="shared" si="71"/>
        <v>0</v>
      </c>
      <c r="I69" s="29">
        <f t="shared" si="71"/>
        <v>0</v>
      </c>
      <c r="J69" s="29">
        <f t="shared" si="71"/>
        <v>0</v>
      </c>
      <c r="K69" s="29">
        <f t="shared" si="71"/>
        <v>0</v>
      </c>
      <c r="L69" s="29">
        <f t="shared" si="71"/>
        <v>0</v>
      </c>
      <c r="M69" s="29">
        <f t="shared" si="71"/>
        <v>0</v>
      </c>
      <c r="N69" s="40">
        <f t="shared" si="71"/>
        <v>0</v>
      </c>
      <c r="O69" s="35">
        <f t="shared" si="71"/>
        <v>2300</v>
      </c>
      <c r="P69" s="29">
        <f t="shared" si="71"/>
        <v>0</v>
      </c>
      <c r="Q69" s="29">
        <f t="shared" si="71"/>
        <v>0</v>
      </c>
      <c r="R69" s="29">
        <f t="shared" si="71"/>
        <v>0</v>
      </c>
      <c r="S69" s="31">
        <f t="shared" si="71"/>
        <v>2300</v>
      </c>
      <c r="T69" s="40">
        <f>SUM(T70:T72)</f>
        <v>2300</v>
      </c>
    </row>
    <row r="70" spans="1:20" x14ac:dyDescent="0.25">
      <c r="A70" s="21">
        <v>54401</v>
      </c>
      <c r="B70" s="7" t="s">
        <v>88</v>
      </c>
      <c r="C70" s="7"/>
      <c r="D70" s="30"/>
      <c r="E70" s="19"/>
      <c r="F70" s="19"/>
      <c r="G70" s="49">
        <f t="shared" si="27"/>
        <v>0</v>
      </c>
      <c r="H70" s="37"/>
      <c r="I70" s="19"/>
      <c r="J70" s="19"/>
      <c r="K70" s="19"/>
      <c r="L70" s="19"/>
      <c r="M70" s="19"/>
      <c r="N70" s="41"/>
      <c r="O70" s="37">
        <v>600</v>
      </c>
      <c r="P70" s="19"/>
      <c r="Q70" s="19"/>
      <c r="R70" s="19"/>
      <c r="S70" s="19">
        <f t="shared" si="69"/>
        <v>600</v>
      </c>
      <c r="T70" s="48">
        <f t="shared" ref="T70:T72" si="72">S70+N70+G70</f>
        <v>600</v>
      </c>
    </row>
    <row r="71" spans="1:20" x14ac:dyDescent="0.25">
      <c r="A71" s="21">
        <v>54402</v>
      </c>
      <c r="B71" s="7" t="s">
        <v>89</v>
      </c>
      <c r="C71" s="7"/>
      <c r="D71" s="30"/>
      <c r="E71" s="19"/>
      <c r="F71" s="19"/>
      <c r="G71" s="49">
        <f t="shared" si="27"/>
        <v>0</v>
      </c>
      <c r="H71" s="37"/>
      <c r="I71" s="19"/>
      <c r="J71" s="19"/>
      <c r="K71" s="19"/>
      <c r="L71" s="19"/>
      <c r="M71" s="19"/>
      <c r="N71" s="41"/>
      <c r="O71" s="37">
        <v>1000</v>
      </c>
      <c r="P71" s="19"/>
      <c r="Q71" s="19"/>
      <c r="R71" s="19"/>
      <c r="S71" s="19">
        <f t="shared" si="69"/>
        <v>1000</v>
      </c>
      <c r="T71" s="48">
        <f t="shared" si="72"/>
        <v>1000</v>
      </c>
    </row>
    <row r="72" spans="1:20" x14ac:dyDescent="0.25">
      <c r="A72" s="21">
        <v>54403</v>
      </c>
      <c r="B72" s="7" t="s">
        <v>90</v>
      </c>
      <c r="C72" s="7"/>
      <c r="D72" s="30"/>
      <c r="E72" s="19"/>
      <c r="F72" s="19"/>
      <c r="G72" s="49">
        <f t="shared" si="27"/>
        <v>0</v>
      </c>
      <c r="H72" s="37"/>
      <c r="I72" s="19"/>
      <c r="J72" s="19"/>
      <c r="K72" s="19"/>
      <c r="L72" s="19"/>
      <c r="M72" s="19"/>
      <c r="N72" s="41"/>
      <c r="O72" s="37">
        <v>700</v>
      </c>
      <c r="P72" s="19"/>
      <c r="Q72" s="19"/>
      <c r="R72" s="19"/>
      <c r="S72" s="19">
        <f t="shared" si="69"/>
        <v>700</v>
      </c>
      <c r="T72" s="48">
        <f t="shared" si="72"/>
        <v>700</v>
      </c>
    </row>
    <row r="73" spans="1:20" x14ac:dyDescent="0.25">
      <c r="A73" s="26">
        <v>545</v>
      </c>
      <c r="B73" s="25" t="s">
        <v>91</v>
      </c>
      <c r="C73" s="25"/>
      <c r="D73" s="31">
        <f>SUM(D74:D78)</f>
        <v>0</v>
      </c>
      <c r="E73" s="31">
        <f>SUM(E74:E78)</f>
        <v>0</v>
      </c>
      <c r="F73" s="31">
        <f t="shared" ref="F73:T73" si="73">SUM(F74:F78)</f>
        <v>0</v>
      </c>
      <c r="G73" s="32">
        <f t="shared" si="73"/>
        <v>0</v>
      </c>
      <c r="H73" s="35">
        <f t="shared" si="73"/>
        <v>0</v>
      </c>
      <c r="I73" s="31">
        <f t="shared" si="73"/>
        <v>0</v>
      </c>
      <c r="J73" s="31">
        <f t="shared" si="73"/>
        <v>0</v>
      </c>
      <c r="K73" s="31">
        <f t="shared" si="73"/>
        <v>0</v>
      </c>
      <c r="L73" s="31">
        <f t="shared" si="73"/>
        <v>0</v>
      </c>
      <c r="M73" s="31">
        <f t="shared" si="73"/>
        <v>0</v>
      </c>
      <c r="N73" s="36">
        <f t="shared" si="73"/>
        <v>0</v>
      </c>
      <c r="O73" s="35">
        <f t="shared" si="73"/>
        <v>3900</v>
      </c>
      <c r="P73" s="31">
        <f t="shared" si="73"/>
        <v>0</v>
      </c>
      <c r="Q73" s="31">
        <f t="shared" si="73"/>
        <v>0</v>
      </c>
      <c r="R73" s="31">
        <f t="shared" si="73"/>
        <v>0</v>
      </c>
      <c r="S73" s="31">
        <f t="shared" si="73"/>
        <v>3900</v>
      </c>
      <c r="T73" s="36">
        <f t="shared" si="73"/>
        <v>3900</v>
      </c>
    </row>
    <row r="74" spans="1:20" x14ac:dyDescent="0.25">
      <c r="A74" s="21">
        <v>54502</v>
      </c>
      <c r="B74" s="7" t="s">
        <v>92</v>
      </c>
      <c r="C74" s="7"/>
      <c r="D74" s="30"/>
      <c r="E74" s="19"/>
      <c r="F74" s="19"/>
      <c r="G74" s="49">
        <f t="shared" si="27"/>
        <v>0</v>
      </c>
      <c r="H74" s="37"/>
      <c r="I74" s="19"/>
      <c r="J74" s="19"/>
      <c r="K74" s="19"/>
      <c r="L74" s="19"/>
      <c r="M74" s="19"/>
      <c r="N74" s="41"/>
      <c r="O74" s="37"/>
      <c r="P74" s="19"/>
      <c r="Q74" s="19"/>
      <c r="R74" s="19"/>
      <c r="S74" s="19">
        <f t="shared" si="69"/>
        <v>0</v>
      </c>
      <c r="T74" s="48">
        <f t="shared" ref="T74:T78" si="74">S74+N74+G74</f>
        <v>0</v>
      </c>
    </row>
    <row r="75" spans="1:20" x14ac:dyDescent="0.25">
      <c r="A75" s="21">
        <v>54503</v>
      </c>
      <c r="B75" s="7" t="s">
        <v>93</v>
      </c>
      <c r="C75" s="7"/>
      <c r="D75" s="30"/>
      <c r="E75" s="19"/>
      <c r="F75" s="19"/>
      <c r="G75" s="49">
        <f t="shared" si="27"/>
        <v>0</v>
      </c>
      <c r="H75" s="37"/>
      <c r="I75" s="19"/>
      <c r="J75" s="19"/>
      <c r="K75" s="19"/>
      <c r="L75" s="19"/>
      <c r="M75" s="19"/>
      <c r="N75" s="41"/>
      <c r="O75" s="37">
        <v>900</v>
      </c>
      <c r="P75" s="19"/>
      <c r="Q75" s="19"/>
      <c r="R75" s="19"/>
      <c r="S75" s="19">
        <f t="shared" si="69"/>
        <v>900</v>
      </c>
      <c r="T75" s="48">
        <f t="shared" si="74"/>
        <v>900</v>
      </c>
    </row>
    <row r="76" spans="1:20" x14ac:dyDescent="0.25">
      <c r="A76" s="21">
        <v>54504</v>
      </c>
      <c r="B76" s="7" t="s">
        <v>94</v>
      </c>
      <c r="C76" s="7"/>
      <c r="D76" s="30"/>
      <c r="E76" s="19"/>
      <c r="F76" s="19"/>
      <c r="G76" s="49">
        <f t="shared" si="27"/>
        <v>0</v>
      </c>
      <c r="H76" s="37"/>
      <c r="I76" s="19"/>
      <c r="J76" s="19"/>
      <c r="K76" s="19"/>
      <c r="L76" s="19"/>
      <c r="M76" s="19"/>
      <c r="N76" s="41"/>
      <c r="O76" s="37">
        <v>2000</v>
      </c>
      <c r="P76" s="19"/>
      <c r="Q76" s="19"/>
      <c r="R76" s="19"/>
      <c r="S76" s="19">
        <f t="shared" si="69"/>
        <v>2000</v>
      </c>
      <c r="T76" s="48">
        <f t="shared" si="74"/>
        <v>2000</v>
      </c>
    </row>
    <row r="77" spans="1:20" x14ac:dyDescent="0.25">
      <c r="A77" s="21">
        <v>54505</v>
      </c>
      <c r="B77" s="7" t="s">
        <v>95</v>
      </c>
      <c r="C77" s="7"/>
      <c r="D77" s="30"/>
      <c r="E77" s="19"/>
      <c r="F77" s="19"/>
      <c r="G77" s="49">
        <f t="shared" si="27"/>
        <v>0</v>
      </c>
      <c r="H77" s="37"/>
      <c r="I77" s="19"/>
      <c r="J77" s="19"/>
      <c r="K77" s="19"/>
      <c r="L77" s="19"/>
      <c r="M77" s="19"/>
      <c r="N77" s="41"/>
      <c r="O77" s="37">
        <v>1000</v>
      </c>
      <c r="P77" s="19"/>
      <c r="Q77" s="19"/>
      <c r="R77" s="19"/>
      <c r="S77" s="19">
        <f t="shared" si="69"/>
        <v>1000</v>
      </c>
      <c r="T77" s="48">
        <f t="shared" si="74"/>
        <v>1000</v>
      </c>
    </row>
    <row r="78" spans="1:20" x14ac:dyDescent="0.25">
      <c r="A78" s="21">
        <v>54599</v>
      </c>
      <c r="B78" s="7" t="s">
        <v>96</v>
      </c>
      <c r="C78" s="7"/>
      <c r="D78" s="30"/>
      <c r="E78" s="19"/>
      <c r="F78" s="19"/>
      <c r="G78" s="49">
        <f t="shared" si="27"/>
        <v>0</v>
      </c>
      <c r="H78" s="37"/>
      <c r="I78" s="19"/>
      <c r="J78" s="19"/>
      <c r="K78" s="19"/>
      <c r="L78" s="19"/>
      <c r="M78" s="19"/>
      <c r="N78" s="41"/>
      <c r="O78" s="37"/>
      <c r="P78" s="19"/>
      <c r="Q78" s="19"/>
      <c r="R78" s="19"/>
      <c r="S78" s="19">
        <f t="shared" si="69"/>
        <v>0</v>
      </c>
      <c r="T78" s="48">
        <f t="shared" si="74"/>
        <v>0</v>
      </c>
    </row>
    <row r="79" spans="1:20" x14ac:dyDescent="0.25">
      <c r="A79" s="26">
        <v>546</v>
      </c>
      <c r="B79" s="25" t="s">
        <v>97</v>
      </c>
      <c r="C79" s="25"/>
      <c r="D79" s="31">
        <f>D80</f>
        <v>0</v>
      </c>
      <c r="E79" s="31">
        <f>E80</f>
        <v>0</v>
      </c>
      <c r="F79" s="31">
        <f t="shared" ref="F79:T79" si="75">F80</f>
        <v>0</v>
      </c>
      <c r="G79" s="32">
        <f t="shared" si="75"/>
        <v>0</v>
      </c>
      <c r="H79" s="35">
        <f t="shared" si="75"/>
        <v>0</v>
      </c>
      <c r="I79" s="31">
        <f t="shared" si="75"/>
        <v>0</v>
      </c>
      <c r="J79" s="31">
        <f t="shared" si="75"/>
        <v>0</v>
      </c>
      <c r="K79" s="31">
        <f t="shared" si="75"/>
        <v>0</v>
      </c>
      <c r="L79" s="31">
        <f t="shared" si="75"/>
        <v>0</v>
      </c>
      <c r="M79" s="31">
        <f t="shared" si="75"/>
        <v>0</v>
      </c>
      <c r="N79" s="36">
        <f t="shared" si="75"/>
        <v>0</v>
      </c>
      <c r="O79" s="35">
        <f t="shared" si="75"/>
        <v>0</v>
      </c>
      <c r="P79" s="31">
        <f t="shared" si="75"/>
        <v>0</v>
      </c>
      <c r="Q79" s="31">
        <f t="shared" si="75"/>
        <v>0</v>
      </c>
      <c r="R79" s="31">
        <f t="shared" si="75"/>
        <v>0</v>
      </c>
      <c r="S79" s="31">
        <f>S80</f>
        <v>0</v>
      </c>
      <c r="T79" s="36">
        <f t="shared" si="75"/>
        <v>0</v>
      </c>
    </row>
    <row r="80" spans="1:20" x14ac:dyDescent="0.25">
      <c r="A80" s="21">
        <v>54602</v>
      </c>
      <c r="B80" s="7" t="s">
        <v>98</v>
      </c>
      <c r="C80" s="7"/>
      <c r="D80" s="19"/>
      <c r="E80" s="19"/>
      <c r="F80" s="19"/>
      <c r="G80" s="49">
        <f t="shared" si="27"/>
        <v>0</v>
      </c>
      <c r="H80" s="37"/>
      <c r="I80" s="19"/>
      <c r="J80" s="19"/>
      <c r="K80" s="19"/>
      <c r="L80" s="19"/>
      <c r="M80" s="19"/>
      <c r="N80" s="41"/>
      <c r="O80" s="37"/>
      <c r="P80" s="19"/>
      <c r="Q80" s="19"/>
      <c r="R80" s="19"/>
      <c r="S80" s="19">
        <f t="shared" si="69"/>
        <v>0</v>
      </c>
      <c r="T80" s="48">
        <f t="shared" ref="T80" si="76">S80+N80+G80</f>
        <v>0</v>
      </c>
    </row>
    <row r="81" spans="1:20" x14ac:dyDescent="0.25">
      <c r="A81" s="26">
        <v>55</v>
      </c>
      <c r="B81" s="25" t="s">
        <v>99</v>
      </c>
      <c r="C81" s="25"/>
      <c r="D81" s="31">
        <f>D82+D85+D88</f>
        <v>0</v>
      </c>
      <c r="E81" s="31">
        <f>E82+E85+E88</f>
        <v>0</v>
      </c>
      <c r="F81" s="31">
        <f t="shared" ref="F81:T81" si="77">F82+F85+F88</f>
        <v>0</v>
      </c>
      <c r="G81" s="32">
        <f t="shared" si="77"/>
        <v>0</v>
      </c>
      <c r="H81" s="35">
        <f t="shared" si="77"/>
        <v>0</v>
      </c>
      <c r="I81" s="31">
        <f t="shared" si="77"/>
        <v>0</v>
      </c>
      <c r="J81" s="31">
        <f t="shared" si="77"/>
        <v>0</v>
      </c>
      <c r="K81" s="31">
        <f t="shared" si="77"/>
        <v>0</v>
      </c>
      <c r="L81" s="31">
        <f t="shared" si="77"/>
        <v>0</v>
      </c>
      <c r="M81" s="31">
        <f t="shared" si="77"/>
        <v>0</v>
      </c>
      <c r="N81" s="36">
        <f t="shared" si="77"/>
        <v>0</v>
      </c>
      <c r="O81" s="35">
        <f t="shared" si="77"/>
        <v>1500</v>
      </c>
      <c r="P81" s="31">
        <f t="shared" si="77"/>
        <v>0</v>
      </c>
      <c r="Q81" s="31">
        <f t="shared" si="77"/>
        <v>0</v>
      </c>
      <c r="R81" s="31">
        <f t="shared" si="77"/>
        <v>0</v>
      </c>
      <c r="S81" s="31">
        <f>S82+S85+S88</f>
        <v>1500</v>
      </c>
      <c r="T81" s="36">
        <f t="shared" si="77"/>
        <v>1500</v>
      </c>
    </row>
    <row r="82" spans="1:20" x14ac:dyDescent="0.25">
      <c r="A82" s="26">
        <v>553</v>
      </c>
      <c r="B82" s="25" t="s">
        <v>100</v>
      </c>
      <c r="C82" s="25"/>
      <c r="D82" s="31">
        <f>SUM(D83:D84)</f>
        <v>0</v>
      </c>
      <c r="E82" s="31">
        <f>SUM(E83:E84)</f>
        <v>0</v>
      </c>
      <c r="F82" s="31">
        <f t="shared" ref="F82:T82" si="78">SUM(F83:F84)</f>
        <v>0</v>
      </c>
      <c r="G82" s="32">
        <f t="shared" si="78"/>
        <v>0</v>
      </c>
      <c r="H82" s="35">
        <f t="shared" si="78"/>
        <v>0</v>
      </c>
      <c r="I82" s="31">
        <f t="shared" si="78"/>
        <v>0</v>
      </c>
      <c r="J82" s="31">
        <f t="shared" si="78"/>
        <v>0</v>
      </c>
      <c r="K82" s="31">
        <f t="shared" si="78"/>
        <v>0</v>
      </c>
      <c r="L82" s="31">
        <f t="shared" si="78"/>
        <v>0</v>
      </c>
      <c r="M82" s="31">
        <f t="shared" si="78"/>
        <v>0</v>
      </c>
      <c r="N82" s="36">
        <f t="shared" si="78"/>
        <v>0</v>
      </c>
      <c r="O82" s="35">
        <f t="shared" si="78"/>
        <v>0</v>
      </c>
      <c r="P82" s="31">
        <f t="shared" si="78"/>
        <v>0</v>
      </c>
      <c r="Q82" s="31">
        <f t="shared" si="78"/>
        <v>0</v>
      </c>
      <c r="R82" s="31">
        <f t="shared" si="78"/>
        <v>0</v>
      </c>
      <c r="S82" s="31">
        <f t="shared" si="78"/>
        <v>0</v>
      </c>
      <c r="T82" s="36">
        <f t="shared" si="78"/>
        <v>0</v>
      </c>
    </row>
    <row r="83" spans="1:20" x14ac:dyDescent="0.25">
      <c r="A83" s="21">
        <v>55302</v>
      </c>
      <c r="B83" s="7" t="s">
        <v>101</v>
      </c>
      <c r="C83" s="7"/>
      <c r="D83" s="19"/>
      <c r="E83" s="19"/>
      <c r="F83" s="19"/>
      <c r="G83" s="49">
        <f t="shared" ref="G83:G84" si="79">C83+D83+E83+F83</f>
        <v>0</v>
      </c>
      <c r="H83" s="37"/>
      <c r="I83" s="19"/>
      <c r="J83" s="19"/>
      <c r="K83" s="19"/>
      <c r="L83" s="19"/>
      <c r="M83" s="19"/>
      <c r="N83" s="41"/>
      <c r="O83" s="37"/>
      <c r="P83" s="19"/>
      <c r="Q83" s="19"/>
      <c r="R83" s="19"/>
      <c r="S83" s="19">
        <f t="shared" ref="S83:S84" si="80">SUM(O83:R83)</f>
        <v>0</v>
      </c>
      <c r="T83" s="48">
        <f t="shared" ref="T83:T84" si="81">S83+N83+G83</f>
        <v>0</v>
      </c>
    </row>
    <row r="84" spans="1:20" x14ac:dyDescent="0.25">
      <c r="A84" s="21">
        <v>55304</v>
      </c>
      <c r="B84" s="7" t="s">
        <v>102</v>
      </c>
      <c r="C84" s="7"/>
      <c r="D84" s="19"/>
      <c r="E84" s="19"/>
      <c r="F84" s="19"/>
      <c r="G84" s="49">
        <f t="shared" si="79"/>
        <v>0</v>
      </c>
      <c r="H84" s="37"/>
      <c r="I84" s="19"/>
      <c r="J84" s="19"/>
      <c r="K84" s="19"/>
      <c r="L84" s="19"/>
      <c r="M84" s="19"/>
      <c r="N84" s="41"/>
      <c r="O84" s="37"/>
      <c r="P84" s="19"/>
      <c r="Q84" s="19"/>
      <c r="R84" s="19"/>
      <c r="S84" s="19">
        <f t="shared" si="80"/>
        <v>0</v>
      </c>
      <c r="T84" s="48">
        <f t="shared" si="81"/>
        <v>0</v>
      </c>
    </row>
    <row r="85" spans="1:20" x14ac:dyDescent="0.25">
      <c r="A85" s="26">
        <v>556</v>
      </c>
      <c r="B85" s="25" t="s">
        <v>103</v>
      </c>
      <c r="C85" s="25"/>
      <c r="D85" s="31">
        <f>SUM(D86:D87)</f>
        <v>0</v>
      </c>
      <c r="E85" s="31">
        <f>SUM(E86:E87)</f>
        <v>0</v>
      </c>
      <c r="F85" s="31">
        <f t="shared" ref="F85:T85" si="82">SUM(F86:F87)</f>
        <v>0</v>
      </c>
      <c r="G85" s="32">
        <f t="shared" si="82"/>
        <v>0</v>
      </c>
      <c r="H85" s="35">
        <f t="shared" si="82"/>
        <v>0</v>
      </c>
      <c r="I85" s="31">
        <f t="shared" si="82"/>
        <v>0</v>
      </c>
      <c r="J85" s="31">
        <f t="shared" si="82"/>
        <v>0</v>
      </c>
      <c r="K85" s="31">
        <f t="shared" si="82"/>
        <v>0</v>
      </c>
      <c r="L85" s="31">
        <f t="shared" si="82"/>
        <v>0</v>
      </c>
      <c r="M85" s="31">
        <f t="shared" si="82"/>
        <v>0</v>
      </c>
      <c r="N85" s="36">
        <f t="shared" si="82"/>
        <v>0</v>
      </c>
      <c r="O85" s="35">
        <f t="shared" si="82"/>
        <v>1500</v>
      </c>
      <c r="P85" s="31">
        <f t="shared" si="82"/>
        <v>0</v>
      </c>
      <c r="Q85" s="31">
        <f t="shared" si="82"/>
        <v>0</v>
      </c>
      <c r="R85" s="31">
        <f t="shared" si="82"/>
        <v>0</v>
      </c>
      <c r="S85" s="31">
        <f t="shared" si="82"/>
        <v>1500</v>
      </c>
      <c r="T85" s="36">
        <f t="shared" si="82"/>
        <v>1500</v>
      </c>
    </row>
    <row r="86" spans="1:20" x14ac:dyDescent="0.25">
      <c r="A86" s="21">
        <v>55602</v>
      </c>
      <c r="B86" s="7" t="s">
        <v>104</v>
      </c>
      <c r="C86" s="7"/>
      <c r="D86" s="19"/>
      <c r="E86" s="19"/>
      <c r="F86" s="19"/>
      <c r="G86" s="49">
        <f t="shared" ref="G86:G87" si="83">C86+D86+E86+F86</f>
        <v>0</v>
      </c>
      <c r="H86" s="37"/>
      <c r="I86" s="19"/>
      <c r="J86" s="19"/>
      <c r="K86" s="19"/>
      <c r="L86" s="19"/>
      <c r="M86" s="19"/>
      <c r="N86" s="41"/>
      <c r="O86" s="37">
        <v>1500</v>
      </c>
      <c r="P86" s="19"/>
      <c r="Q86" s="19"/>
      <c r="R86" s="19"/>
      <c r="S86" s="19">
        <f t="shared" ref="S86:S87" si="84">SUM(O86:R86)</f>
        <v>1500</v>
      </c>
      <c r="T86" s="48">
        <f t="shared" ref="T86:T87" si="85">S86+N86+G86</f>
        <v>1500</v>
      </c>
    </row>
    <row r="87" spans="1:20" x14ac:dyDescent="0.25">
      <c r="A87" s="21">
        <v>55603</v>
      </c>
      <c r="B87" s="7" t="s">
        <v>105</v>
      </c>
      <c r="C87" s="7"/>
      <c r="D87" s="19"/>
      <c r="E87" s="19"/>
      <c r="F87" s="19"/>
      <c r="G87" s="49">
        <f t="shared" si="83"/>
        <v>0</v>
      </c>
      <c r="H87" s="37"/>
      <c r="I87" s="19"/>
      <c r="J87" s="19"/>
      <c r="K87" s="19"/>
      <c r="L87" s="19"/>
      <c r="M87" s="19"/>
      <c r="N87" s="41"/>
      <c r="O87" s="37"/>
      <c r="P87" s="19"/>
      <c r="Q87" s="19"/>
      <c r="R87" s="19"/>
      <c r="S87" s="19">
        <f t="shared" si="84"/>
        <v>0</v>
      </c>
      <c r="T87" s="48">
        <f t="shared" si="85"/>
        <v>0</v>
      </c>
    </row>
    <row r="88" spans="1:20" x14ac:dyDescent="0.25">
      <c r="A88" s="26">
        <v>557</v>
      </c>
      <c r="B88" s="25" t="s">
        <v>106</v>
      </c>
      <c r="C88" s="25"/>
      <c r="D88" s="31">
        <f>SUM(D89:D90)</f>
        <v>0</v>
      </c>
      <c r="E88" s="31">
        <f>SUM(E89:E90)</f>
        <v>0</v>
      </c>
      <c r="F88" s="31">
        <f t="shared" ref="F88:T88" si="86">SUM(F89:F90)</f>
        <v>0</v>
      </c>
      <c r="G88" s="32">
        <f t="shared" si="86"/>
        <v>0</v>
      </c>
      <c r="H88" s="35">
        <f t="shared" si="86"/>
        <v>0</v>
      </c>
      <c r="I88" s="31">
        <f t="shared" si="86"/>
        <v>0</v>
      </c>
      <c r="J88" s="31">
        <f t="shared" si="86"/>
        <v>0</v>
      </c>
      <c r="K88" s="31">
        <f t="shared" si="86"/>
        <v>0</v>
      </c>
      <c r="L88" s="31">
        <f t="shared" si="86"/>
        <v>0</v>
      </c>
      <c r="M88" s="31">
        <f t="shared" si="86"/>
        <v>0</v>
      </c>
      <c r="N88" s="36">
        <f t="shared" si="86"/>
        <v>0</v>
      </c>
      <c r="O88" s="35">
        <f t="shared" si="86"/>
        <v>0</v>
      </c>
      <c r="P88" s="31">
        <f t="shared" si="86"/>
        <v>0</v>
      </c>
      <c r="Q88" s="31">
        <f t="shared" si="86"/>
        <v>0</v>
      </c>
      <c r="R88" s="31">
        <f t="shared" si="86"/>
        <v>0</v>
      </c>
      <c r="S88" s="31">
        <f t="shared" si="86"/>
        <v>0</v>
      </c>
      <c r="T88" s="36">
        <f t="shared" si="86"/>
        <v>0</v>
      </c>
    </row>
    <row r="89" spans="1:20" x14ac:dyDescent="0.25">
      <c r="A89" s="21">
        <v>55703</v>
      </c>
      <c r="B89" s="7" t="s">
        <v>107</v>
      </c>
      <c r="C89" s="7"/>
      <c r="D89" s="19"/>
      <c r="E89" s="19"/>
      <c r="F89" s="19"/>
      <c r="G89" s="49">
        <f t="shared" ref="G89:G90" si="87">C89+D89+E89+F89</f>
        <v>0</v>
      </c>
      <c r="H89" s="37"/>
      <c r="I89" s="19"/>
      <c r="J89" s="19"/>
      <c r="K89" s="19"/>
      <c r="L89" s="19"/>
      <c r="M89" s="19"/>
      <c r="N89" s="41"/>
      <c r="O89" s="37"/>
      <c r="P89" s="19"/>
      <c r="Q89" s="19"/>
      <c r="R89" s="19"/>
      <c r="S89" s="19">
        <f t="shared" ref="S89:S90" si="88">SUM(O89:R89)</f>
        <v>0</v>
      </c>
      <c r="T89" s="48">
        <f t="shared" ref="T89:T90" si="89">S89+N89+G89</f>
        <v>0</v>
      </c>
    </row>
    <row r="90" spans="1:20" x14ac:dyDescent="0.25">
      <c r="A90" s="21">
        <v>55799</v>
      </c>
      <c r="B90" s="7" t="s">
        <v>108</v>
      </c>
      <c r="C90" s="7"/>
      <c r="D90" s="19"/>
      <c r="E90" s="19"/>
      <c r="F90" s="19"/>
      <c r="G90" s="49">
        <f t="shared" si="87"/>
        <v>0</v>
      </c>
      <c r="H90" s="37"/>
      <c r="I90" s="19"/>
      <c r="J90" s="19"/>
      <c r="K90" s="19"/>
      <c r="L90" s="19"/>
      <c r="M90" s="19"/>
      <c r="N90" s="41"/>
      <c r="O90" s="37"/>
      <c r="P90" s="19"/>
      <c r="Q90" s="19"/>
      <c r="R90" s="19"/>
      <c r="S90" s="19">
        <f t="shared" si="88"/>
        <v>0</v>
      </c>
      <c r="T90" s="48">
        <f t="shared" si="89"/>
        <v>0</v>
      </c>
    </row>
    <row r="91" spans="1:20" x14ac:dyDescent="0.25">
      <c r="A91" s="26">
        <v>56</v>
      </c>
      <c r="B91" s="25" t="s">
        <v>109</v>
      </c>
      <c r="C91" s="25"/>
      <c r="D91" s="31">
        <f>D92</f>
        <v>6000</v>
      </c>
      <c r="E91" s="31">
        <f t="shared" ref="E91:F91" si="90">E92</f>
        <v>0</v>
      </c>
      <c r="F91" s="31">
        <f t="shared" si="90"/>
        <v>0</v>
      </c>
      <c r="G91" s="31">
        <f>SUM(D91:F91)</f>
        <v>6000</v>
      </c>
      <c r="H91" s="35"/>
      <c r="I91" s="31"/>
      <c r="J91" s="31"/>
      <c r="K91" s="31"/>
      <c r="L91" s="31"/>
      <c r="M91" s="31"/>
      <c r="N91" s="36"/>
      <c r="O91" s="35"/>
      <c r="P91" s="31"/>
      <c r="Q91" s="31"/>
      <c r="R91" s="31"/>
      <c r="S91" s="31">
        <f>S92+S94</f>
        <v>25329.16</v>
      </c>
      <c r="T91" s="36">
        <f>T92+T94</f>
        <v>31329.16</v>
      </c>
    </row>
    <row r="92" spans="1:20" x14ac:dyDescent="0.25">
      <c r="A92" s="26">
        <v>562</v>
      </c>
      <c r="B92" s="25" t="s">
        <v>110</v>
      </c>
      <c r="C92" s="25"/>
      <c r="D92" s="31">
        <f>D93</f>
        <v>6000</v>
      </c>
      <c r="E92" s="31">
        <f>E93</f>
        <v>0</v>
      </c>
      <c r="F92" s="31">
        <f t="shared" ref="F92:R92" si="91">F93</f>
        <v>0</v>
      </c>
      <c r="G92" s="32">
        <f t="shared" si="91"/>
        <v>6000</v>
      </c>
      <c r="H92" s="35">
        <f t="shared" si="91"/>
        <v>0</v>
      </c>
      <c r="I92" s="31">
        <f t="shared" si="91"/>
        <v>0</v>
      </c>
      <c r="J92" s="31">
        <f t="shared" si="91"/>
        <v>0</v>
      </c>
      <c r="K92" s="31">
        <f t="shared" si="91"/>
        <v>0</v>
      </c>
      <c r="L92" s="31">
        <f t="shared" si="91"/>
        <v>0</v>
      </c>
      <c r="M92" s="31">
        <f t="shared" si="91"/>
        <v>0</v>
      </c>
      <c r="N92" s="36">
        <f t="shared" si="91"/>
        <v>0</v>
      </c>
      <c r="O92" s="35">
        <f t="shared" si="91"/>
        <v>66.12</v>
      </c>
      <c r="P92" s="31">
        <f t="shared" si="91"/>
        <v>95.88</v>
      </c>
      <c r="Q92" s="31">
        <f t="shared" si="91"/>
        <v>36.24</v>
      </c>
      <c r="R92" s="31">
        <f t="shared" si="91"/>
        <v>205.92000000000002</v>
      </c>
      <c r="S92" s="31">
        <f>S93</f>
        <v>404.16</v>
      </c>
      <c r="T92" s="36">
        <f>T93</f>
        <v>6404.16</v>
      </c>
    </row>
    <row r="93" spans="1:20" x14ac:dyDescent="0.25">
      <c r="A93" s="21">
        <v>56201</v>
      </c>
      <c r="B93" s="7" t="s">
        <v>111</v>
      </c>
      <c r="C93" s="7"/>
      <c r="D93" s="19">
        <f>500*12</f>
        <v>6000</v>
      </c>
      <c r="E93" s="19"/>
      <c r="F93" s="19"/>
      <c r="G93" s="49">
        <f t="shared" ref="G93" si="92">C93+D93+E93+F93</f>
        <v>6000</v>
      </c>
      <c r="H93" s="37"/>
      <c r="I93" s="19"/>
      <c r="J93" s="19"/>
      <c r="K93" s="19"/>
      <c r="L93" s="19"/>
      <c r="M93" s="19"/>
      <c r="N93" s="41"/>
      <c r="O93" s="37">
        <f>5.51*12</f>
        <v>66.12</v>
      </c>
      <c r="P93" s="19">
        <f>7.99*12</f>
        <v>95.88</v>
      </c>
      <c r="Q93" s="19">
        <f>3.02*12</f>
        <v>36.24</v>
      </c>
      <c r="R93" s="19">
        <f>17.16*12</f>
        <v>205.92000000000002</v>
      </c>
      <c r="S93" s="19">
        <f t="shared" ref="S93" si="93">SUM(O93:R93)</f>
        <v>404.16</v>
      </c>
      <c r="T93" s="48">
        <f t="shared" ref="T93" si="94">S93+N93+G93</f>
        <v>6404.16</v>
      </c>
    </row>
    <row r="94" spans="1:20" x14ac:dyDescent="0.25">
      <c r="A94" s="26">
        <v>563</v>
      </c>
      <c r="B94" s="25" t="s">
        <v>112</v>
      </c>
      <c r="C94" s="25"/>
      <c r="D94" s="31">
        <f>SUM(D95:D97)</f>
        <v>0</v>
      </c>
      <c r="E94" s="31">
        <f>SUM(E95:E97)</f>
        <v>0</v>
      </c>
      <c r="F94" s="31">
        <f t="shared" ref="F94:T94" si="95">SUM(F95:F97)</f>
        <v>0</v>
      </c>
      <c r="G94" s="32">
        <f t="shared" si="95"/>
        <v>0</v>
      </c>
      <c r="H94" s="35">
        <f t="shared" si="95"/>
        <v>0</v>
      </c>
      <c r="I94" s="31">
        <f t="shared" si="95"/>
        <v>0</v>
      </c>
      <c r="J94" s="31">
        <f t="shared" si="95"/>
        <v>0</v>
      </c>
      <c r="K94" s="31">
        <f t="shared" si="95"/>
        <v>0</v>
      </c>
      <c r="L94" s="31">
        <f t="shared" si="95"/>
        <v>0</v>
      </c>
      <c r="M94" s="31">
        <f t="shared" si="95"/>
        <v>0</v>
      </c>
      <c r="N94" s="36">
        <f t="shared" si="95"/>
        <v>0</v>
      </c>
      <c r="O94" s="35">
        <f t="shared" si="95"/>
        <v>24925</v>
      </c>
      <c r="P94" s="31">
        <f t="shared" si="95"/>
        <v>0</v>
      </c>
      <c r="Q94" s="31">
        <f t="shared" si="95"/>
        <v>0</v>
      </c>
      <c r="R94" s="31">
        <f t="shared" si="95"/>
        <v>0</v>
      </c>
      <c r="S94" s="31">
        <f>SUM(S95:S97)</f>
        <v>24925</v>
      </c>
      <c r="T94" s="36">
        <f t="shared" si="95"/>
        <v>24925</v>
      </c>
    </row>
    <row r="95" spans="1:20" x14ac:dyDescent="0.25">
      <c r="A95" s="21">
        <v>56301</v>
      </c>
      <c r="B95" s="7" t="s">
        <v>113</v>
      </c>
      <c r="C95" s="7"/>
      <c r="D95" s="19"/>
      <c r="E95" s="19"/>
      <c r="F95" s="19"/>
      <c r="G95" s="49">
        <f t="shared" ref="G95:G97" si="96">C95+D95+E95+F95</f>
        <v>0</v>
      </c>
      <c r="H95" s="37"/>
      <c r="I95" s="19"/>
      <c r="J95" s="19"/>
      <c r="K95" s="19"/>
      <c r="L95" s="19"/>
      <c r="M95" s="19"/>
      <c r="N95" s="41"/>
      <c r="O95" s="37"/>
      <c r="P95" s="19"/>
      <c r="Q95" s="19"/>
      <c r="R95" s="19"/>
      <c r="S95" s="19">
        <f t="shared" ref="S95:S97" si="97">SUM(O95:R95)</f>
        <v>0</v>
      </c>
      <c r="T95" s="48">
        <f t="shared" ref="T95:T97" si="98">S95+N95+G95</f>
        <v>0</v>
      </c>
    </row>
    <row r="96" spans="1:20" x14ac:dyDescent="0.25">
      <c r="A96" s="21">
        <v>56303</v>
      </c>
      <c r="B96" s="7" t="s">
        <v>114</v>
      </c>
      <c r="C96" s="7"/>
      <c r="D96" s="19"/>
      <c r="E96" s="19"/>
      <c r="F96" s="19"/>
      <c r="G96" s="49">
        <f t="shared" si="96"/>
        <v>0</v>
      </c>
      <c r="H96" s="37"/>
      <c r="I96" s="19"/>
      <c r="J96" s="19"/>
      <c r="K96" s="19"/>
      <c r="L96" s="19"/>
      <c r="M96" s="19"/>
      <c r="N96" s="41"/>
      <c r="O96" s="37">
        <v>24925</v>
      </c>
      <c r="P96" s="19"/>
      <c r="Q96" s="19"/>
      <c r="R96" s="19"/>
      <c r="S96" s="19">
        <f t="shared" si="97"/>
        <v>24925</v>
      </c>
      <c r="T96" s="48">
        <f t="shared" si="98"/>
        <v>24925</v>
      </c>
    </row>
    <row r="97" spans="1:20" x14ac:dyDescent="0.25">
      <c r="A97" s="21">
        <v>56305</v>
      </c>
      <c r="B97" s="7" t="s">
        <v>115</v>
      </c>
      <c r="C97" s="7"/>
      <c r="D97" s="19"/>
      <c r="E97" s="19"/>
      <c r="F97" s="19"/>
      <c r="G97" s="49">
        <f t="shared" si="96"/>
        <v>0</v>
      </c>
      <c r="H97" s="37"/>
      <c r="I97" s="19"/>
      <c r="J97" s="19"/>
      <c r="K97" s="19"/>
      <c r="L97" s="19"/>
      <c r="M97" s="19"/>
      <c r="N97" s="41"/>
      <c r="O97" s="37"/>
      <c r="P97" s="19"/>
      <c r="Q97" s="19"/>
      <c r="R97" s="19"/>
      <c r="S97" s="19">
        <f t="shared" si="97"/>
        <v>0</v>
      </c>
      <c r="T97" s="48">
        <f t="shared" si="98"/>
        <v>0</v>
      </c>
    </row>
    <row r="98" spans="1:20" x14ac:dyDescent="0.25">
      <c r="A98" s="26">
        <v>61</v>
      </c>
      <c r="B98" s="25" t="s">
        <v>116</v>
      </c>
      <c r="C98" s="25"/>
      <c r="D98" s="31">
        <f>D99+D103+D105+D107</f>
        <v>0</v>
      </c>
      <c r="E98" s="31">
        <f>E99+E103+E105+E107</f>
        <v>0</v>
      </c>
      <c r="F98" s="31">
        <f t="shared" ref="F98:R98" si="99">F99+F103+F105+F107</f>
        <v>0</v>
      </c>
      <c r="G98" s="32">
        <f t="shared" si="99"/>
        <v>0</v>
      </c>
      <c r="H98" s="35">
        <f t="shared" si="99"/>
        <v>32000</v>
      </c>
      <c r="I98" s="31">
        <f>I99+I103+I105+I107</f>
        <v>1043365.44</v>
      </c>
      <c r="J98" s="31">
        <f t="shared" si="99"/>
        <v>0</v>
      </c>
      <c r="K98" s="31">
        <f t="shared" si="99"/>
        <v>85000</v>
      </c>
      <c r="L98" s="31">
        <f t="shared" si="99"/>
        <v>0</v>
      </c>
      <c r="M98" s="31">
        <f t="shared" si="99"/>
        <v>0</v>
      </c>
      <c r="N98" s="36">
        <f>N99+N103+N105+N107</f>
        <v>1160365.44</v>
      </c>
      <c r="O98" s="35">
        <f t="shared" si="99"/>
        <v>4000</v>
      </c>
      <c r="P98" s="31">
        <f t="shared" si="99"/>
        <v>0</v>
      </c>
      <c r="Q98" s="31">
        <f t="shared" si="99"/>
        <v>0</v>
      </c>
      <c r="R98" s="31">
        <f t="shared" si="99"/>
        <v>0</v>
      </c>
      <c r="S98" s="31">
        <f>S99+S103+S105+S107</f>
        <v>4000</v>
      </c>
      <c r="T98" s="36">
        <f>T99+T103+T105+T107</f>
        <v>867878.44</v>
      </c>
    </row>
    <row r="99" spans="1:20" x14ac:dyDescent="0.25">
      <c r="A99" s="26">
        <v>611</v>
      </c>
      <c r="B99" s="25" t="s">
        <v>117</v>
      </c>
      <c r="C99" s="25"/>
      <c r="D99" s="31">
        <f>SUM(D100:D102)</f>
        <v>0</v>
      </c>
      <c r="E99" s="31">
        <f>SUM(E100:E102)</f>
        <v>0</v>
      </c>
      <c r="F99" s="31">
        <f t="shared" ref="F99:T99" si="100">SUM(F100:F102)</f>
        <v>0</v>
      </c>
      <c r="G99" s="32">
        <f t="shared" si="100"/>
        <v>0</v>
      </c>
      <c r="H99" s="35">
        <f t="shared" si="100"/>
        <v>0</v>
      </c>
      <c r="I99" s="31">
        <f t="shared" si="100"/>
        <v>17000</v>
      </c>
      <c r="J99" s="31">
        <f t="shared" si="100"/>
        <v>0</v>
      </c>
      <c r="K99" s="31">
        <f t="shared" si="100"/>
        <v>0</v>
      </c>
      <c r="L99" s="31">
        <f t="shared" si="100"/>
        <v>0</v>
      </c>
      <c r="M99" s="31">
        <f t="shared" si="100"/>
        <v>0</v>
      </c>
      <c r="N99" s="36">
        <f>SUM(N100:N102)</f>
        <v>17000</v>
      </c>
      <c r="O99" s="35">
        <f t="shared" si="100"/>
        <v>4000</v>
      </c>
      <c r="P99" s="31">
        <f t="shared" si="100"/>
        <v>0</v>
      </c>
      <c r="Q99" s="31">
        <f t="shared" si="100"/>
        <v>0</v>
      </c>
      <c r="R99" s="31">
        <f t="shared" si="100"/>
        <v>0</v>
      </c>
      <c r="S99" s="31">
        <f>SUM(S100:S102)</f>
        <v>4000</v>
      </c>
      <c r="T99" s="36">
        <f t="shared" si="100"/>
        <v>21000</v>
      </c>
    </row>
    <row r="100" spans="1:20" x14ac:dyDescent="0.25">
      <c r="A100" s="21">
        <v>61102</v>
      </c>
      <c r="B100" s="7" t="s">
        <v>118</v>
      </c>
      <c r="C100" s="7"/>
      <c r="D100" s="19"/>
      <c r="E100" s="19"/>
      <c r="F100" s="19"/>
      <c r="G100" s="49">
        <f t="shared" ref="G100:G102" si="101">C100+D100+E100+F100</f>
        <v>0</v>
      </c>
      <c r="H100" s="37"/>
      <c r="I100" s="19">
        <v>17000</v>
      </c>
      <c r="J100" s="19"/>
      <c r="K100" s="19"/>
      <c r="L100" s="19"/>
      <c r="M100" s="19"/>
      <c r="N100" s="41">
        <f>SUM(H100:M100)</f>
        <v>17000</v>
      </c>
      <c r="O100" s="37"/>
      <c r="P100" s="19"/>
      <c r="Q100" s="19"/>
      <c r="R100" s="19"/>
      <c r="S100" s="19">
        <f t="shared" ref="S100:S102" si="102">SUM(O100:R100)</f>
        <v>0</v>
      </c>
      <c r="T100" s="48">
        <f t="shared" ref="T100:T102" si="103">S100+N100+G100</f>
        <v>17000</v>
      </c>
    </row>
    <row r="101" spans="1:20" x14ac:dyDescent="0.25">
      <c r="A101" s="21">
        <v>61104</v>
      </c>
      <c r="B101" s="7" t="s">
        <v>119</v>
      </c>
      <c r="C101" s="7"/>
      <c r="D101" s="19"/>
      <c r="E101" s="19"/>
      <c r="F101" s="19"/>
      <c r="G101" s="49">
        <f t="shared" si="101"/>
        <v>0</v>
      </c>
      <c r="H101" s="37"/>
      <c r="I101" s="19"/>
      <c r="J101" s="19"/>
      <c r="K101" s="19"/>
      <c r="L101" s="19"/>
      <c r="M101" s="19"/>
      <c r="N101" s="41">
        <f t="shared" ref="N101:N104" si="104">SUM(H101:M101)</f>
        <v>0</v>
      </c>
      <c r="O101" s="37">
        <v>4000</v>
      </c>
      <c r="P101" s="19"/>
      <c r="Q101" s="19"/>
      <c r="R101" s="19"/>
      <c r="S101" s="19">
        <f t="shared" si="102"/>
        <v>4000</v>
      </c>
      <c r="T101" s="48">
        <f t="shared" si="103"/>
        <v>4000</v>
      </c>
    </row>
    <row r="102" spans="1:20" x14ac:dyDescent="0.25">
      <c r="A102" s="21">
        <v>61199</v>
      </c>
      <c r="B102" s="7" t="s">
        <v>120</v>
      </c>
      <c r="C102" s="7"/>
      <c r="D102" s="19"/>
      <c r="E102" s="19"/>
      <c r="F102" s="19"/>
      <c r="G102" s="49">
        <f t="shared" si="101"/>
        <v>0</v>
      </c>
      <c r="H102" s="37"/>
      <c r="I102" s="19"/>
      <c r="J102" s="19"/>
      <c r="K102" s="19"/>
      <c r="L102" s="19"/>
      <c r="M102" s="19"/>
      <c r="N102" s="41">
        <f t="shared" si="104"/>
        <v>0</v>
      </c>
      <c r="O102" s="37"/>
      <c r="P102" s="19"/>
      <c r="Q102" s="19"/>
      <c r="R102" s="19"/>
      <c r="S102" s="19">
        <f t="shared" si="102"/>
        <v>0</v>
      </c>
      <c r="T102" s="48">
        <f t="shared" si="103"/>
        <v>0</v>
      </c>
    </row>
    <row r="103" spans="1:20" x14ac:dyDescent="0.25">
      <c r="A103" s="26">
        <v>612</v>
      </c>
      <c r="B103" s="25" t="s">
        <v>121</v>
      </c>
      <c r="C103" s="25"/>
      <c r="D103" s="31">
        <f>D104</f>
        <v>0</v>
      </c>
      <c r="E103" s="31">
        <f>E104</f>
        <v>0</v>
      </c>
      <c r="F103" s="31">
        <f t="shared" ref="F103:T103" si="105">F104</f>
        <v>0</v>
      </c>
      <c r="G103" s="32">
        <f t="shared" si="105"/>
        <v>0</v>
      </c>
      <c r="H103" s="35">
        <f t="shared" si="105"/>
        <v>0</v>
      </c>
      <c r="I103" s="31">
        <f t="shared" si="105"/>
        <v>35000</v>
      </c>
      <c r="J103" s="31">
        <f t="shared" si="105"/>
        <v>0</v>
      </c>
      <c r="K103" s="31">
        <f t="shared" si="105"/>
        <v>0</v>
      </c>
      <c r="L103" s="31">
        <f t="shared" si="105"/>
        <v>0</v>
      </c>
      <c r="M103" s="31">
        <f t="shared" si="105"/>
        <v>0</v>
      </c>
      <c r="N103" s="36">
        <f t="shared" si="105"/>
        <v>35000</v>
      </c>
      <c r="O103" s="35">
        <f t="shared" si="105"/>
        <v>0</v>
      </c>
      <c r="P103" s="31">
        <f t="shared" si="105"/>
        <v>0</v>
      </c>
      <c r="Q103" s="31">
        <f t="shared" si="105"/>
        <v>0</v>
      </c>
      <c r="R103" s="31">
        <f t="shared" si="105"/>
        <v>0</v>
      </c>
      <c r="S103" s="31">
        <f>S104</f>
        <v>0</v>
      </c>
      <c r="T103" s="36">
        <f t="shared" si="105"/>
        <v>35000</v>
      </c>
    </row>
    <row r="104" spans="1:20" x14ac:dyDescent="0.25">
      <c r="A104" s="21">
        <v>61201</v>
      </c>
      <c r="B104" s="7" t="s">
        <v>122</v>
      </c>
      <c r="C104" s="7"/>
      <c r="D104" s="19"/>
      <c r="E104" s="19"/>
      <c r="F104" s="19"/>
      <c r="G104" s="49">
        <f t="shared" ref="G104" si="106">C104+D104+E104+F104</f>
        <v>0</v>
      </c>
      <c r="H104" s="37"/>
      <c r="I104" s="19">
        <v>35000</v>
      </c>
      <c r="J104" s="19"/>
      <c r="K104" s="19"/>
      <c r="L104" s="19"/>
      <c r="M104" s="19"/>
      <c r="N104" s="41">
        <f t="shared" si="104"/>
        <v>35000</v>
      </c>
      <c r="O104" s="37"/>
      <c r="P104" s="19"/>
      <c r="Q104" s="19"/>
      <c r="R104" s="19"/>
      <c r="S104" s="19">
        <f t="shared" ref="S104" si="107">SUM(O104:R104)</f>
        <v>0</v>
      </c>
      <c r="T104" s="48">
        <f t="shared" ref="T104" si="108">S104+N104+G104</f>
        <v>35000</v>
      </c>
    </row>
    <row r="105" spans="1:20" x14ac:dyDescent="0.25">
      <c r="A105" s="21">
        <v>615</v>
      </c>
      <c r="B105" s="25" t="s">
        <v>123</v>
      </c>
      <c r="C105" s="25"/>
      <c r="D105" s="31">
        <f>D106</f>
        <v>0</v>
      </c>
      <c r="E105" s="31">
        <f>E106</f>
        <v>0</v>
      </c>
      <c r="F105" s="31">
        <f t="shared" ref="F105:T105" si="109">F106</f>
        <v>0</v>
      </c>
      <c r="G105" s="32">
        <f t="shared" si="109"/>
        <v>0</v>
      </c>
      <c r="H105" s="35">
        <f t="shared" si="109"/>
        <v>32000</v>
      </c>
      <c r="I105" s="31">
        <f t="shared" si="109"/>
        <v>0</v>
      </c>
      <c r="J105" s="31">
        <f t="shared" si="109"/>
        <v>0</v>
      </c>
      <c r="K105" s="31">
        <f t="shared" si="109"/>
        <v>0</v>
      </c>
      <c r="L105" s="31">
        <f t="shared" si="109"/>
        <v>0</v>
      </c>
      <c r="M105" s="31">
        <f t="shared" si="109"/>
        <v>0</v>
      </c>
      <c r="N105" s="36">
        <f>N106</f>
        <v>32000</v>
      </c>
      <c r="O105" s="35">
        <f t="shared" si="109"/>
        <v>0</v>
      </c>
      <c r="P105" s="31">
        <f t="shared" si="109"/>
        <v>0</v>
      </c>
      <c r="Q105" s="31">
        <f t="shared" si="109"/>
        <v>0</v>
      </c>
      <c r="R105" s="31">
        <f t="shared" si="109"/>
        <v>0</v>
      </c>
      <c r="S105" s="31">
        <f>S106</f>
        <v>0</v>
      </c>
      <c r="T105" s="36">
        <f t="shared" si="109"/>
        <v>32000</v>
      </c>
    </row>
    <row r="106" spans="1:20" x14ac:dyDescent="0.25">
      <c r="A106" s="21">
        <v>61599</v>
      </c>
      <c r="B106" s="7" t="s">
        <v>124</v>
      </c>
      <c r="C106" s="7"/>
      <c r="D106" s="19"/>
      <c r="E106" s="19"/>
      <c r="F106" s="19"/>
      <c r="G106" s="49">
        <f t="shared" ref="G106" si="110">C106+D106+E106+F106</f>
        <v>0</v>
      </c>
      <c r="H106" s="37">
        <v>32000</v>
      </c>
      <c r="I106" s="19"/>
      <c r="J106" s="19"/>
      <c r="K106" s="19"/>
      <c r="L106" s="19"/>
      <c r="M106" s="19"/>
      <c r="N106" s="41">
        <f t="shared" ref="N106" si="111">SUM(H106:M106)</f>
        <v>32000</v>
      </c>
      <c r="O106" s="37"/>
      <c r="P106" s="19"/>
      <c r="Q106" s="19"/>
      <c r="R106" s="19"/>
      <c r="S106" s="19">
        <f t="shared" ref="S106" si="112">SUM(O106:R106)</f>
        <v>0</v>
      </c>
      <c r="T106" s="48">
        <f t="shared" ref="T106" si="113">S106+N106+G106</f>
        <v>32000</v>
      </c>
    </row>
    <row r="107" spans="1:20" x14ac:dyDescent="0.25">
      <c r="A107" s="26">
        <v>616</v>
      </c>
      <c r="B107" s="25" t="s">
        <v>125</v>
      </c>
      <c r="C107" s="25"/>
      <c r="D107" s="31">
        <f>SUM(D108:D112)</f>
        <v>0</v>
      </c>
      <c r="E107" s="31">
        <f>SUM(E108:E112)</f>
        <v>0</v>
      </c>
      <c r="F107" s="31">
        <f t="shared" ref="F107:T107" si="114">SUM(F108:F112)</f>
        <v>0</v>
      </c>
      <c r="G107" s="32">
        <f t="shared" si="114"/>
        <v>0</v>
      </c>
      <c r="H107" s="35">
        <f t="shared" si="114"/>
        <v>0</v>
      </c>
      <c r="I107" s="31">
        <f>SUM(I108:I114)</f>
        <v>991365.44</v>
      </c>
      <c r="J107" s="31">
        <f t="shared" ref="J107:M107" si="115">SUM(J108:J114)</f>
        <v>0</v>
      </c>
      <c r="K107" s="31">
        <f t="shared" si="115"/>
        <v>85000</v>
      </c>
      <c r="L107" s="31">
        <f t="shared" si="115"/>
        <v>0</v>
      </c>
      <c r="M107" s="31">
        <f t="shared" si="115"/>
        <v>0</v>
      </c>
      <c r="N107" s="36">
        <f>SUM(N108:N114)</f>
        <v>1076365.44</v>
      </c>
      <c r="O107" s="35">
        <f t="shared" si="114"/>
        <v>0</v>
      </c>
      <c r="P107" s="31">
        <f t="shared" si="114"/>
        <v>0</v>
      </c>
      <c r="Q107" s="31">
        <f t="shared" si="114"/>
        <v>0</v>
      </c>
      <c r="R107" s="31">
        <f t="shared" si="114"/>
        <v>0</v>
      </c>
      <c r="S107" s="31">
        <f>SUM(S108:S112)</f>
        <v>0</v>
      </c>
      <c r="T107" s="36">
        <f t="shared" si="114"/>
        <v>779878.44</v>
      </c>
    </row>
    <row r="108" spans="1:20" x14ac:dyDescent="0.25">
      <c r="A108" s="21">
        <v>61601</v>
      </c>
      <c r="B108" s="7" t="s">
        <v>126</v>
      </c>
      <c r="C108" s="7"/>
      <c r="D108" s="19"/>
      <c r="E108" s="19"/>
      <c r="F108" s="19"/>
      <c r="G108" s="49">
        <f t="shared" ref="G108:G114" si="116">C108+D108+E108+F108</f>
        <v>0</v>
      </c>
      <c r="H108" s="37"/>
      <c r="I108" s="19">
        <v>264891.59000000003</v>
      </c>
      <c r="J108" s="19"/>
      <c r="K108" s="19"/>
      <c r="L108" s="19"/>
      <c r="M108" s="19"/>
      <c r="N108" s="41">
        <f t="shared" ref="N108:N114" si="117">SUM(H108:M108)</f>
        <v>264891.59000000003</v>
      </c>
      <c r="O108" s="37"/>
      <c r="P108" s="19"/>
      <c r="Q108" s="19"/>
      <c r="R108" s="19"/>
      <c r="S108" s="19">
        <f t="shared" ref="S108:S114" si="118">SUM(O108:R108)</f>
        <v>0</v>
      </c>
      <c r="T108" s="48">
        <f t="shared" ref="T108:T114" si="119">S108+N108+G108</f>
        <v>264891.59000000003</v>
      </c>
    </row>
    <row r="109" spans="1:20" x14ac:dyDescent="0.25">
      <c r="A109" s="21">
        <v>61603</v>
      </c>
      <c r="B109" s="7" t="s">
        <v>127</v>
      </c>
      <c r="C109" s="7"/>
      <c r="D109" s="19"/>
      <c r="E109" s="19"/>
      <c r="F109" s="19"/>
      <c r="G109" s="49">
        <f t="shared" si="116"/>
        <v>0</v>
      </c>
      <c r="H109" s="37"/>
      <c r="I109" s="19">
        <v>363986.85</v>
      </c>
      <c r="J109" s="19"/>
      <c r="K109" s="19"/>
      <c r="L109" s="19"/>
      <c r="M109" s="19"/>
      <c r="N109" s="41">
        <f t="shared" si="117"/>
        <v>363986.85</v>
      </c>
      <c r="O109" s="37"/>
      <c r="P109" s="19"/>
      <c r="Q109" s="19"/>
      <c r="R109" s="19"/>
      <c r="S109" s="19">
        <f t="shared" si="118"/>
        <v>0</v>
      </c>
      <c r="T109" s="48">
        <f t="shared" si="119"/>
        <v>363986.85</v>
      </c>
    </row>
    <row r="110" spans="1:20" x14ac:dyDescent="0.25">
      <c r="A110" s="21">
        <v>61606</v>
      </c>
      <c r="B110" s="7" t="s">
        <v>128</v>
      </c>
      <c r="C110" s="7"/>
      <c r="D110" s="19"/>
      <c r="E110" s="19"/>
      <c r="F110" s="19"/>
      <c r="G110" s="49">
        <f t="shared" si="116"/>
        <v>0</v>
      </c>
      <c r="H110" s="37"/>
      <c r="I110" s="19">
        <v>33000</v>
      </c>
      <c r="J110" s="19"/>
      <c r="K110" s="19"/>
      <c r="L110" s="19"/>
      <c r="M110" s="19"/>
      <c r="N110" s="41">
        <f t="shared" si="117"/>
        <v>33000</v>
      </c>
      <c r="O110" s="37"/>
      <c r="P110" s="19"/>
      <c r="Q110" s="19"/>
      <c r="R110" s="19"/>
      <c r="S110" s="19">
        <f t="shared" si="118"/>
        <v>0</v>
      </c>
      <c r="T110" s="48">
        <f t="shared" si="119"/>
        <v>33000</v>
      </c>
    </row>
    <row r="111" spans="1:20" x14ac:dyDescent="0.25">
      <c r="A111" s="21">
        <v>61608</v>
      </c>
      <c r="B111" s="7" t="s">
        <v>129</v>
      </c>
      <c r="C111" s="7"/>
      <c r="D111" s="19"/>
      <c r="E111" s="19"/>
      <c r="F111" s="19"/>
      <c r="G111" s="49">
        <f t="shared" si="116"/>
        <v>0</v>
      </c>
      <c r="H111" s="37"/>
      <c r="I111" s="19"/>
      <c r="J111" s="19"/>
      <c r="K111" s="19"/>
      <c r="L111" s="19"/>
      <c r="M111" s="19"/>
      <c r="N111" s="41">
        <f t="shared" si="117"/>
        <v>0</v>
      </c>
      <c r="O111" s="37"/>
      <c r="P111" s="19"/>
      <c r="Q111" s="19"/>
      <c r="R111" s="19"/>
      <c r="S111" s="19">
        <f t="shared" si="118"/>
        <v>0</v>
      </c>
      <c r="T111" s="48">
        <f t="shared" si="119"/>
        <v>0</v>
      </c>
    </row>
    <row r="112" spans="1:20" x14ac:dyDescent="0.25">
      <c r="A112" s="21">
        <v>61609</v>
      </c>
      <c r="B112" s="7" t="s">
        <v>130</v>
      </c>
      <c r="C112" s="7"/>
      <c r="D112" s="19"/>
      <c r="E112" s="19"/>
      <c r="F112" s="19"/>
      <c r="G112" s="49">
        <f t="shared" si="116"/>
        <v>0</v>
      </c>
      <c r="H112" s="37"/>
      <c r="I112" s="19">
        <v>33000</v>
      </c>
      <c r="J112" s="19"/>
      <c r="K112" s="19">
        <v>85000</v>
      </c>
      <c r="L112" s="19"/>
      <c r="M112" s="19"/>
      <c r="N112" s="41">
        <f>SUM(H112:M112)</f>
        <v>118000</v>
      </c>
      <c r="O112" s="37"/>
      <c r="P112" s="19"/>
      <c r="Q112" s="19"/>
      <c r="R112" s="19"/>
      <c r="S112" s="19">
        <f t="shared" si="118"/>
        <v>0</v>
      </c>
      <c r="T112" s="48">
        <f t="shared" si="119"/>
        <v>118000</v>
      </c>
    </row>
    <row r="113" spans="1:21" x14ac:dyDescent="0.25">
      <c r="A113" s="21">
        <v>61610</v>
      </c>
      <c r="B113" s="7" t="s">
        <v>137</v>
      </c>
      <c r="C113" s="7"/>
      <c r="D113" s="19"/>
      <c r="E113" s="19"/>
      <c r="F113" s="19"/>
      <c r="G113" s="49">
        <f t="shared" si="116"/>
        <v>0</v>
      </c>
      <c r="H113" s="37"/>
      <c r="I113" s="19">
        <v>286487</v>
      </c>
      <c r="J113" s="19"/>
      <c r="K113" s="19"/>
      <c r="L113" s="19"/>
      <c r="M113" s="19"/>
      <c r="N113" s="41">
        <f t="shared" si="117"/>
        <v>286487</v>
      </c>
      <c r="O113" s="37"/>
      <c r="P113" s="19"/>
      <c r="Q113" s="19"/>
      <c r="R113" s="19"/>
      <c r="S113" s="19">
        <f t="shared" si="118"/>
        <v>0</v>
      </c>
      <c r="T113" s="48">
        <f t="shared" si="119"/>
        <v>286487</v>
      </c>
    </row>
    <row r="114" spans="1:21" x14ac:dyDescent="0.25">
      <c r="A114" s="21">
        <v>61611</v>
      </c>
      <c r="B114" s="7" t="s">
        <v>138</v>
      </c>
      <c r="C114" s="7"/>
      <c r="D114" s="19"/>
      <c r="E114" s="19"/>
      <c r="F114" s="19"/>
      <c r="G114" s="49">
        <f t="shared" si="116"/>
        <v>0</v>
      </c>
      <c r="H114" s="37"/>
      <c r="I114" s="19">
        <v>10000</v>
      </c>
      <c r="J114" s="19"/>
      <c r="K114" s="19"/>
      <c r="L114" s="19"/>
      <c r="M114" s="19"/>
      <c r="N114" s="41">
        <f t="shared" si="117"/>
        <v>10000</v>
      </c>
      <c r="O114" s="37"/>
      <c r="P114" s="19"/>
      <c r="Q114" s="19"/>
      <c r="R114" s="19"/>
      <c r="S114" s="19">
        <f t="shared" si="118"/>
        <v>0</v>
      </c>
      <c r="T114" s="48">
        <f t="shared" si="119"/>
        <v>10000</v>
      </c>
    </row>
    <row r="115" spans="1:21" x14ac:dyDescent="0.25">
      <c r="A115" s="26">
        <v>71</v>
      </c>
      <c r="B115" s="25" t="s">
        <v>131</v>
      </c>
      <c r="C115" s="25"/>
      <c r="D115" s="31">
        <f>D116</f>
        <v>0</v>
      </c>
      <c r="E115" s="31">
        <f>E116</f>
        <v>0</v>
      </c>
      <c r="F115" s="31">
        <f t="shared" ref="F115:T116" si="120">F116</f>
        <v>0</v>
      </c>
      <c r="G115" s="32">
        <f t="shared" si="120"/>
        <v>0</v>
      </c>
      <c r="H115" s="35">
        <f t="shared" si="120"/>
        <v>0</v>
      </c>
      <c r="I115" s="31">
        <f t="shared" si="120"/>
        <v>0</v>
      </c>
      <c r="J115" s="31">
        <f t="shared" si="120"/>
        <v>0</v>
      </c>
      <c r="K115" s="31">
        <f t="shared" si="120"/>
        <v>0</v>
      </c>
      <c r="L115" s="31">
        <f t="shared" si="120"/>
        <v>0</v>
      </c>
      <c r="M115" s="31">
        <f t="shared" si="120"/>
        <v>365780.4</v>
      </c>
      <c r="N115" s="36">
        <f t="shared" si="120"/>
        <v>365780.4</v>
      </c>
      <c r="O115" s="35">
        <f t="shared" si="120"/>
        <v>0</v>
      </c>
      <c r="P115" s="31">
        <f t="shared" si="120"/>
        <v>0</v>
      </c>
      <c r="Q115" s="31">
        <f t="shared" si="120"/>
        <v>0</v>
      </c>
      <c r="R115" s="31">
        <f t="shared" si="120"/>
        <v>0</v>
      </c>
      <c r="S115" s="31">
        <f>S116</f>
        <v>0</v>
      </c>
      <c r="T115" s="36">
        <f>T116</f>
        <v>365780.4</v>
      </c>
    </row>
    <row r="116" spans="1:21" x14ac:dyDescent="0.25">
      <c r="A116" s="26">
        <v>713</v>
      </c>
      <c r="B116" s="25" t="s">
        <v>132</v>
      </c>
      <c r="C116" s="25"/>
      <c r="D116" s="31">
        <f>D117</f>
        <v>0</v>
      </c>
      <c r="E116" s="31">
        <f>E117</f>
        <v>0</v>
      </c>
      <c r="F116" s="31">
        <f t="shared" si="120"/>
        <v>0</v>
      </c>
      <c r="G116" s="32">
        <f t="shared" si="120"/>
        <v>0</v>
      </c>
      <c r="H116" s="35">
        <f t="shared" si="120"/>
        <v>0</v>
      </c>
      <c r="I116" s="31">
        <f t="shared" si="120"/>
        <v>0</v>
      </c>
      <c r="J116" s="31">
        <f t="shared" si="120"/>
        <v>0</v>
      </c>
      <c r="K116" s="31">
        <f t="shared" si="120"/>
        <v>0</v>
      </c>
      <c r="L116" s="31">
        <f t="shared" si="120"/>
        <v>0</v>
      </c>
      <c r="M116" s="31">
        <f t="shared" si="120"/>
        <v>365780.4</v>
      </c>
      <c r="N116" s="36">
        <f t="shared" si="120"/>
        <v>365780.4</v>
      </c>
      <c r="O116" s="35">
        <f t="shared" si="120"/>
        <v>0</v>
      </c>
      <c r="P116" s="31">
        <f t="shared" si="120"/>
        <v>0</v>
      </c>
      <c r="Q116" s="31">
        <f t="shared" si="120"/>
        <v>0</v>
      </c>
      <c r="R116" s="31">
        <f t="shared" si="120"/>
        <v>0</v>
      </c>
      <c r="S116" s="31">
        <f t="shared" si="120"/>
        <v>0</v>
      </c>
      <c r="T116" s="36">
        <f t="shared" si="120"/>
        <v>365780.4</v>
      </c>
    </row>
    <row r="117" spans="1:21" x14ac:dyDescent="0.25">
      <c r="A117" s="21">
        <v>71304</v>
      </c>
      <c r="B117" s="7" t="s">
        <v>102</v>
      </c>
      <c r="C117" s="7"/>
      <c r="D117" s="19"/>
      <c r="E117" s="19"/>
      <c r="F117" s="19"/>
      <c r="G117" s="49">
        <f t="shared" ref="G117" si="121">C117+D117+E117+F117</f>
        <v>0</v>
      </c>
      <c r="H117" s="37"/>
      <c r="I117" s="19"/>
      <c r="J117" s="19"/>
      <c r="K117" s="19"/>
      <c r="L117" s="19"/>
      <c r="M117" s="52">
        <v>365780.4</v>
      </c>
      <c r="N117" s="41">
        <f t="shared" ref="N117" si="122">SUM(H117:M117)</f>
        <v>365780.4</v>
      </c>
      <c r="O117" s="37"/>
      <c r="P117" s="19"/>
      <c r="Q117" s="19"/>
      <c r="R117" s="19"/>
      <c r="S117" s="19">
        <f t="shared" ref="S117" si="123">SUM(O117:R117)</f>
        <v>0</v>
      </c>
      <c r="T117" s="48">
        <f t="shared" ref="T117" si="124">S117+N117+G117</f>
        <v>365780.4</v>
      </c>
    </row>
    <row r="118" spans="1:21" x14ac:dyDescent="0.25">
      <c r="A118" s="26">
        <v>72</v>
      </c>
      <c r="B118" s="25" t="s">
        <v>133</v>
      </c>
      <c r="C118" s="25"/>
      <c r="D118" s="31">
        <f>D119</f>
        <v>0</v>
      </c>
      <c r="E118" s="31">
        <f>E119</f>
        <v>0</v>
      </c>
      <c r="F118" s="31">
        <f t="shared" ref="F118:T119" si="125">F119</f>
        <v>0</v>
      </c>
      <c r="G118" s="32">
        <f t="shared" si="125"/>
        <v>0</v>
      </c>
      <c r="H118" s="35">
        <f t="shared" si="125"/>
        <v>0</v>
      </c>
      <c r="I118" s="31">
        <f t="shared" si="125"/>
        <v>0</v>
      </c>
      <c r="J118" s="31">
        <f t="shared" si="125"/>
        <v>0</v>
      </c>
      <c r="K118" s="31">
        <f t="shared" si="125"/>
        <v>0</v>
      </c>
      <c r="L118" s="31">
        <f t="shared" si="125"/>
        <v>0</v>
      </c>
      <c r="M118" s="31">
        <f t="shared" si="125"/>
        <v>0</v>
      </c>
      <c r="N118" s="36">
        <f t="shared" si="125"/>
        <v>0</v>
      </c>
      <c r="O118" s="35">
        <f t="shared" si="125"/>
        <v>0</v>
      </c>
      <c r="P118" s="31">
        <f t="shared" si="125"/>
        <v>0</v>
      </c>
      <c r="Q118" s="31">
        <f t="shared" si="125"/>
        <v>0</v>
      </c>
      <c r="R118" s="31">
        <f t="shared" si="125"/>
        <v>0</v>
      </c>
      <c r="S118" s="31">
        <f>S119</f>
        <v>0</v>
      </c>
      <c r="T118" s="36">
        <f>T119</f>
        <v>0</v>
      </c>
    </row>
    <row r="119" spans="1:21" x14ac:dyDescent="0.25">
      <c r="A119" s="26">
        <v>721</v>
      </c>
      <c r="B119" s="25" t="s">
        <v>134</v>
      </c>
      <c r="C119" s="25"/>
      <c r="D119" s="31">
        <f>D120</f>
        <v>0</v>
      </c>
      <c r="E119" s="31">
        <f>E120</f>
        <v>0</v>
      </c>
      <c r="F119" s="31">
        <f t="shared" si="125"/>
        <v>0</v>
      </c>
      <c r="G119" s="32">
        <f t="shared" si="125"/>
        <v>0</v>
      </c>
      <c r="H119" s="35">
        <f t="shared" si="125"/>
        <v>0</v>
      </c>
      <c r="I119" s="31">
        <f t="shared" si="125"/>
        <v>0</v>
      </c>
      <c r="J119" s="31">
        <f t="shared" si="125"/>
        <v>0</v>
      </c>
      <c r="K119" s="31">
        <f t="shared" si="125"/>
        <v>0</v>
      </c>
      <c r="L119" s="31">
        <f t="shared" si="125"/>
        <v>0</v>
      </c>
      <c r="M119" s="31">
        <f t="shared" si="125"/>
        <v>0</v>
      </c>
      <c r="N119" s="36">
        <f t="shared" si="125"/>
        <v>0</v>
      </c>
      <c r="O119" s="35">
        <f t="shared" si="125"/>
        <v>0</v>
      </c>
      <c r="P119" s="31">
        <f t="shared" si="125"/>
        <v>0</v>
      </c>
      <c r="Q119" s="31">
        <f t="shared" si="125"/>
        <v>0</v>
      </c>
      <c r="R119" s="31">
        <f t="shared" si="125"/>
        <v>0</v>
      </c>
      <c r="S119" s="31">
        <f t="shared" si="125"/>
        <v>0</v>
      </c>
      <c r="T119" s="36">
        <f t="shared" si="125"/>
        <v>0</v>
      </c>
    </row>
    <row r="120" spans="1:21" x14ac:dyDescent="0.25">
      <c r="A120" s="21">
        <v>72101</v>
      </c>
      <c r="B120" s="7" t="s">
        <v>134</v>
      </c>
      <c r="C120" s="7"/>
      <c r="D120" s="19"/>
      <c r="E120" s="19"/>
      <c r="F120" s="19"/>
      <c r="G120" s="49">
        <f t="shared" ref="G120" si="126">C120+D120+E120+F120</f>
        <v>0</v>
      </c>
      <c r="H120" s="37"/>
      <c r="I120" s="19"/>
      <c r="J120" s="19"/>
      <c r="K120" s="19"/>
      <c r="L120" s="19"/>
      <c r="M120" s="19"/>
      <c r="N120" s="41">
        <f t="shared" ref="N120" si="127">SUM(H120:M120)</f>
        <v>0</v>
      </c>
      <c r="O120" s="37"/>
      <c r="P120" s="19"/>
      <c r="Q120" s="19"/>
      <c r="R120" s="19"/>
      <c r="S120" s="19">
        <f t="shared" ref="S120" si="128">SUM(O120:R120)</f>
        <v>0</v>
      </c>
      <c r="T120" s="48">
        <f t="shared" ref="T120" si="129">S120+N120+G120</f>
        <v>0</v>
      </c>
    </row>
    <row r="121" spans="1:21" x14ac:dyDescent="0.25">
      <c r="A121" s="24" t="s">
        <v>29</v>
      </c>
      <c r="B121" s="25" t="s">
        <v>81</v>
      </c>
      <c r="C121" s="31">
        <f>C9+C32+C81+C91+C98+C115+C118</f>
        <v>244505.59</v>
      </c>
      <c r="D121" s="31">
        <f t="shared" ref="D121:T121" si="130">D9+D32+D81+D91+D98+D115+D118</f>
        <v>110071</v>
      </c>
      <c r="E121" s="31">
        <f t="shared" si="130"/>
        <v>39543</v>
      </c>
      <c r="F121" s="31">
        <f t="shared" si="130"/>
        <v>114595.69</v>
      </c>
      <c r="G121" s="31">
        <f>G9+G32+G81+G91+G98+G115+G118</f>
        <v>508715.27999999997</v>
      </c>
      <c r="H121" s="31">
        <f t="shared" si="130"/>
        <v>32000</v>
      </c>
      <c r="I121" s="31">
        <f t="shared" si="130"/>
        <v>1043365.44</v>
      </c>
      <c r="J121" s="31">
        <f t="shared" si="130"/>
        <v>0</v>
      </c>
      <c r="K121" s="31">
        <f t="shared" si="130"/>
        <v>85000</v>
      </c>
      <c r="L121" s="31">
        <f t="shared" si="130"/>
        <v>0</v>
      </c>
      <c r="M121" s="31">
        <f t="shared" si="130"/>
        <v>365780.4</v>
      </c>
      <c r="N121" s="31">
        <f>N9+N32+N81+N91+N98+N115+N118</f>
        <v>1526145.8399999999</v>
      </c>
      <c r="O121" s="31">
        <f t="shared" si="130"/>
        <v>225104.52000000002</v>
      </c>
      <c r="P121" s="31">
        <f t="shared" si="130"/>
        <v>19780.96</v>
      </c>
      <c r="Q121" s="31">
        <f t="shared" si="130"/>
        <v>9764.2000000000007</v>
      </c>
      <c r="R121" s="31">
        <f t="shared" si="130"/>
        <v>31215</v>
      </c>
      <c r="S121" s="31">
        <f>S9+S32+S81+S91+S98+S115+S118</f>
        <v>317393.83999999997</v>
      </c>
      <c r="T121" s="31">
        <f t="shared" si="130"/>
        <v>2049567.96</v>
      </c>
    </row>
    <row r="122" spans="1:21" x14ac:dyDescent="0.25">
      <c r="A122" s="24" t="s">
        <v>29</v>
      </c>
      <c r="B122" s="25" t="s">
        <v>82</v>
      </c>
      <c r="C122" s="31">
        <f>C121</f>
        <v>244505.59</v>
      </c>
      <c r="D122" s="31">
        <f t="shared" ref="D122:T123" si="131">D121</f>
        <v>110071</v>
      </c>
      <c r="E122" s="31">
        <f t="shared" si="131"/>
        <v>39543</v>
      </c>
      <c r="F122" s="31">
        <f t="shared" si="131"/>
        <v>114595.69</v>
      </c>
      <c r="G122" s="32">
        <f t="shared" si="131"/>
        <v>508715.27999999997</v>
      </c>
      <c r="H122" s="35">
        <f t="shared" si="131"/>
        <v>32000</v>
      </c>
      <c r="I122" s="31">
        <f t="shared" si="131"/>
        <v>1043365.44</v>
      </c>
      <c r="J122" s="31">
        <f t="shared" si="131"/>
        <v>0</v>
      </c>
      <c r="K122" s="31">
        <f t="shared" si="131"/>
        <v>85000</v>
      </c>
      <c r="L122" s="31">
        <f t="shared" si="131"/>
        <v>0</v>
      </c>
      <c r="M122" s="31">
        <f t="shared" si="131"/>
        <v>365780.4</v>
      </c>
      <c r="N122" s="36">
        <f t="shared" si="131"/>
        <v>1526145.8399999999</v>
      </c>
      <c r="O122" s="35">
        <f t="shared" si="131"/>
        <v>225104.52000000002</v>
      </c>
      <c r="P122" s="31">
        <f t="shared" si="131"/>
        <v>19780.96</v>
      </c>
      <c r="Q122" s="31">
        <f t="shared" si="131"/>
        <v>9764.2000000000007</v>
      </c>
      <c r="R122" s="31">
        <f t="shared" si="131"/>
        <v>31215</v>
      </c>
      <c r="S122" s="31">
        <f t="shared" si="131"/>
        <v>317393.83999999997</v>
      </c>
      <c r="T122" s="36">
        <f t="shared" si="131"/>
        <v>2049567.96</v>
      </c>
    </row>
    <row r="123" spans="1:21" ht="15.75" thickBot="1" x14ac:dyDescent="0.3">
      <c r="A123" s="27" t="s">
        <v>83</v>
      </c>
      <c r="B123" s="28"/>
      <c r="C123" s="31">
        <f>C122</f>
        <v>244505.59</v>
      </c>
      <c r="D123" s="31">
        <f t="shared" si="131"/>
        <v>110071</v>
      </c>
      <c r="E123" s="31">
        <f t="shared" si="131"/>
        <v>39543</v>
      </c>
      <c r="F123" s="31">
        <f t="shared" si="131"/>
        <v>114595.69</v>
      </c>
      <c r="G123" s="32">
        <f>G122</f>
        <v>508715.27999999997</v>
      </c>
      <c r="H123" s="42">
        <f t="shared" si="131"/>
        <v>32000</v>
      </c>
      <c r="I123" s="43">
        <f t="shared" si="131"/>
        <v>1043365.44</v>
      </c>
      <c r="J123" s="43">
        <f t="shared" si="131"/>
        <v>0</v>
      </c>
      <c r="K123" s="43">
        <f t="shared" si="131"/>
        <v>85000</v>
      </c>
      <c r="L123" s="43">
        <f t="shared" si="131"/>
        <v>0</v>
      </c>
      <c r="M123" s="43">
        <f t="shared" si="131"/>
        <v>365780.4</v>
      </c>
      <c r="N123" s="44">
        <f t="shared" si="131"/>
        <v>1526145.8399999999</v>
      </c>
      <c r="O123" s="42">
        <f t="shared" si="131"/>
        <v>225104.52000000002</v>
      </c>
      <c r="P123" s="43">
        <f t="shared" si="131"/>
        <v>19780.96</v>
      </c>
      <c r="Q123" s="43">
        <f t="shared" si="131"/>
        <v>9764.2000000000007</v>
      </c>
      <c r="R123" s="43">
        <f t="shared" si="131"/>
        <v>31215</v>
      </c>
      <c r="S123" s="43">
        <f t="shared" si="131"/>
        <v>317393.83999999997</v>
      </c>
      <c r="T123" s="44">
        <f t="shared" si="131"/>
        <v>2049567.96</v>
      </c>
    </row>
    <row r="126" spans="1:21" x14ac:dyDescent="0.25">
      <c r="T126" s="50">
        <v>317393.84000000003</v>
      </c>
      <c r="U126" s="98">
        <f>T126-S121</f>
        <v>0</v>
      </c>
    </row>
  </sheetData>
  <mergeCells count="10">
    <mergeCell ref="A1:T1"/>
    <mergeCell ref="A2:T2"/>
    <mergeCell ref="C6:G6"/>
    <mergeCell ref="C7:G7"/>
    <mergeCell ref="C5:G5"/>
    <mergeCell ref="O4:S4"/>
    <mergeCell ref="O5:S5"/>
    <mergeCell ref="O6:S6"/>
    <mergeCell ref="O7:S7"/>
    <mergeCell ref="H5:N5"/>
  </mergeCells>
  <pageMargins left="0.51181102362204722" right="0.51181102362204722" top="0.55118110236220474" bottom="0.55118110236220474" header="0.31496062992125984" footer="0.31496062992125984"/>
  <pageSetup paperSize="5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0" workbookViewId="0">
      <selection activeCell="C36" sqref="C36"/>
    </sheetView>
  </sheetViews>
  <sheetFormatPr baseColWidth="10" defaultRowHeight="14.25" x14ac:dyDescent="0.2"/>
  <cols>
    <col min="1" max="1" width="11.42578125" style="213"/>
    <col min="2" max="2" width="84" style="213" customWidth="1"/>
    <col min="3" max="3" width="26.5703125" style="214" customWidth="1"/>
    <col min="4" max="5" width="33.28515625" style="214" customWidth="1"/>
    <col min="6" max="6" width="35.85546875" style="213" customWidth="1"/>
    <col min="7" max="16384" width="11.42578125" style="213"/>
  </cols>
  <sheetData>
    <row r="1" spans="1:6" ht="81" x14ac:dyDescent="0.2">
      <c r="A1" s="217" t="s">
        <v>296</v>
      </c>
      <c r="B1" s="217" t="s">
        <v>297</v>
      </c>
      <c r="C1" s="218" t="s">
        <v>298</v>
      </c>
      <c r="D1" s="218" t="s">
        <v>354</v>
      </c>
      <c r="E1" s="238" t="s">
        <v>360</v>
      </c>
      <c r="F1" s="217" t="s">
        <v>299</v>
      </c>
    </row>
    <row r="2" spans="1:6" ht="26.1" customHeight="1" x14ac:dyDescent="0.2">
      <c r="A2" s="246">
        <v>1</v>
      </c>
      <c r="B2" s="247" t="s">
        <v>300</v>
      </c>
      <c r="C2" s="248">
        <v>26000</v>
      </c>
      <c r="D2" s="249" t="s">
        <v>355</v>
      </c>
      <c r="E2" s="235"/>
      <c r="F2" s="667" t="s">
        <v>301</v>
      </c>
    </row>
    <row r="3" spans="1:6" ht="26.1" customHeight="1" x14ac:dyDescent="0.2">
      <c r="A3" s="224">
        <v>2</v>
      </c>
      <c r="B3" s="221" t="s">
        <v>302</v>
      </c>
      <c r="C3" s="222">
        <v>6000</v>
      </c>
      <c r="D3" s="236" t="s">
        <v>356</v>
      </c>
      <c r="E3" s="236"/>
      <c r="F3" s="667"/>
    </row>
    <row r="4" spans="1:6" ht="26.1" customHeight="1" x14ac:dyDescent="0.2">
      <c r="A4" s="224">
        <v>3</v>
      </c>
      <c r="B4" s="221" t="s">
        <v>303</v>
      </c>
      <c r="C4" s="222">
        <v>15000</v>
      </c>
      <c r="D4" s="236" t="s">
        <v>357</v>
      </c>
      <c r="E4" s="236"/>
      <c r="F4" s="667"/>
    </row>
    <row r="5" spans="1:6" ht="26.1" customHeight="1" x14ac:dyDescent="0.2">
      <c r="A5" s="224">
        <v>4</v>
      </c>
      <c r="B5" s="221" t="s">
        <v>304</v>
      </c>
      <c r="C5" s="222">
        <v>3000</v>
      </c>
      <c r="D5" s="236" t="s">
        <v>355</v>
      </c>
      <c r="E5" s="236"/>
      <c r="F5" s="667"/>
    </row>
    <row r="6" spans="1:6" ht="26.1" customHeight="1" x14ac:dyDescent="0.2">
      <c r="A6" s="224">
        <v>5</v>
      </c>
      <c r="B6" s="221" t="s">
        <v>305</v>
      </c>
      <c r="C6" s="222">
        <v>30000</v>
      </c>
      <c r="D6" s="236" t="s">
        <v>359</v>
      </c>
      <c r="E6" s="236"/>
      <c r="F6" s="667" t="s">
        <v>306</v>
      </c>
    </row>
    <row r="7" spans="1:6" ht="26.1" customHeight="1" x14ac:dyDescent="0.2">
      <c r="A7" s="224">
        <v>6</v>
      </c>
      <c r="B7" s="221" t="s">
        <v>307</v>
      </c>
      <c r="C7" s="222">
        <v>15000</v>
      </c>
      <c r="D7" s="236" t="s">
        <v>357</v>
      </c>
      <c r="E7" s="236"/>
      <c r="F7" s="667"/>
    </row>
    <row r="8" spans="1:6" ht="26.1" customHeight="1" x14ac:dyDescent="0.2">
      <c r="A8" s="240">
        <v>7</v>
      </c>
      <c r="B8" s="241" t="s">
        <v>308</v>
      </c>
      <c r="C8" s="242">
        <v>7000</v>
      </c>
      <c r="D8" s="243" t="s">
        <v>355</v>
      </c>
      <c r="E8" s="236"/>
      <c r="F8" s="667"/>
    </row>
    <row r="9" spans="1:6" ht="26.1" customHeight="1" x14ac:dyDescent="0.2">
      <c r="A9" s="225">
        <v>8</v>
      </c>
      <c r="B9" s="221" t="s">
        <v>309</v>
      </c>
      <c r="C9" s="222">
        <v>10000</v>
      </c>
      <c r="D9" s="236" t="s">
        <v>358</v>
      </c>
      <c r="E9" s="239"/>
      <c r="F9" s="667"/>
    </row>
    <row r="10" spans="1:6" ht="26.1" customHeight="1" x14ac:dyDescent="0.2">
      <c r="A10" s="225">
        <v>9</v>
      </c>
      <c r="B10" s="221" t="s">
        <v>310</v>
      </c>
      <c r="C10" s="222">
        <v>8000</v>
      </c>
      <c r="D10" s="236" t="s">
        <v>358</v>
      </c>
      <c r="E10" s="239"/>
      <c r="F10" s="667"/>
    </row>
    <row r="11" spans="1:6" ht="26.1" customHeight="1" x14ac:dyDescent="0.2">
      <c r="A11" s="246">
        <v>10</v>
      </c>
      <c r="B11" s="250" t="s">
        <v>311</v>
      </c>
      <c r="C11" s="251">
        <v>10000</v>
      </c>
      <c r="D11" s="252" t="s">
        <v>357</v>
      </c>
      <c r="E11" s="236"/>
      <c r="F11" s="667" t="s">
        <v>312</v>
      </c>
    </row>
    <row r="12" spans="1:6" ht="26.1" customHeight="1" x14ac:dyDescent="0.2">
      <c r="A12" s="224">
        <v>11</v>
      </c>
      <c r="B12" s="221" t="s">
        <v>313</v>
      </c>
      <c r="C12" s="222">
        <v>55000</v>
      </c>
      <c r="D12" s="236" t="s">
        <v>359</v>
      </c>
      <c r="E12" s="236"/>
      <c r="F12" s="667"/>
    </row>
    <row r="13" spans="1:6" ht="26.1" customHeight="1" x14ac:dyDescent="0.2">
      <c r="A13" s="240">
        <v>12</v>
      </c>
      <c r="B13" s="241" t="s">
        <v>314</v>
      </c>
      <c r="C13" s="242">
        <v>10000</v>
      </c>
      <c r="D13" s="243" t="s">
        <v>357</v>
      </c>
      <c r="E13" s="236"/>
      <c r="F13" s="667"/>
    </row>
    <row r="14" spans="1:6" ht="26.1" customHeight="1" x14ac:dyDescent="0.2">
      <c r="A14" s="225">
        <v>13</v>
      </c>
      <c r="B14" s="221" t="s">
        <v>315</v>
      </c>
      <c r="C14" s="222">
        <v>25000</v>
      </c>
      <c r="D14" s="236" t="s">
        <v>358</v>
      </c>
      <c r="E14" s="239"/>
      <c r="F14" s="667" t="s">
        <v>316</v>
      </c>
    </row>
    <row r="15" spans="1:6" ht="26.1" customHeight="1" x14ac:dyDescent="0.2">
      <c r="A15" s="246">
        <v>14</v>
      </c>
      <c r="B15" s="250" t="s">
        <v>317</v>
      </c>
      <c r="C15" s="251">
        <v>15000</v>
      </c>
      <c r="D15" s="252" t="s">
        <v>357</v>
      </c>
      <c r="E15" s="236"/>
      <c r="F15" s="667"/>
    </row>
    <row r="16" spans="1:6" ht="26.1" customHeight="1" x14ac:dyDescent="0.2">
      <c r="A16" s="224">
        <v>15</v>
      </c>
      <c r="B16" s="221" t="s">
        <v>318</v>
      </c>
      <c r="C16" s="222">
        <v>10000</v>
      </c>
      <c r="D16" s="236" t="s">
        <v>357</v>
      </c>
      <c r="E16" s="236"/>
      <c r="F16" s="667"/>
    </row>
    <row r="17" spans="1:6" ht="26.1" customHeight="1" x14ac:dyDescent="0.2">
      <c r="A17" s="240">
        <v>16</v>
      </c>
      <c r="B17" s="241" t="s">
        <v>319</v>
      </c>
      <c r="C17" s="242">
        <v>30000</v>
      </c>
      <c r="D17" s="243" t="s">
        <v>357</v>
      </c>
      <c r="E17" s="236"/>
      <c r="F17" s="667"/>
    </row>
    <row r="18" spans="1:6" ht="26.1" customHeight="1" x14ac:dyDescent="0.2">
      <c r="A18" s="225">
        <v>17</v>
      </c>
      <c r="B18" s="221" t="s">
        <v>320</v>
      </c>
      <c r="C18" s="222">
        <v>8000</v>
      </c>
      <c r="D18" s="236" t="s">
        <v>358</v>
      </c>
      <c r="E18" s="239"/>
      <c r="F18" s="667"/>
    </row>
    <row r="19" spans="1:6" ht="26.1" customHeight="1" x14ac:dyDescent="0.2">
      <c r="A19" s="253">
        <v>18</v>
      </c>
      <c r="B19" s="254" t="s">
        <v>321</v>
      </c>
      <c r="C19" s="255">
        <v>5000</v>
      </c>
      <c r="D19" s="256" t="s">
        <v>359</v>
      </c>
      <c r="E19" s="236"/>
      <c r="F19" s="667" t="s">
        <v>322</v>
      </c>
    </row>
    <row r="20" spans="1:6" ht="26.1" customHeight="1" x14ac:dyDescent="0.2">
      <c r="A20" s="225">
        <v>19</v>
      </c>
      <c r="B20" s="221" t="s">
        <v>323</v>
      </c>
      <c r="C20" s="222">
        <v>5000</v>
      </c>
      <c r="D20" s="236" t="s">
        <v>358</v>
      </c>
      <c r="E20" s="239"/>
      <c r="F20" s="667"/>
    </row>
    <row r="21" spans="1:6" ht="26.1" customHeight="1" x14ac:dyDescent="0.2">
      <c r="A21" s="253">
        <v>20</v>
      </c>
      <c r="B21" s="254" t="s">
        <v>324</v>
      </c>
      <c r="C21" s="255">
        <v>10000</v>
      </c>
      <c r="D21" s="256" t="s">
        <v>357</v>
      </c>
      <c r="E21" s="236"/>
      <c r="F21" s="667"/>
    </row>
    <row r="22" spans="1:6" ht="26.1" customHeight="1" x14ac:dyDescent="0.2">
      <c r="A22" s="225">
        <v>21</v>
      </c>
      <c r="B22" s="221" t="s">
        <v>325</v>
      </c>
      <c r="C22" s="222">
        <v>20000</v>
      </c>
      <c r="D22" s="236" t="s">
        <v>358</v>
      </c>
      <c r="E22" s="239"/>
      <c r="F22" s="667" t="s">
        <v>326</v>
      </c>
    </row>
    <row r="23" spans="1:6" ht="26.1" customHeight="1" x14ac:dyDescent="0.2">
      <c r="A23" s="246">
        <v>22</v>
      </c>
      <c r="B23" s="250" t="s">
        <v>327</v>
      </c>
      <c r="C23" s="251">
        <v>10000</v>
      </c>
      <c r="D23" s="252" t="s">
        <v>359</v>
      </c>
      <c r="E23" s="236"/>
      <c r="F23" s="667"/>
    </row>
    <row r="24" spans="1:6" ht="26.1" customHeight="1" x14ac:dyDescent="0.2">
      <c r="A24" s="240">
        <v>23</v>
      </c>
      <c r="B24" s="241" t="s">
        <v>328</v>
      </c>
      <c r="C24" s="242">
        <v>40000</v>
      </c>
      <c r="D24" s="243" t="s">
        <v>359</v>
      </c>
      <c r="E24" s="236"/>
      <c r="F24" s="667"/>
    </row>
    <row r="25" spans="1:6" ht="26.1" customHeight="1" x14ac:dyDescent="0.2">
      <c r="A25" s="225">
        <v>24</v>
      </c>
      <c r="B25" s="221" t="s">
        <v>329</v>
      </c>
      <c r="C25" s="222">
        <v>8000</v>
      </c>
      <c r="D25" s="236" t="s">
        <v>358</v>
      </c>
      <c r="E25" s="239"/>
      <c r="F25" s="667"/>
    </row>
    <row r="26" spans="1:6" ht="26.1" customHeight="1" x14ac:dyDescent="0.2">
      <c r="A26" s="246">
        <v>25</v>
      </c>
      <c r="B26" s="250" t="s">
        <v>330</v>
      </c>
      <c r="C26" s="251">
        <v>20000</v>
      </c>
      <c r="D26" s="252" t="s">
        <v>359</v>
      </c>
      <c r="E26" s="236"/>
      <c r="F26" s="667"/>
    </row>
    <row r="27" spans="1:6" ht="26.1" customHeight="1" x14ac:dyDescent="0.2">
      <c r="A27" s="224">
        <v>26</v>
      </c>
      <c r="B27" s="221" t="s">
        <v>331</v>
      </c>
      <c r="C27" s="222">
        <v>10000</v>
      </c>
      <c r="D27" s="236" t="s">
        <v>357</v>
      </c>
      <c r="E27" s="236"/>
      <c r="F27" s="667"/>
    </row>
    <row r="28" spans="1:6" ht="26.1" customHeight="1" x14ac:dyDescent="0.2">
      <c r="A28" s="224">
        <v>27</v>
      </c>
      <c r="B28" s="221" t="s">
        <v>332</v>
      </c>
      <c r="C28" s="222">
        <v>10000</v>
      </c>
      <c r="D28" s="236" t="s">
        <v>359</v>
      </c>
      <c r="E28" s="236"/>
      <c r="F28" s="667"/>
    </row>
    <row r="29" spans="1:6" ht="26.1" customHeight="1" x14ac:dyDescent="0.2">
      <c r="A29" s="224">
        <v>28</v>
      </c>
      <c r="B29" s="221" t="s">
        <v>333</v>
      </c>
      <c r="C29" s="222">
        <v>40000</v>
      </c>
      <c r="D29" s="236" t="s">
        <v>357</v>
      </c>
      <c r="E29" s="236"/>
      <c r="F29" s="667" t="s">
        <v>334</v>
      </c>
    </row>
    <row r="30" spans="1:6" ht="26.1" customHeight="1" x14ac:dyDescent="0.2">
      <c r="A30" s="224">
        <v>29</v>
      </c>
      <c r="B30" s="221" t="s">
        <v>335</v>
      </c>
      <c r="C30" s="222">
        <v>20000</v>
      </c>
      <c r="D30" s="236" t="s">
        <v>357</v>
      </c>
      <c r="E30" s="236"/>
      <c r="F30" s="667"/>
    </row>
    <row r="31" spans="1:6" ht="26.1" customHeight="1" x14ac:dyDescent="0.2">
      <c r="A31" s="224">
        <v>30</v>
      </c>
      <c r="B31" s="221" t="s">
        <v>336</v>
      </c>
      <c r="C31" s="222">
        <v>20000</v>
      </c>
      <c r="D31" s="236" t="s">
        <v>359</v>
      </c>
      <c r="E31" s="236"/>
      <c r="F31" s="667"/>
    </row>
    <row r="32" spans="1:6" ht="26.1" customHeight="1" x14ac:dyDescent="0.2">
      <c r="A32" s="240">
        <v>31</v>
      </c>
      <c r="B32" s="241" t="s">
        <v>337</v>
      </c>
      <c r="C32" s="242">
        <v>90000</v>
      </c>
      <c r="D32" s="243" t="s">
        <v>357</v>
      </c>
      <c r="E32" s="236"/>
      <c r="F32" s="224" t="s">
        <v>338</v>
      </c>
    </row>
    <row r="33" spans="1:6" ht="26.1" customHeight="1" x14ac:dyDescent="0.2">
      <c r="A33" s="225">
        <v>32</v>
      </c>
      <c r="B33" s="221" t="s">
        <v>339</v>
      </c>
      <c r="C33" s="222">
        <v>25000</v>
      </c>
      <c r="D33" s="236" t="s">
        <v>358</v>
      </c>
      <c r="E33" s="239"/>
      <c r="F33" s="224" t="s">
        <v>340</v>
      </c>
    </row>
    <row r="34" spans="1:6" ht="26.1" customHeight="1" x14ac:dyDescent="0.2">
      <c r="A34" s="246">
        <v>33</v>
      </c>
      <c r="B34" s="250" t="s">
        <v>341</v>
      </c>
      <c r="C34" s="257">
        <v>100000</v>
      </c>
      <c r="D34" s="258" t="s">
        <v>355</v>
      </c>
      <c r="E34" s="237"/>
      <c r="F34" s="223"/>
    </row>
    <row r="35" spans="1:6" ht="15" x14ac:dyDescent="0.2">
      <c r="B35" s="229" t="s">
        <v>342</v>
      </c>
      <c r="C35" s="231">
        <v>120000</v>
      </c>
      <c r="D35" s="227" t="s">
        <v>355</v>
      </c>
      <c r="E35" s="227"/>
    </row>
    <row r="36" spans="1:6" ht="15" x14ac:dyDescent="0.2">
      <c r="B36" s="229" t="s">
        <v>343</v>
      </c>
      <c r="C36" s="231">
        <v>15200</v>
      </c>
      <c r="D36" s="227" t="s">
        <v>356</v>
      </c>
      <c r="E36" s="227"/>
    </row>
    <row r="37" spans="1:6" ht="15" x14ac:dyDescent="0.2">
      <c r="B37" s="229" t="s">
        <v>344</v>
      </c>
      <c r="C37" s="231">
        <v>41000</v>
      </c>
      <c r="D37" s="227" t="s">
        <v>355</v>
      </c>
      <c r="E37" s="227"/>
    </row>
    <row r="38" spans="1:6" ht="15" x14ac:dyDescent="0.2">
      <c r="B38" s="229" t="s">
        <v>345</v>
      </c>
      <c r="C38" s="231">
        <v>60000</v>
      </c>
      <c r="D38" s="227" t="s">
        <v>357</v>
      </c>
      <c r="E38" s="227"/>
    </row>
    <row r="39" spans="1:6" ht="15" x14ac:dyDescent="0.2">
      <c r="B39" s="229" t="s">
        <v>346</v>
      </c>
      <c r="C39" s="231">
        <v>60000</v>
      </c>
      <c r="D39" s="227" t="s">
        <v>355</v>
      </c>
      <c r="E39" s="227"/>
    </row>
    <row r="40" spans="1:6" ht="30" x14ac:dyDescent="0.2">
      <c r="B40" s="244" t="s">
        <v>347</v>
      </c>
      <c r="C40" s="245">
        <v>50000</v>
      </c>
      <c r="D40" s="227" t="s">
        <v>355</v>
      </c>
      <c r="E40" s="227"/>
    </row>
    <row r="41" spans="1:6" ht="15" x14ac:dyDescent="0.2">
      <c r="A41" s="261"/>
      <c r="B41" s="229" t="s">
        <v>348</v>
      </c>
      <c r="C41" s="231">
        <v>40000</v>
      </c>
      <c r="D41" s="262" t="s">
        <v>358</v>
      </c>
      <c r="E41" s="227"/>
    </row>
    <row r="42" spans="1:6" ht="15" x14ac:dyDescent="0.2">
      <c r="A42" s="261"/>
      <c r="B42" s="229" t="s">
        <v>349</v>
      </c>
      <c r="C42" s="231">
        <v>30000</v>
      </c>
      <c r="D42" s="262" t="s">
        <v>358</v>
      </c>
      <c r="E42" s="227"/>
    </row>
    <row r="43" spans="1:6" ht="15" x14ac:dyDescent="0.2">
      <c r="B43" s="259" t="s">
        <v>350</v>
      </c>
      <c r="C43" s="260">
        <v>60000</v>
      </c>
      <c r="D43" s="227" t="s">
        <v>359</v>
      </c>
      <c r="E43" s="227"/>
    </row>
    <row r="44" spans="1:6" ht="15" x14ac:dyDescent="0.2">
      <c r="B44" s="229" t="s">
        <v>351</v>
      </c>
      <c r="C44" s="231">
        <v>8000</v>
      </c>
      <c r="D44" s="227" t="s">
        <v>355</v>
      </c>
      <c r="E44" s="227"/>
    </row>
  </sheetData>
  <autoFilter ref="A1:F44"/>
  <mergeCells count="7">
    <mergeCell ref="F29:F31"/>
    <mergeCell ref="F2:F5"/>
    <mergeCell ref="F6:F10"/>
    <mergeCell ref="F11:F13"/>
    <mergeCell ref="F14:F18"/>
    <mergeCell ref="F19:F21"/>
    <mergeCell ref="F22:F28"/>
  </mergeCells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="140" zoomScaleNormal="140" workbookViewId="0">
      <selection activeCell="B7" sqref="B7"/>
    </sheetView>
  </sheetViews>
  <sheetFormatPr baseColWidth="10" defaultRowHeight="14.25" x14ac:dyDescent="0.2"/>
  <cols>
    <col min="1" max="1" width="8.42578125" style="228" customWidth="1"/>
    <col min="2" max="2" width="47.5703125" style="228" customWidth="1"/>
    <col min="3" max="3" width="27.5703125" style="232" customWidth="1"/>
    <col min="4" max="4" width="26.42578125" style="228" customWidth="1"/>
    <col min="5" max="5" width="21" style="228" customWidth="1"/>
    <col min="6" max="16384" width="11.42578125" style="228"/>
  </cols>
  <sheetData>
    <row r="1" spans="1:5" ht="47.25" x14ac:dyDescent="0.2">
      <c r="A1" s="226" t="s">
        <v>296</v>
      </c>
      <c r="B1" s="226" t="s">
        <v>297</v>
      </c>
      <c r="C1" s="230" t="s">
        <v>298</v>
      </c>
      <c r="D1" s="234" t="s">
        <v>354</v>
      </c>
    </row>
    <row r="2" spans="1:5" s="398" customFormat="1" ht="30" x14ac:dyDescent="0.2">
      <c r="A2" s="394">
        <v>1</v>
      </c>
      <c r="B2" s="395" t="s">
        <v>342</v>
      </c>
      <c r="C2" s="396">
        <v>145000</v>
      </c>
      <c r="D2" s="397" t="s">
        <v>355</v>
      </c>
    </row>
    <row r="3" spans="1:5" s="398" customFormat="1" ht="30" x14ac:dyDescent="0.2">
      <c r="A3" s="394">
        <v>2</v>
      </c>
      <c r="B3" s="395" t="s">
        <v>343</v>
      </c>
      <c r="C3" s="396">
        <v>30000</v>
      </c>
      <c r="D3" s="397" t="s">
        <v>356</v>
      </c>
    </row>
    <row r="4" spans="1:5" s="398" customFormat="1" ht="30" x14ac:dyDescent="0.2">
      <c r="A4" s="394">
        <v>3</v>
      </c>
      <c r="B4" s="395" t="s">
        <v>344</v>
      </c>
      <c r="C4" s="396">
        <v>55000</v>
      </c>
      <c r="D4" s="397" t="s">
        <v>355</v>
      </c>
    </row>
    <row r="5" spans="1:5" s="398" customFormat="1" ht="30" x14ac:dyDescent="0.2">
      <c r="A5" s="394">
        <v>4</v>
      </c>
      <c r="B5" s="395" t="s">
        <v>345</v>
      </c>
      <c r="C5" s="396">
        <v>90000</v>
      </c>
      <c r="D5" s="397" t="s">
        <v>357</v>
      </c>
    </row>
    <row r="6" spans="1:5" s="398" customFormat="1" ht="28.5" x14ac:dyDescent="0.2">
      <c r="A6" s="394">
        <v>5</v>
      </c>
      <c r="B6" s="395" t="s">
        <v>346</v>
      </c>
      <c r="C6" s="396">
        <v>60000</v>
      </c>
      <c r="D6" s="397" t="s">
        <v>355</v>
      </c>
    </row>
    <row r="7" spans="1:5" s="398" customFormat="1" ht="75" customHeight="1" x14ac:dyDescent="0.2">
      <c r="A7" s="394">
        <v>6</v>
      </c>
      <c r="B7" s="395" t="s">
        <v>347</v>
      </c>
      <c r="C7" s="396">
        <v>50000</v>
      </c>
      <c r="D7" s="397" t="s">
        <v>355</v>
      </c>
    </row>
    <row r="8" spans="1:5" s="398" customFormat="1" ht="30" x14ac:dyDescent="0.2">
      <c r="A8" s="394">
        <v>7</v>
      </c>
      <c r="B8" s="395" t="s">
        <v>348</v>
      </c>
      <c r="C8" s="396">
        <v>50000</v>
      </c>
      <c r="D8" s="397" t="s">
        <v>358</v>
      </c>
    </row>
    <row r="9" spans="1:5" s="398" customFormat="1" ht="30" x14ac:dyDescent="0.2">
      <c r="A9" s="394">
        <v>10</v>
      </c>
      <c r="B9" s="395" t="s">
        <v>349</v>
      </c>
      <c r="C9" s="396">
        <v>55000</v>
      </c>
      <c r="D9" s="397" t="s">
        <v>358</v>
      </c>
      <c r="E9" s="397" t="s">
        <v>353</v>
      </c>
    </row>
    <row r="10" spans="1:5" s="398" customFormat="1" ht="20.25" customHeight="1" x14ac:dyDescent="0.2">
      <c r="A10" s="394">
        <v>11</v>
      </c>
      <c r="B10" s="395" t="s">
        <v>350</v>
      </c>
      <c r="C10" s="396">
        <v>60000</v>
      </c>
      <c r="D10" s="397" t="s">
        <v>359</v>
      </c>
    </row>
    <row r="11" spans="1:5" s="398" customFormat="1" ht="30.75" customHeight="1" x14ac:dyDescent="0.2">
      <c r="A11" s="394">
        <v>12</v>
      </c>
      <c r="B11" s="395" t="s">
        <v>351</v>
      </c>
      <c r="C11" s="396">
        <v>6000</v>
      </c>
      <c r="D11" s="397" t="s">
        <v>355</v>
      </c>
    </row>
    <row r="12" spans="1:5" s="398" customFormat="1" ht="30.75" customHeight="1" x14ac:dyDescent="0.2">
      <c r="A12" s="394">
        <v>13</v>
      </c>
      <c r="B12" s="395" t="s">
        <v>526</v>
      </c>
      <c r="C12" s="396">
        <v>35000</v>
      </c>
      <c r="D12" s="397" t="s">
        <v>358</v>
      </c>
    </row>
    <row r="13" spans="1:5" s="398" customFormat="1" ht="15.75" x14ac:dyDescent="0.2">
      <c r="A13" s="395"/>
      <c r="B13" s="395" t="s">
        <v>352</v>
      </c>
      <c r="C13" s="399">
        <f>SUM(C2:C12)</f>
        <v>636000</v>
      </c>
      <c r="D13" s="397"/>
    </row>
    <row r="14" spans="1:5" s="398" customFormat="1" x14ac:dyDescent="0.2">
      <c r="C14" s="400">
        <v>716000</v>
      </c>
    </row>
    <row r="15" spans="1:5" x14ac:dyDescent="0.2">
      <c r="C15" s="232">
        <f>C14+C13</f>
        <v>1352000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Proyecc. Ingresos</vt:lpstr>
      <vt:lpstr>Ingresos</vt:lpstr>
      <vt:lpstr>FODES25%</vt:lpstr>
      <vt:lpstr>FODES 75%</vt:lpstr>
      <vt:lpstr>Fondos Propios</vt:lpstr>
      <vt:lpstr>Sueldo Jornal (2)</vt:lpstr>
      <vt:lpstr>consolidado</vt:lpstr>
      <vt:lpstr>Inversion</vt:lpstr>
      <vt:lpstr>proy fijos</vt:lpstr>
      <vt:lpstr>Inversion (2)</vt:lpstr>
      <vt:lpstr>Hoja2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Usuario</cp:lastModifiedBy>
  <cp:lastPrinted>2018-01-25T20:40:53Z</cp:lastPrinted>
  <dcterms:created xsi:type="dcterms:W3CDTF">2015-12-20T00:33:18Z</dcterms:created>
  <dcterms:modified xsi:type="dcterms:W3CDTF">2019-02-26T15:53:53Z</dcterms:modified>
</cp:coreProperties>
</file>