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2840" windowHeight="7995"/>
  </bookViews>
  <sheets>
    <sheet name="Ingresos" sheetId="6" r:id="rId1"/>
    <sheet name="Fondos Propios" sheetId="10" r:id="rId2"/>
    <sheet name="FODES25%" sheetId="7" r:id="rId3"/>
    <sheet name="FODES 75%" sheetId="11" r:id="rId4"/>
  </sheets>
  <definedNames>
    <definedName name="_xlnm.Print_Titles" localSheetId="2">'FODES25%'!$1:$8</definedName>
    <definedName name="_xlnm.Print_Titles" localSheetId="1">'Fondos Propios'!$1:$8</definedName>
    <definedName name="_xlnm.Print_Titles" localSheetId="0">Ingresos!$1:$8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8" i="10" l="1"/>
  <c r="C93" i="7" l="1"/>
  <c r="C92" i="7" s="1"/>
  <c r="C33" i="7"/>
  <c r="C30" i="7"/>
  <c r="C14" i="7"/>
  <c r="C10" i="7"/>
  <c r="S120" i="11" l="1"/>
  <c r="S119" i="11" s="1"/>
  <c r="S118" i="11" s="1"/>
  <c r="N120" i="11"/>
  <c r="G120" i="11"/>
  <c r="G119" i="11" s="1"/>
  <c r="G118" i="11" s="1"/>
  <c r="R119" i="11"/>
  <c r="Q119" i="11"/>
  <c r="P119" i="11"/>
  <c r="P118" i="11" s="1"/>
  <c r="O119" i="11"/>
  <c r="O118" i="11" s="1"/>
  <c r="N119" i="11"/>
  <c r="M119" i="11"/>
  <c r="L119" i="11"/>
  <c r="L118" i="11" s="1"/>
  <c r="K119" i="11"/>
  <c r="K118" i="11" s="1"/>
  <c r="J119" i="11"/>
  <c r="I119" i="11"/>
  <c r="H119" i="11"/>
  <c r="H118" i="11" s="1"/>
  <c r="F119" i="11"/>
  <c r="E119" i="11"/>
  <c r="D119" i="11"/>
  <c r="D118" i="11" s="1"/>
  <c r="R118" i="11"/>
  <c r="Q118" i="11"/>
  <c r="N118" i="11"/>
  <c r="M118" i="11"/>
  <c r="J118" i="11"/>
  <c r="I118" i="11"/>
  <c r="F118" i="11"/>
  <c r="E118" i="11"/>
  <c r="S117" i="11"/>
  <c r="S116" i="11" s="1"/>
  <c r="N117" i="11"/>
  <c r="N116" i="11" s="1"/>
  <c r="N115" i="11" s="1"/>
  <c r="G117" i="11"/>
  <c r="R116" i="11"/>
  <c r="R115" i="11" s="1"/>
  <c r="Q116" i="11"/>
  <c r="Q115" i="11" s="1"/>
  <c r="P116" i="11"/>
  <c r="O116" i="11"/>
  <c r="O115" i="11" s="1"/>
  <c r="M116" i="11"/>
  <c r="M115" i="11" s="1"/>
  <c r="L116" i="11"/>
  <c r="K116" i="11"/>
  <c r="J116" i="11"/>
  <c r="J115" i="11" s="1"/>
  <c r="I116" i="11"/>
  <c r="I115" i="11" s="1"/>
  <c r="H116" i="11"/>
  <c r="G116" i="11"/>
  <c r="G115" i="11" s="1"/>
  <c r="F116" i="11"/>
  <c r="F115" i="11" s="1"/>
  <c r="E116" i="11"/>
  <c r="E115" i="11" s="1"/>
  <c r="D116" i="11"/>
  <c r="S115" i="11"/>
  <c r="P115" i="11"/>
  <c r="L115" i="11"/>
  <c r="K115" i="11"/>
  <c r="H115" i="11"/>
  <c r="D115" i="11"/>
  <c r="T114" i="11"/>
  <c r="S114" i="11"/>
  <c r="N114" i="11"/>
  <c r="G114" i="11"/>
  <c r="T113" i="11"/>
  <c r="S113" i="11"/>
  <c r="N113" i="11"/>
  <c r="G113" i="11"/>
  <c r="S112" i="11"/>
  <c r="N112" i="11"/>
  <c r="G112" i="11"/>
  <c r="S111" i="11"/>
  <c r="S107" i="11" s="1"/>
  <c r="N111" i="11"/>
  <c r="G111" i="11"/>
  <c r="S110" i="11"/>
  <c r="N110" i="11"/>
  <c r="T110" i="11" s="1"/>
  <c r="G110" i="11"/>
  <c r="S109" i="11"/>
  <c r="T109" i="11" s="1"/>
  <c r="N109" i="11"/>
  <c r="G109" i="11"/>
  <c r="S108" i="11"/>
  <c r="T108" i="11" s="1"/>
  <c r="N108" i="11"/>
  <c r="G108" i="11"/>
  <c r="G107" i="11" s="1"/>
  <c r="R107" i="11"/>
  <c r="Q107" i="11"/>
  <c r="P107" i="11"/>
  <c r="O107" i="11"/>
  <c r="M107" i="11"/>
  <c r="L107" i="11"/>
  <c r="L98" i="11" s="1"/>
  <c r="K107" i="11"/>
  <c r="J107" i="11"/>
  <c r="I107" i="11"/>
  <c r="H107" i="11"/>
  <c r="F107" i="11"/>
  <c r="E107" i="11"/>
  <c r="D107" i="11"/>
  <c r="S106" i="11"/>
  <c r="S105" i="11" s="1"/>
  <c r="N106" i="11"/>
  <c r="G106" i="11"/>
  <c r="G105" i="11" s="1"/>
  <c r="R105" i="11"/>
  <c r="Q105" i="11"/>
  <c r="P105" i="11"/>
  <c r="O105" i="11"/>
  <c r="M105" i="11"/>
  <c r="M98" i="11" s="1"/>
  <c r="L105" i="11"/>
  <c r="K105" i="11"/>
  <c r="J105" i="11"/>
  <c r="I105" i="11"/>
  <c r="H105" i="11"/>
  <c r="F105" i="11"/>
  <c r="E105" i="11"/>
  <c r="D105" i="11"/>
  <c r="D98" i="11" s="1"/>
  <c r="S104" i="11"/>
  <c r="S103" i="11" s="1"/>
  <c r="N104" i="11"/>
  <c r="G104" i="11"/>
  <c r="R103" i="11"/>
  <c r="R98" i="11" s="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S102" i="11"/>
  <c r="N102" i="11"/>
  <c r="G102" i="11"/>
  <c r="S101" i="11"/>
  <c r="N101" i="11"/>
  <c r="G101" i="11"/>
  <c r="G99" i="11" s="1"/>
  <c r="G98" i="11" s="1"/>
  <c r="S100" i="11"/>
  <c r="N100" i="11"/>
  <c r="G100" i="11"/>
  <c r="S99" i="11"/>
  <c r="R99" i="11"/>
  <c r="Q99" i="11"/>
  <c r="P99" i="11"/>
  <c r="O99" i="11"/>
  <c r="O98" i="11" s="1"/>
  <c r="M99" i="11"/>
  <c r="L99" i="11"/>
  <c r="K99" i="11"/>
  <c r="K98" i="11" s="1"/>
  <c r="J99" i="11"/>
  <c r="I99" i="11"/>
  <c r="H99" i="11"/>
  <c r="F99" i="11"/>
  <c r="E99" i="11"/>
  <c r="D99" i="11"/>
  <c r="H98" i="11"/>
  <c r="S97" i="11"/>
  <c r="G97" i="11"/>
  <c r="T96" i="11"/>
  <c r="S96" i="11"/>
  <c r="G96" i="11"/>
  <c r="S95" i="11"/>
  <c r="G95" i="11"/>
  <c r="G94" i="11" s="1"/>
  <c r="S94" i="11"/>
  <c r="R94" i="11"/>
  <c r="Q94" i="11"/>
  <c r="P94" i="11"/>
  <c r="O94" i="11"/>
  <c r="N94" i="11"/>
  <c r="M94" i="11"/>
  <c r="L94" i="11"/>
  <c r="K94" i="11"/>
  <c r="J94" i="11"/>
  <c r="I94" i="11"/>
  <c r="H94" i="11"/>
  <c r="F94" i="11"/>
  <c r="E94" i="11"/>
  <c r="D94" i="11"/>
  <c r="R93" i="11"/>
  <c r="Q93" i="11"/>
  <c r="P93" i="11"/>
  <c r="P92" i="11" s="1"/>
  <c r="O93" i="11"/>
  <c r="S93" i="11" s="1"/>
  <c r="D93" i="11"/>
  <c r="G93" i="11" s="1"/>
  <c r="G92" i="11" s="1"/>
  <c r="R92" i="11"/>
  <c r="Q92" i="11"/>
  <c r="N92" i="11"/>
  <c r="M92" i="11"/>
  <c r="L92" i="11"/>
  <c r="K92" i="11"/>
  <c r="J92" i="11"/>
  <c r="I92" i="11"/>
  <c r="H92" i="11"/>
  <c r="F92" i="11"/>
  <c r="E92" i="11"/>
  <c r="D92" i="11"/>
  <c r="D91" i="11" s="1"/>
  <c r="G91" i="11" s="1"/>
  <c r="F91" i="11"/>
  <c r="E91" i="11"/>
  <c r="S90" i="11"/>
  <c r="G90" i="11"/>
  <c r="S89" i="11"/>
  <c r="G89" i="11"/>
  <c r="R88" i="11"/>
  <c r="Q88" i="11"/>
  <c r="P88" i="11"/>
  <c r="O88" i="11"/>
  <c r="N88" i="11"/>
  <c r="M88" i="11"/>
  <c r="L88" i="11"/>
  <c r="K88" i="11"/>
  <c r="J88" i="11"/>
  <c r="I88" i="11"/>
  <c r="H88" i="11"/>
  <c r="F88" i="11"/>
  <c r="E88" i="11"/>
  <c r="D88" i="11"/>
  <c r="S87" i="11"/>
  <c r="G87" i="11"/>
  <c r="G85" i="11" s="1"/>
  <c r="S86" i="11"/>
  <c r="S85" i="11" s="1"/>
  <c r="G86" i="11"/>
  <c r="R85" i="11"/>
  <c r="Q85" i="11"/>
  <c r="P85" i="11"/>
  <c r="O85" i="11"/>
  <c r="N85" i="11"/>
  <c r="M85" i="11"/>
  <c r="L85" i="11"/>
  <c r="K85" i="11"/>
  <c r="J85" i="11"/>
  <c r="I85" i="11"/>
  <c r="H85" i="11"/>
  <c r="F85" i="11"/>
  <c r="E85" i="11"/>
  <c r="D85" i="11"/>
  <c r="D81" i="11" s="1"/>
  <c r="T84" i="11"/>
  <c r="S84" i="11"/>
  <c r="G84" i="11"/>
  <c r="T83" i="11"/>
  <c r="T82" i="11" s="1"/>
  <c r="S83" i="11"/>
  <c r="S82" i="11" s="1"/>
  <c r="G83" i="11"/>
  <c r="R82" i="11"/>
  <c r="R81" i="11" s="1"/>
  <c r="Q82" i="11"/>
  <c r="P82" i="11"/>
  <c r="O82" i="11"/>
  <c r="N82" i="11"/>
  <c r="N81" i="11" s="1"/>
  <c r="M82" i="11"/>
  <c r="L82" i="11"/>
  <c r="K82" i="11"/>
  <c r="J82" i="11"/>
  <c r="J81" i="11" s="1"/>
  <c r="I82" i="11"/>
  <c r="H82" i="11"/>
  <c r="G82" i="11"/>
  <c r="F82" i="11"/>
  <c r="F81" i="11" s="1"/>
  <c r="E82" i="11"/>
  <c r="D82" i="11"/>
  <c r="O81" i="11"/>
  <c r="K81" i="11"/>
  <c r="S80" i="11"/>
  <c r="G80" i="11"/>
  <c r="T80" i="11" s="1"/>
  <c r="T79" i="11" s="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T78" i="11"/>
  <c r="S78" i="11"/>
  <c r="G78" i="11"/>
  <c r="S77" i="11"/>
  <c r="G77" i="11"/>
  <c r="S76" i="11"/>
  <c r="G76" i="11"/>
  <c r="S75" i="11"/>
  <c r="G75" i="11"/>
  <c r="S74" i="11"/>
  <c r="T74" i="11" s="1"/>
  <c r="G74" i="11"/>
  <c r="R73" i="11"/>
  <c r="Q73" i="11"/>
  <c r="P73" i="11"/>
  <c r="O73" i="11"/>
  <c r="N73" i="11"/>
  <c r="M73" i="11"/>
  <c r="L73" i="11"/>
  <c r="K73" i="11"/>
  <c r="J73" i="11"/>
  <c r="I73" i="11"/>
  <c r="H73" i="11"/>
  <c r="F73" i="11"/>
  <c r="E73" i="11"/>
  <c r="D73" i="11"/>
  <c r="S72" i="11"/>
  <c r="T72" i="11" s="1"/>
  <c r="G72" i="11"/>
  <c r="S71" i="11"/>
  <c r="G71" i="11"/>
  <c r="S70" i="11"/>
  <c r="G70" i="11"/>
  <c r="G69" i="11" s="1"/>
  <c r="R69" i="11"/>
  <c r="Q69" i="11"/>
  <c r="P69" i="11"/>
  <c r="O69" i="11"/>
  <c r="N69" i="11"/>
  <c r="M69" i="11"/>
  <c r="L69" i="11"/>
  <c r="K69" i="11"/>
  <c r="J69" i="11"/>
  <c r="I69" i="11"/>
  <c r="H69" i="11"/>
  <c r="F69" i="11"/>
  <c r="E69" i="11"/>
  <c r="D69" i="11"/>
  <c r="S68" i="11"/>
  <c r="N68" i="11"/>
  <c r="G68" i="11"/>
  <c r="S67" i="11"/>
  <c r="N67" i="11"/>
  <c r="G67" i="11"/>
  <c r="O66" i="11"/>
  <c r="N66" i="11"/>
  <c r="G66" i="11"/>
  <c r="S65" i="11"/>
  <c r="T65" i="11" s="1"/>
  <c r="N65" i="11"/>
  <c r="G65" i="11"/>
  <c r="S64" i="11"/>
  <c r="N64" i="11"/>
  <c r="G64" i="11"/>
  <c r="O63" i="11"/>
  <c r="S63" i="11" s="1"/>
  <c r="N63" i="11"/>
  <c r="G63" i="11"/>
  <c r="O62" i="11"/>
  <c r="S62" i="11" s="1"/>
  <c r="N62" i="11"/>
  <c r="N58" i="11" s="1"/>
  <c r="N32" i="11" s="1"/>
  <c r="G62" i="11"/>
  <c r="S61" i="11"/>
  <c r="N61" i="11"/>
  <c r="G61" i="11"/>
  <c r="S60" i="11"/>
  <c r="N60" i="11"/>
  <c r="G60" i="11"/>
  <c r="S59" i="11"/>
  <c r="N59" i="11"/>
  <c r="G59" i="11"/>
  <c r="R58" i="11"/>
  <c r="Q58" i="11"/>
  <c r="P58" i="11"/>
  <c r="M58" i="11"/>
  <c r="L58" i="11"/>
  <c r="K58" i="11"/>
  <c r="J58" i="11"/>
  <c r="I58" i="11"/>
  <c r="H58" i="11"/>
  <c r="F58" i="11"/>
  <c r="E58" i="11"/>
  <c r="D58" i="11"/>
  <c r="C58" i="11"/>
  <c r="S57" i="11"/>
  <c r="N57" i="11"/>
  <c r="G57" i="11"/>
  <c r="S56" i="11"/>
  <c r="T56" i="11" s="1"/>
  <c r="N56" i="11"/>
  <c r="G56" i="11"/>
  <c r="S55" i="11"/>
  <c r="N55" i="11"/>
  <c r="C55" i="11"/>
  <c r="G55" i="11" s="1"/>
  <c r="S54" i="11"/>
  <c r="N54" i="11"/>
  <c r="C54" i="11"/>
  <c r="C52" i="11" s="1"/>
  <c r="S53" i="11"/>
  <c r="T53" i="11" s="1"/>
  <c r="N53" i="11"/>
  <c r="G53" i="11"/>
  <c r="R52" i="11"/>
  <c r="Q52" i="11"/>
  <c r="P52" i="11"/>
  <c r="O52" i="11"/>
  <c r="N52" i="11"/>
  <c r="M52" i="11"/>
  <c r="L52" i="11"/>
  <c r="K52" i="11"/>
  <c r="J52" i="11"/>
  <c r="I52" i="11"/>
  <c r="H52" i="11"/>
  <c r="F52" i="11"/>
  <c r="E52" i="11"/>
  <c r="D52" i="11"/>
  <c r="S51" i="11"/>
  <c r="N51" i="11"/>
  <c r="G51" i="11"/>
  <c r="S50" i="11"/>
  <c r="N50" i="11"/>
  <c r="G50" i="11"/>
  <c r="S49" i="11"/>
  <c r="T49" i="11" s="1"/>
  <c r="N49" i="11"/>
  <c r="G49" i="11"/>
  <c r="S48" i="11"/>
  <c r="N48" i="11"/>
  <c r="G48" i="11"/>
  <c r="S47" i="11"/>
  <c r="N47" i="11"/>
  <c r="G47" i="11"/>
  <c r="S46" i="11"/>
  <c r="N46" i="11"/>
  <c r="G46" i="11"/>
  <c r="S45" i="11"/>
  <c r="T45" i="11" s="1"/>
  <c r="N45" i="11"/>
  <c r="G45" i="11"/>
  <c r="S44" i="11"/>
  <c r="N44" i="11"/>
  <c r="G44" i="11"/>
  <c r="S43" i="11"/>
  <c r="N43" i="11"/>
  <c r="G43" i="11"/>
  <c r="S42" i="11"/>
  <c r="N42" i="11"/>
  <c r="G42" i="11"/>
  <c r="S41" i="11"/>
  <c r="T41" i="11" s="1"/>
  <c r="N41" i="11"/>
  <c r="G41" i="11"/>
  <c r="S40" i="11"/>
  <c r="N40" i="11"/>
  <c r="G40" i="11"/>
  <c r="S39" i="11"/>
  <c r="N39" i="11"/>
  <c r="G39" i="11"/>
  <c r="S38" i="11"/>
  <c r="N38" i="11"/>
  <c r="G38" i="11"/>
  <c r="S37" i="11"/>
  <c r="T37" i="11" s="1"/>
  <c r="N37" i="11"/>
  <c r="G37" i="11"/>
  <c r="S36" i="11"/>
  <c r="N36" i="11"/>
  <c r="C36" i="11"/>
  <c r="S35" i="11"/>
  <c r="N35" i="11"/>
  <c r="G35" i="11"/>
  <c r="T35" i="11" s="1"/>
  <c r="S34" i="11"/>
  <c r="N34" i="11"/>
  <c r="G34" i="11"/>
  <c r="R33" i="11"/>
  <c r="Q33" i="11"/>
  <c r="P33" i="11"/>
  <c r="P32" i="11" s="1"/>
  <c r="O33" i="11"/>
  <c r="N33" i="11"/>
  <c r="M33" i="11"/>
  <c r="L33" i="11"/>
  <c r="K33" i="11"/>
  <c r="J33" i="11"/>
  <c r="I33" i="11"/>
  <c r="H33" i="11"/>
  <c r="F33" i="11"/>
  <c r="E33" i="11"/>
  <c r="D33" i="11"/>
  <c r="D32" i="11" s="1"/>
  <c r="K32" i="11"/>
  <c r="F32" i="11"/>
  <c r="S31" i="11"/>
  <c r="N31" i="11"/>
  <c r="G31" i="11"/>
  <c r="G30" i="11" s="1"/>
  <c r="S30" i="11"/>
  <c r="R30" i="11"/>
  <c r="Q30" i="11"/>
  <c r="P30" i="11"/>
  <c r="O30" i="11"/>
  <c r="N30" i="11"/>
  <c r="M30" i="11"/>
  <c r="L30" i="11"/>
  <c r="K30" i="11"/>
  <c r="J30" i="11"/>
  <c r="I30" i="11"/>
  <c r="H30" i="11"/>
  <c r="F30" i="11"/>
  <c r="E30" i="11"/>
  <c r="D30" i="11"/>
  <c r="C30" i="11"/>
  <c r="S29" i="11"/>
  <c r="S27" i="11" s="1"/>
  <c r="N29" i="11"/>
  <c r="G29" i="11"/>
  <c r="S28" i="11"/>
  <c r="N28" i="11"/>
  <c r="N27" i="11" s="1"/>
  <c r="G28" i="11"/>
  <c r="R27" i="11"/>
  <c r="Q27" i="11"/>
  <c r="P27" i="11"/>
  <c r="O27" i="11"/>
  <c r="M27" i="11"/>
  <c r="L27" i="11"/>
  <c r="K27" i="11"/>
  <c r="J27" i="11"/>
  <c r="I27" i="11"/>
  <c r="H27" i="11"/>
  <c r="G27" i="11"/>
  <c r="F27" i="11"/>
  <c r="E27" i="11"/>
  <c r="D27" i="11"/>
  <c r="C27" i="11"/>
  <c r="S26" i="11"/>
  <c r="T26" i="11" s="1"/>
  <c r="S25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O23" i="11"/>
  <c r="S23" i="11" s="1"/>
  <c r="T23" i="11" s="1"/>
  <c r="N23" i="11"/>
  <c r="G23" i="11"/>
  <c r="R22" i="11"/>
  <c r="R21" i="11" s="1"/>
  <c r="Q22" i="11"/>
  <c r="Q21" i="11" s="1"/>
  <c r="P22" i="11"/>
  <c r="O22" i="11"/>
  <c r="N22" i="11"/>
  <c r="N21" i="11" s="1"/>
  <c r="G22" i="11"/>
  <c r="P21" i="11"/>
  <c r="O21" i="11"/>
  <c r="M21" i="11"/>
  <c r="L21" i="11"/>
  <c r="K21" i="11"/>
  <c r="J21" i="11"/>
  <c r="I21" i="11"/>
  <c r="H21" i="11"/>
  <c r="G21" i="11"/>
  <c r="F21" i="11"/>
  <c r="E21" i="11"/>
  <c r="D21" i="11"/>
  <c r="C21" i="11"/>
  <c r="O20" i="11"/>
  <c r="S20" i="11" s="1"/>
  <c r="N20" i="11"/>
  <c r="G20" i="11"/>
  <c r="G18" i="11" s="1"/>
  <c r="R19" i="11"/>
  <c r="R18" i="11" s="1"/>
  <c r="Q19" i="11"/>
  <c r="P19" i="11"/>
  <c r="O19" i="11"/>
  <c r="O18" i="11" s="1"/>
  <c r="O9" i="11" s="1"/>
  <c r="N19" i="11"/>
  <c r="N18" i="11" s="1"/>
  <c r="G19" i="11"/>
  <c r="Q18" i="11"/>
  <c r="P18" i="11"/>
  <c r="M18" i="11"/>
  <c r="L18" i="11"/>
  <c r="K18" i="11"/>
  <c r="J18" i="11"/>
  <c r="J9" i="11" s="1"/>
  <c r="I18" i="11"/>
  <c r="H18" i="11"/>
  <c r="F18" i="11"/>
  <c r="E18" i="11"/>
  <c r="D18" i="11"/>
  <c r="C18" i="11"/>
  <c r="T17" i="11"/>
  <c r="S17" i="11"/>
  <c r="N17" i="11"/>
  <c r="G17" i="11"/>
  <c r="T16" i="11"/>
  <c r="S16" i="11"/>
  <c r="N16" i="11"/>
  <c r="G16" i="11"/>
  <c r="T15" i="11"/>
  <c r="T14" i="11" s="1"/>
  <c r="S15" i="11"/>
  <c r="N15" i="11"/>
  <c r="G15" i="11"/>
  <c r="G14" i="11" s="1"/>
  <c r="S14" i="11"/>
  <c r="R14" i="11"/>
  <c r="Q14" i="11"/>
  <c r="P14" i="11"/>
  <c r="O14" i="11"/>
  <c r="N14" i="11"/>
  <c r="M14" i="11"/>
  <c r="L14" i="11"/>
  <c r="K14" i="11"/>
  <c r="J14" i="11"/>
  <c r="I14" i="11"/>
  <c r="H14" i="11"/>
  <c r="F14" i="11"/>
  <c r="E14" i="11"/>
  <c r="D14" i="11"/>
  <c r="C14" i="11"/>
  <c r="C9" i="11" s="1"/>
  <c r="S13" i="11"/>
  <c r="N13" i="11"/>
  <c r="G13" i="11"/>
  <c r="S12" i="11"/>
  <c r="N12" i="11"/>
  <c r="F12" i="11"/>
  <c r="G12" i="11" s="1"/>
  <c r="S11" i="11"/>
  <c r="N11" i="11"/>
  <c r="F11" i="11"/>
  <c r="R10" i="11"/>
  <c r="Q10" i="11"/>
  <c r="P10" i="11"/>
  <c r="O10" i="11"/>
  <c r="M10" i="11"/>
  <c r="L10" i="11"/>
  <c r="L9" i="11" s="1"/>
  <c r="K10" i="11"/>
  <c r="J10" i="11"/>
  <c r="I10" i="11"/>
  <c r="H10" i="11"/>
  <c r="H9" i="11" s="1"/>
  <c r="E10" i="11"/>
  <c r="D10" i="11"/>
  <c r="C10" i="11"/>
  <c r="K9" i="11"/>
  <c r="J32" i="11" l="1"/>
  <c r="Q81" i="11"/>
  <c r="S98" i="11"/>
  <c r="J98" i="11"/>
  <c r="S22" i="11"/>
  <c r="S33" i="11"/>
  <c r="T40" i="11"/>
  <c r="T44" i="11"/>
  <c r="T48" i="11"/>
  <c r="S52" i="11"/>
  <c r="T64" i="11"/>
  <c r="T68" i="11"/>
  <c r="T75" i="11"/>
  <c r="S73" i="11"/>
  <c r="T86" i="11"/>
  <c r="E81" i="11"/>
  <c r="T95" i="11"/>
  <c r="N99" i="11"/>
  <c r="T102" i="11"/>
  <c r="E98" i="11"/>
  <c r="T111" i="11"/>
  <c r="T120" i="11"/>
  <c r="T119" i="11" s="1"/>
  <c r="T118" i="11" s="1"/>
  <c r="K121" i="11"/>
  <c r="K122" i="11" s="1"/>
  <c r="K123" i="11" s="1"/>
  <c r="Q9" i="11"/>
  <c r="J121" i="11"/>
  <c r="J122" i="11" s="1"/>
  <c r="J123" i="11" s="1"/>
  <c r="R32" i="11"/>
  <c r="I81" i="11"/>
  <c r="F98" i="11"/>
  <c r="H32" i="11"/>
  <c r="L32" i="11"/>
  <c r="T39" i="11"/>
  <c r="T43" i="11"/>
  <c r="T47" i="11"/>
  <c r="T51" i="11"/>
  <c r="G58" i="11"/>
  <c r="T61" i="11"/>
  <c r="G73" i="11"/>
  <c r="G88" i="11"/>
  <c r="G81" i="11" s="1"/>
  <c r="T97" i="11"/>
  <c r="T12" i="11"/>
  <c r="M81" i="11"/>
  <c r="R9" i="11"/>
  <c r="R121" i="11" s="1"/>
  <c r="R122" i="11" s="1"/>
  <c r="R123" i="11" s="1"/>
  <c r="T38" i="11"/>
  <c r="T42" i="11"/>
  <c r="T46" i="11"/>
  <c r="T50" i="11"/>
  <c r="T57" i="11"/>
  <c r="T62" i="11"/>
  <c r="O58" i="11"/>
  <c r="O32" i="11" s="1"/>
  <c r="O121" i="11" s="1"/>
  <c r="O122" i="11" s="1"/>
  <c r="O123" i="11" s="1"/>
  <c r="T71" i="11"/>
  <c r="H81" i="11"/>
  <c r="L81" i="11"/>
  <c r="P81" i="11"/>
  <c r="O92" i="11"/>
  <c r="Q98" i="11"/>
  <c r="T106" i="11"/>
  <c r="T105" i="11" s="1"/>
  <c r="P98" i="11"/>
  <c r="T112" i="11"/>
  <c r="T107" i="11" s="1"/>
  <c r="N105" i="11"/>
  <c r="T100" i="11"/>
  <c r="N107" i="11"/>
  <c r="N98" i="11" s="1"/>
  <c r="I98" i="11"/>
  <c r="T101" i="11"/>
  <c r="T22" i="11"/>
  <c r="T21" i="11" s="1"/>
  <c r="S21" i="11"/>
  <c r="S92" i="11"/>
  <c r="S91" i="11" s="1"/>
  <c r="T93" i="11"/>
  <c r="T92" i="11" s="1"/>
  <c r="C121" i="11"/>
  <c r="C122" i="11" s="1"/>
  <c r="C123" i="11" s="1"/>
  <c r="H121" i="11"/>
  <c r="H122" i="11" s="1"/>
  <c r="H123" i="11" s="1"/>
  <c r="T70" i="11"/>
  <c r="S69" i="11"/>
  <c r="I9" i="11"/>
  <c r="M9" i="11"/>
  <c r="S10" i="11"/>
  <c r="N10" i="11"/>
  <c r="N9" i="11" s="1"/>
  <c r="T13" i="11"/>
  <c r="T20" i="11"/>
  <c r="S24" i="11"/>
  <c r="T25" i="11"/>
  <c r="T24" i="11" s="1"/>
  <c r="I32" i="11"/>
  <c r="M32" i="11"/>
  <c r="Q32" i="11"/>
  <c r="Q121" i="11" s="1"/>
  <c r="Q122" i="11" s="1"/>
  <c r="Q123" i="11" s="1"/>
  <c r="T55" i="11"/>
  <c r="T60" i="11"/>
  <c r="T67" i="11"/>
  <c r="T77" i="11"/>
  <c r="T87" i="11"/>
  <c r="L121" i="11"/>
  <c r="L122" i="11" s="1"/>
  <c r="L123" i="11" s="1"/>
  <c r="S88" i="11"/>
  <c r="S81" i="11" s="1"/>
  <c r="T90" i="11"/>
  <c r="S19" i="11"/>
  <c r="E32" i="11"/>
  <c r="T59" i="11"/>
  <c r="T63" i="11"/>
  <c r="T76" i="11"/>
  <c r="T89" i="11"/>
  <c r="T88" i="11" s="1"/>
  <c r="T94" i="11"/>
  <c r="C33" i="11"/>
  <c r="C32" i="11" s="1"/>
  <c r="G36" i="11"/>
  <c r="G33" i="11" s="1"/>
  <c r="D9" i="11"/>
  <c r="D121" i="11" s="1"/>
  <c r="D122" i="11" s="1"/>
  <c r="D123" i="11" s="1"/>
  <c r="T29" i="11"/>
  <c r="G54" i="11"/>
  <c r="T54" i="11" s="1"/>
  <c r="S66" i="11"/>
  <c r="T66" i="11" s="1"/>
  <c r="E9" i="11"/>
  <c r="P9" i="11"/>
  <c r="P121" i="11" s="1"/>
  <c r="P122" i="11" s="1"/>
  <c r="P123" i="11" s="1"/>
  <c r="G11" i="11"/>
  <c r="F10" i="11"/>
  <c r="F9" i="11" s="1"/>
  <c r="F121" i="11" s="1"/>
  <c r="F122" i="11" s="1"/>
  <c r="F123" i="11" s="1"/>
  <c r="T28" i="11"/>
  <c r="T27" i="11" s="1"/>
  <c r="T31" i="11"/>
  <c r="T30" i="11" s="1"/>
  <c r="T34" i="11"/>
  <c r="T36" i="11"/>
  <c r="T99" i="11"/>
  <c r="T104" i="11"/>
  <c r="T103" i="11" s="1"/>
  <c r="T117" i="11"/>
  <c r="T116" i="11" s="1"/>
  <c r="T115" i="11" s="1"/>
  <c r="T52" i="11" l="1"/>
  <c r="T73" i="11"/>
  <c r="T69" i="11"/>
  <c r="T85" i="11"/>
  <c r="T81" i="11" s="1"/>
  <c r="N121" i="11"/>
  <c r="N122" i="11" s="1"/>
  <c r="N123" i="11" s="1"/>
  <c r="N126" i="11" s="1"/>
  <c r="G10" i="11"/>
  <c r="G9" i="11" s="1"/>
  <c r="T11" i="11"/>
  <c r="T10" i="11" s="1"/>
  <c r="T9" i="11" s="1"/>
  <c r="S58" i="11"/>
  <c r="S32" i="11" s="1"/>
  <c r="M121" i="11"/>
  <c r="M122" i="11" s="1"/>
  <c r="M123" i="11" s="1"/>
  <c r="T58" i="11"/>
  <c r="T33" i="11"/>
  <c r="G52" i="11"/>
  <c r="G32" i="11" s="1"/>
  <c r="T19" i="11"/>
  <c r="T18" i="11" s="1"/>
  <c r="S18" i="11"/>
  <c r="S9" i="11" s="1"/>
  <c r="S121" i="11" s="1"/>
  <c r="S122" i="11" s="1"/>
  <c r="S123" i="11" s="1"/>
  <c r="T98" i="11"/>
  <c r="E121" i="11"/>
  <c r="E122" i="11" s="1"/>
  <c r="E123" i="11" s="1"/>
  <c r="I121" i="11"/>
  <c r="I122" i="11" s="1"/>
  <c r="I123" i="11" s="1"/>
  <c r="T91" i="11"/>
  <c r="T32" i="11" l="1"/>
  <c r="G121" i="11"/>
  <c r="G122" i="11" s="1"/>
  <c r="G123" i="11" s="1"/>
  <c r="T121" i="11"/>
  <c r="T122" i="11" s="1"/>
  <c r="T123" i="11" s="1"/>
  <c r="O19" i="10" l="1"/>
  <c r="O57" i="10"/>
  <c r="O55" i="10" s="1"/>
  <c r="C55" i="7"/>
  <c r="O97" i="10"/>
  <c r="F11" i="7"/>
  <c r="F12" i="7"/>
  <c r="G12" i="7" s="1"/>
  <c r="R11" i="10"/>
  <c r="G31" i="7"/>
  <c r="G30" i="7"/>
  <c r="G15" i="7"/>
  <c r="G13" i="7"/>
  <c r="G11" i="7"/>
  <c r="F10" i="7"/>
  <c r="E10" i="7"/>
  <c r="D10" i="7"/>
  <c r="S72" i="10"/>
  <c r="S71" i="10"/>
  <c r="S70" i="10"/>
  <c r="S69" i="10"/>
  <c r="S68" i="10"/>
  <c r="S67" i="10"/>
  <c r="S66" i="10"/>
  <c r="S65" i="10"/>
  <c r="S64" i="10"/>
  <c r="S63" i="10"/>
  <c r="S62" i="10"/>
  <c r="S60" i="10"/>
  <c r="S59" i="10"/>
  <c r="S58" i="10"/>
  <c r="S57" i="10"/>
  <c r="S55" i="10" s="1"/>
  <c r="S56" i="10"/>
  <c r="S54" i="10"/>
  <c r="S52" i="10"/>
  <c r="S51" i="10"/>
  <c r="S50" i="10"/>
  <c r="S49" i="10"/>
  <c r="S47" i="10"/>
  <c r="S46" i="10"/>
  <c r="S45" i="10"/>
  <c r="S44" i="10"/>
  <c r="S43" i="10"/>
  <c r="S42" i="10"/>
  <c r="S40" i="10"/>
  <c r="S39" i="10"/>
  <c r="S38" i="10"/>
  <c r="S37" i="10"/>
  <c r="S32" i="10"/>
  <c r="S31" i="10"/>
  <c r="S30" i="10" s="1"/>
  <c r="S29" i="10"/>
  <c r="S28" i="10"/>
  <c r="S27" i="10"/>
  <c r="S26" i="10"/>
  <c r="S23" i="10"/>
  <c r="S19" i="10"/>
  <c r="S13" i="10"/>
  <c r="S12" i="10"/>
  <c r="O77" i="10"/>
  <c r="O73" i="10"/>
  <c r="O61" i="10"/>
  <c r="O33" i="10"/>
  <c r="O30" i="10"/>
  <c r="O27" i="10"/>
  <c r="G10" i="7" l="1"/>
  <c r="S61" i="10"/>
  <c r="R25" i="10" l="1"/>
  <c r="Q25" i="10"/>
  <c r="P25" i="10"/>
  <c r="O25" i="10"/>
  <c r="O22" i="10"/>
  <c r="P22" i="10"/>
  <c r="O18" i="10"/>
  <c r="S18" i="10" s="1"/>
  <c r="O21" i="10" l="1"/>
  <c r="S25" i="10"/>
  <c r="S24" i="10" s="1"/>
  <c r="O24" i="10"/>
  <c r="R22" i="10"/>
  <c r="R21" i="10" s="1"/>
  <c r="Q22" i="10"/>
  <c r="S22" i="10" s="1"/>
  <c r="S21" i="10" s="1"/>
  <c r="O17" i="10"/>
  <c r="Q10" i="10"/>
  <c r="R97" i="10"/>
  <c r="Q97" i="10"/>
  <c r="P97" i="10"/>
  <c r="S97" i="10" s="1"/>
  <c r="C10" i="10"/>
  <c r="D10" i="10"/>
  <c r="E10" i="10"/>
  <c r="H10" i="10"/>
  <c r="I10" i="10"/>
  <c r="J10" i="10"/>
  <c r="J9" i="10" s="1"/>
  <c r="K10" i="10"/>
  <c r="L10" i="10"/>
  <c r="M10" i="10"/>
  <c r="P10" i="10"/>
  <c r="F11" i="10"/>
  <c r="F10" i="10" s="1"/>
  <c r="N11" i="10"/>
  <c r="O11" i="10"/>
  <c r="R10" i="10"/>
  <c r="F12" i="10"/>
  <c r="G12" i="10" s="1"/>
  <c r="T12" i="10" s="1"/>
  <c r="N12" i="10"/>
  <c r="G13" i="10"/>
  <c r="N13" i="10"/>
  <c r="T13" i="10"/>
  <c r="S14" i="10"/>
  <c r="S15" i="10"/>
  <c r="S16" i="10"/>
  <c r="C17" i="10"/>
  <c r="D17" i="10"/>
  <c r="E17" i="10"/>
  <c r="F17" i="10"/>
  <c r="H17" i="10"/>
  <c r="I17" i="10"/>
  <c r="J17" i="10"/>
  <c r="K17" i="10"/>
  <c r="L17" i="10"/>
  <c r="M17" i="10"/>
  <c r="P17" i="10"/>
  <c r="Q17" i="10"/>
  <c r="R17" i="10"/>
  <c r="G18" i="10"/>
  <c r="G17" i="10" s="1"/>
  <c r="N18" i="10"/>
  <c r="N17" i="10" s="1"/>
  <c r="G19" i="10"/>
  <c r="N19" i="10"/>
  <c r="T19" i="10"/>
  <c r="G20" i="10"/>
  <c r="N20" i="10"/>
  <c r="S20" i="10"/>
  <c r="T20" i="10" s="1"/>
  <c r="C21" i="10"/>
  <c r="D21" i="10"/>
  <c r="E21" i="10"/>
  <c r="F21" i="10"/>
  <c r="H21" i="10"/>
  <c r="I21" i="10"/>
  <c r="J21" i="10"/>
  <c r="K21" i="10"/>
  <c r="L21" i="10"/>
  <c r="M21" i="10"/>
  <c r="G22" i="10"/>
  <c r="N22" i="10"/>
  <c r="N21" i="10" s="1"/>
  <c r="Q21" i="10"/>
  <c r="G23" i="10"/>
  <c r="N23" i="10"/>
  <c r="T23" i="10"/>
  <c r="C24" i="10"/>
  <c r="D24" i="10"/>
  <c r="E24" i="10"/>
  <c r="F24" i="10"/>
  <c r="H24" i="10"/>
  <c r="I24" i="10"/>
  <c r="J24" i="10"/>
  <c r="K24" i="10"/>
  <c r="L24" i="10"/>
  <c r="M24" i="10"/>
  <c r="G25" i="10"/>
  <c r="G24" i="10" s="1"/>
  <c r="N25" i="10"/>
  <c r="P24" i="10"/>
  <c r="Q24" i="10"/>
  <c r="R24" i="10"/>
  <c r="G26" i="10"/>
  <c r="N26" i="10"/>
  <c r="T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P27" i="10"/>
  <c r="Q27" i="10"/>
  <c r="R27" i="10"/>
  <c r="T29" i="10"/>
  <c r="C30" i="10"/>
  <c r="D30" i="10"/>
  <c r="E30" i="10"/>
  <c r="F30" i="10"/>
  <c r="H30" i="10"/>
  <c r="I30" i="10"/>
  <c r="J30" i="10"/>
  <c r="K30" i="10"/>
  <c r="L30" i="10"/>
  <c r="M30" i="10"/>
  <c r="P30" i="10"/>
  <c r="Q30" i="10"/>
  <c r="R30" i="10"/>
  <c r="G31" i="10"/>
  <c r="G30" i="10" s="1"/>
  <c r="N31" i="10"/>
  <c r="N30" i="10" s="1"/>
  <c r="G32" i="10"/>
  <c r="N32" i="10"/>
  <c r="T32" i="10"/>
  <c r="C33" i="10"/>
  <c r="D33" i="10"/>
  <c r="E33" i="10"/>
  <c r="F33" i="10"/>
  <c r="H33" i="10"/>
  <c r="I33" i="10"/>
  <c r="J33" i="10"/>
  <c r="K33" i="10"/>
  <c r="L33" i="10"/>
  <c r="M33" i="10"/>
  <c r="P33" i="10"/>
  <c r="Q33" i="10"/>
  <c r="R33" i="10"/>
  <c r="G34" i="10"/>
  <c r="G33" i="10" s="1"/>
  <c r="N34" i="10"/>
  <c r="N33" i="10" s="1"/>
  <c r="S34" i="10"/>
  <c r="S33" i="10" s="1"/>
  <c r="D36" i="10"/>
  <c r="E36" i="10"/>
  <c r="F36" i="10"/>
  <c r="F35" i="10" s="1"/>
  <c r="H36" i="10"/>
  <c r="I36" i="10"/>
  <c r="J36" i="10"/>
  <c r="J35" i="10" s="1"/>
  <c r="K36" i="10"/>
  <c r="K35" i="10" s="1"/>
  <c r="L36" i="10"/>
  <c r="M36" i="10"/>
  <c r="P36" i="10"/>
  <c r="Q36" i="10"/>
  <c r="Q35" i="10" s="1"/>
  <c r="R36" i="10"/>
  <c r="G37" i="10"/>
  <c r="N37" i="10"/>
  <c r="G38" i="10"/>
  <c r="N38" i="10"/>
  <c r="T38" i="10"/>
  <c r="C39" i="10"/>
  <c r="C36" i="10" s="1"/>
  <c r="N39" i="10"/>
  <c r="G40" i="10"/>
  <c r="N40" i="10"/>
  <c r="G41" i="10"/>
  <c r="N41" i="10"/>
  <c r="S41" i="10"/>
  <c r="G42" i="10"/>
  <c r="N42" i="10"/>
  <c r="G43" i="10"/>
  <c r="T43" i="10" s="1"/>
  <c r="N43" i="10"/>
  <c r="G44" i="10"/>
  <c r="N44" i="10"/>
  <c r="T44" i="10" s="1"/>
  <c r="G45" i="10"/>
  <c r="N45" i="10"/>
  <c r="T45" i="10"/>
  <c r="G46" i="10"/>
  <c r="N46" i="10"/>
  <c r="T46" i="10"/>
  <c r="G47" i="10"/>
  <c r="T47" i="10" s="1"/>
  <c r="N47" i="10"/>
  <c r="G48" i="10"/>
  <c r="N48" i="10"/>
  <c r="O48" i="10"/>
  <c r="G49" i="10"/>
  <c r="N49" i="10"/>
  <c r="T49" i="10" s="1"/>
  <c r="G50" i="10"/>
  <c r="N50" i="10"/>
  <c r="T50" i="10"/>
  <c r="G51" i="10"/>
  <c r="N51" i="10"/>
  <c r="T51" i="10"/>
  <c r="G52" i="10"/>
  <c r="T52" i="10" s="1"/>
  <c r="N52" i="10"/>
  <c r="G53" i="10"/>
  <c r="N53" i="10"/>
  <c r="S53" i="10"/>
  <c r="G54" i="10"/>
  <c r="N54" i="10"/>
  <c r="T54" i="10"/>
  <c r="D55" i="10"/>
  <c r="E55" i="10"/>
  <c r="F55" i="10"/>
  <c r="H55" i="10"/>
  <c r="I55" i="10"/>
  <c r="J55" i="10"/>
  <c r="K55" i="10"/>
  <c r="L55" i="10"/>
  <c r="M55" i="10"/>
  <c r="P55" i="10"/>
  <c r="Q55" i="10"/>
  <c r="R55" i="10"/>
  <c r="G56" i="10"/>
  <c r="N56" i="10"/>
  <c r="C57" i="10"/>
  <c r="G57" i="10"/>
  <c r="N57" i="10"/>
  <c r="AA57" i="10"/>
  <c r="C58" i="10"/>
  <c r="N58" i="10"/>
  <c r="AA58" i="10"/>
  <c r="G59" i="10"/>
  <c r="N59" i="10"/>
  <c r="T59" i="10" s="1"/>
  <c r="AA59" i="10"/>
  <c r="G60" i="10"/>
  <c r="N60" i="10"/>
  <c r="T60" i="10" s="1"/>
  <c r="AA60" i="10"/>
  <c r="C61" i="10"/>
  <c r="D61" i="10"/>
  <c r="E61" i="10"/>
  <c r="F61" i="10"/>
  <c r="H61" i="10"/>
  <c r="I61" i="10"/>
  <c r="J61" i="10"/>
  <c r="K61" i="10"/>
  <c r="L61" i="10"/>
  <c r="M61" i="10"/>
  <c r="P61" i="10"/>
  <c r="Q61" i="10"/>
  <c r="R61" i="10"/>
  <c r="G62" i="10"/>
  <c r="N62" i="10"/>
  <c r="G63" i="10"/>
  <c r="N63" i="10"/>
  <c r="T63" i="10" s="1"/>
  <c r="G64" i="10"/>
  <c r="N64" i="10"/>
  <c r="T64" i="10"/>
  <c r="G65" i="10"/>
  <c r="N65" i="10"/>
  <c r="G66" i="10"/>
  <c r="N66" i="10"/>
  <c r="G67" i="10"/>
  <c r="N67" i="10"/>
  <c r="T67" i="10" s="1"/>
  <c r="G68" i="10"/>
  <c r="N68" i="10"/>
  <c r="T68" i="10" s="1"/>
  <c r="G69" i="10"/>
  <c r="N69" i="10"/>
  <c r="G70" i="10"/>
  <c r="N70" i="10"/>
  <c r="T70" i="10" s="1"/>
  <c r="G71" i="10"/>
  <c r="N71" i="10"/>
  <c r="T71" i="10" s="1"/>
  <c r="D73" i="10"/>
  <c r="E73" i="10"/>
  <c r="F73" i="10"/>
  <c r="H73" i="10"/>
  <c r="I73" i="10"/>
  <c r="J73" i="10"/>
  <c r="K73" i="10"/>
  <c r="L73" i="10"/>
  <c r="M73" i="10"/>
  <c r="N73" i="10"/>
  <c r="P73" i="10"/>
  <c r="Q73" i="10"/>
  <c r="R73" i="10"/>
  <c r="G74" i="10"/>
  <c r="S74" i="10"/>
  <c r="S73" i="10" s="1"/>
  <c r="G75" i="10"/>
  <c r="S75" i="10"/>
  <c r="T75" i="10"/>
  <c r="G76" i="10"/>
  <c r="S76" i="10"/>
  <c r="D77" i="10"/>
  <c r="E77" i="10"/>
  <c r="F77" i="10"/>
  <c r="H77" i="10"/>
  <c r="I77" i="10"/>
  <c r="J77" i="10"/>
  <c r="K77" i="10"/>
  <c r="L77" i="10"/>
  <c r="M77" i="10"/>
  <c r="N77" i="10"/>
  <c r="P77" i="10"/>
  <c r="Q77" i="10"/>
  <c r="R77" i="10"/>
  <c r="G78" i="10"/>
  <c r="S78" i="10"/>
  <c r="G79" i="10"/>
  <c r="S79" i="10"/>
  <c r="G80" i="10"/>
  <c r="G81" i="10"/>
  <c r="S81" i="10"/>
  <c r="G82" i="10"/>
  <c r="S82" i="10"/>
  <c r="T82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G84" i="10"/>
  <c r="S84" i="10"/>
  <c r="T84" i="10"/>
  <c r="T83" i="10" s="1"/>
  <c r="D86" i="10"/>
  <c r="D85" i="10" s="1"/>
  <c r="E86" i="10"/>
  <c r="F86" i="10"/>
  <c r="F85" i="10" s="1"/>
  <c r="H86" i="10"/>
  <c r="I86" i="10"/>
  <c r="J86" i="10"/>
  <c r="K86" i="10"/>
  <c r="L86" i="10"/>
  <c r="M86" i="10"/>
  <c r="N86" i="10"/>
  <c r="O86" i="10"/>
  <c r="P86" i="10"/>
  <c r="Q86" i="10"/>
  <c r="R86" i="10"/>
  <c r="G87" i="10"/>
  <c r="S87" i="10"/>
  <c r="G88" i="10"/>
  <c r="T88" i="10" s="1"/>
  <c r="S88" i="10"/>
  <c r="D89" i="10"/>
  <c r="E89" i="10"/>
  <c r="F89" i="10"/>
  <c r="H89" i="10"/>
  <c r="I89" i="10"/>
  <c r="J89" i="10"/>
  <c r="K89" i="10"/>
  <c r="L89" i="10"/>
  <c r="M89" i="10"/>
  <c r="N89" i="10"/>
  <c r="O89" i="10"/>
  <c r="P89" i="10"/>
  <c r="Q89" i="10"/>
  <c r="R89" i="10"/>
  <c r="G90" i="10"/>
  <c r="G89" i="10" s="1"/>
  <c r="S90" i="10"/>
  <c r="T90" i="10" s="1"/>
  <c r="G91" i="10"/>
  <c r="T91" i="10" s="1"/>
  <c r="S91" i="10"/>
  <c r="D92" i="10"/>
  <c r="E92" i="10"/>
  <c r="F92" i="10"/>
  <c r="H92" i="10"/>
  <c r="I92" i="10"/>
  <c r="J92" i="10"/>
  <c r="K92" i="10"/>
  <c r="K85" i="10" s="1"/>
  <c r="L92" i="10"/>
  <c r="M92" i="10"/>
  <c r="N92" i="10"/>
  <c r="O92" i="10"/>
  <c r="P92" i="10"/>
  <c r="Q92" i="10"/>
  <c r="R92" i="10"/>
  <c r="G93" i="10"/>
  <c r="G92" i="10" s="1"/>
  <c r="S93" i="10"/>
  <c r="T93" i="10" s="1"/>
  <c r="T92" i="10" s="1"/>
  <c r="G94" i="10"/>
  <c r="S94" i="10"/>
  <c r="T94" i="10" s="1"/>
  <c r="E96" i="10"/>
  <c r="E95" i="10" s="1"/>
  <c r="F96" i="10"/>
  <c r="F95" i="10" s="1"/>
  <c r="H96" i="10"/>
  <c r="I96" i="10"/>
  <c r="J96" i="10"/>
  <c r="K96" i="10"/>
  <c r="L96" i="10"/>
  <c r="M96" i="10"/>
  <c r="N96" i="10"/>
  <c r="R96" i="10"/>
  <c r="D97" i="10"/>
  <c r="D96" i="10" s="1"/>
  <c r="D95" i="10" s="1"/>
  <c r="O96" i="10"/>
  <c r="O95" i="10" s="1"/>
  <c r="Q96" i="10"/>
  <c r="D98" i="10"/>
  <c r="E98" i="10"/>
  <c r="F98" i="10"/>
  <c r="H98" i="10"/>
  <c r="I98" i="10"/>
  <c r="J98" i="10"/>
  <c r="K98" i="10"/>
  <c r="L98" i="10"/>
  <c r="M98" i="10"/>
  <c r="N98" i="10"/>
  <c r="P98" i="10"/>
  <c r="Q98" i="10"/>
  <c r="R98" i="10"/>
  <c r="G99" i="10"/>
  <c r="S99" i="10"/>
  <c r="G100" i="10"/>
  <c r="S100" i="10"/>
  <c r="S101" i="10"/>
  <c r="G102" i="10"/>
  <c r="S102" i="10"/>
  <c r="T102" i="10" s="1"/>
  <c r="D104" i="10"/>
  <c r="E104" i="10"/>
  <c r="F104" i="10"/>
  <c r="H104" i="10"/>
  <c r="I104" i="10"/>
  <c r="J104" i="10"/>
  <c r="K104" i="10"/>
  <c r="L104" i="10"/>
  <c r="M104" i="10"/>
  <c r="O104" i="10"/>
  <c r="P104" i="10"/>
  <c r="Q104" i="10"/>
  <c r="R104" i="10"/>
  <c r="G105" i="10"/>
  <c r="N105" i="10"/>
  <c r="N104" i="10" s="1"/>
  <c r="S105" i="10"/>
  <c r="S104" i="10" s="1"/>
  <c r="G106" i="10"/>
  <c r="N106" i="10"/>
  <c r="S106" i="10"/>
  <c r="G107" i="10"/>
  <c r="N107" i="10"/>
  <c r="S107" i="10"/>
  <c r="D108" i="10"/>
  <c r="E108" i="10"/>
  <c r="F108" i="10"/>
  <c r="H108" i="10"/>
  <c r="I108" i="10"/>
  <c r="J108" i="10"/>
  <c r="J103" i="10" s="1"/>
  <c r="K108" i="10"/>
  <c r="L108" i="10"/>
  <c r="M108" i="10"/>
  <c r="O108" i="10"/>
  <c r="P108" i="10"/>
  <c r="Q108" i="10"/>
  <c r="R108" i="10"/>
  <c r="G109" i="10"/>
  <c r="G108" i="10" s="1"/>
  <c r="N109" i="10"/>
  <c r="N108" i="10" s="1"/>
  <c r="S109" i="10"/>
  <c r="S108" i="10" s="1"/>
  <c r="D110" i="10"/>
  <c r="E110" i="10"/>
  <c r="F110" i="10"/>
  <c r="G110" i="10"/>
  <c r="H110" i="10"/>
  <c r="I110" i="10"/>
  <c r="J110" i="10"/>
  <c r="K110" i="10"/>
  <c r="L110" i="10"/>
  <c r="M110" i="10"/>
  <c r="O110" i="10"/>
  <c r="P110" i="10"/>
  <c r="Q110" i="10"/>
  <c r="R110" i="10"/>
  <c r="G111" i="10"/>
  <c r="N111" i="10"/>
  <c r="N110" i="10" s="1"/>
  <c r="S111" i="10"/>
  <c r="T111" i="10" s="1"/>
  <c r="T110" i="10" s="1"/>
  <c r="D112" i="10"/>
  <c r="E112" i="10"/>
  <c r="F112" i="10"/>
  <c r="F103" i="10" s="1"/>
  <c r="H112" i="10"/>
  <c r="I112" i="10"/>
  <c r="J112" i="10"/>
  <c r="K112" i="10"/>
  <c r="L112" i="10"/>
  <c r="M112" i="10"/>
  <c r="O112" i="10"/>
  <c r="P112" i="10"/>
  <c r="Q112" i="10"/>
  <c r="R112" i="10"/>
  <c r="G113" i="10"/>
  <c r="N113" i="10"/>
  <c r="S113" i="10"/>
  <c r="G114" i="10"/>
  <c r="N114" i="10"/>
  <c r="S114" i="10"/>
  <c r="T114" i="10" s="1"/>
  <c r="G115" i="10"/>
  <c r="N115" i="10"/>
  <c r="S115" i="10"/>
  <c r="T115" i="10" s="1"/>
  <c r="G116" i="10"/>
  <c r="N116" i="10"/>
  <c r="S116" i="10"/>
  <c r="T116" i="10" s="1"/>
  <c r="G117" i="10"/>
  <c r="N117" i="10"/>
  <c r="S117" i="10"/>
  <c r="T117" i="10" s="1"/>
  <c r="G118" i="10"/>
  <c r="N118" i="10"/>
  <c r="S118" i="10"/>
  <c r="T118" i="10" s="1"/>
  <c r="G119" i="10"/>
  <c r="N119" i="10"/>
  <c r="S119" i="10"/>
  <c r="T119" i="10" s="1"/>
  <c r="I120" i="10"/>
  <c r="K120" i="10"/>
  <c r="D121" i="10"/>
  <c r="D120" i="10" s="1"/>
  <c r="E121" i="10"/>
  <c r="E120" i="10" s="1"/>
  <c r="F121" i="10"/>
  <c r="F120" i="10" s="1"/>
  <c r="H121" i="10"/>
  <c r="H120" i="10" s="1"/>
  <c r="I121" i="10"/>
  <c r="J121" i="10"/>
  <c r="J120" i="10" s="1"/>
  <c r="K121" i="10"/>
  <c r="L121" i="10"/>
  <c r="L120" i="10" s="1"/>
  <c r="M121" i="10"/>
  <c r="M120" i="10" s="1"/>
  <c r="O121" i="10"/>
  <c r="O120" i="10" s="1"/>
  <c r="P121" i="10"/>
  <c r="P120" i="10" s="1"/>
  <c r="Q121" i="10"/>
  <c r="Q120" i="10" s="1"/>
  <c r="R121" i="10"/>
  <c r="R120" i="10" s="1"/>
  <c r="G122" i="10"/>
  <c r="G121" i="10" s="1"/>
  <c r="G120" i="10" s="1"/>
  <c r="N122" i="10"/>
  <c r="N121" i="10" s="1"/>
  <c r="N120" i="10" s="1"/>
  <c r="S122" i="10"/>
  <c r="S121" i="10" s="1"/>
  <c r="S120" i="10" s="1"/>
  <c r="D124" i="10"/>
  <c r="D123" i="10" s="1"/>
  <c r="E124" i="10"/>
  <c r="E123" i="10" s="1"/>
  <c r="F124" i="10"/>
  <c r="F123" i="10" s="1"/>
  <c r="H124" i="10"/>
  <c r="H123" i="10" s="1"/>
  <c r="I124" i="10"/>
  <c r="I123" i="10" s="1"/>
  <c r="J124" i="10"/>
  <c r="J123" i="10" s="1"/>
  <c r="K124" i="10"/>
  <c r="K123" i="10" s="1"/>
  <c r="L124" i="10"/>
  <c r="L123" i="10" s="1"/>
  <c r="M124" i="10"/>
  <c r="M123" i="10" s="1"/>
  <c r="O124" i="10"/>
  <c r="O123" i="10" s="1"/>
  <c r="P124" i="10"/>
  <c r="P123" i="10" s="1"/>
  <c r="Q124" i="10"/>
  <c r="Q123" i="10" s="1"/>
  <c r="R124" i="10"/>
  <c r="R123" i="10" s="1"/>
  <c r="G125" i="10"/>
  <c r="T125" i="10" s="1"/>
  <c r="T124" i="10" s="1"/>
  <c r="T123" i="10" s="1"/>
  <c r="N125" i="10"/>
  <c r="N124" i="10" s="1"/>
  <c r="N123" i="10" s="1"/>
  <c r="S125" i="10"/>
  <c r="S124" i="10" s="1"/>
  <c r="S123" i="10" s="1"/>
  <c r="S112" i="10" l="1"/>
  <c r="Q103" i="10"/>
  <c r="Q85" i="10"/>
  <c r="I85" i="10"/>
  <c r="N112" i="10"/>
  <c r="N103" i="10" s="1"/>
  <c r="T109" i="10"/>
  <c r="T108" i="10" s="1"/>
  <c r="Q95" i="10"/>
  <c r="L85" i="10"/>
  <c r="D9" i="10"/>
  <c r="T107" i="10"/>
  <c r="G104" i="10"/>
  <c r="O103" i="10"/>
  <c r="E103" i="10"/>
  <c r="S92" i="10"/>
  <c r="G86" i="10"/>
  <c r="G85" i="10" s="1"/>
  <c r="O85" i="10"/>
  <c r="AA61" i="10"/>
  <c r="N55" i="10"/>
  <c r="T41" i="10"/>
  <c r="G36" i="10"/>
  <c r="G21" i="10"/>
  <c r="O10" i="10"/>
  <c r="S11" i="10"/>
  <c r="M85" i="10"/>
  <c r="E85" i="10"/>
  <c r="F9" i="10"/>
  <c r="O9" i="10"/>
  <c r="R95" i="10"/>
  <c r="P85" i="10"/>
  <c r="H85" i="10"/>
  <c r="G73" i="10"/>
  <c r="G112" i="10"/>
  <c r="G103" i="10" s="1"/>
  <c r="T113" i="10"/>
  <c r="T112" i="10" s="1"/>
  <c r="R103" i="10"/>
  <c r="M103" i="10"/>
  <c r="I103" i="10"/>
  <c r="S98" i="10"/>
  <c r="G97" i="10"/>
  <c r="G96" i="10" s="1"/>
  <c r="R85" i="10"/>
  <c r="N85" i="10"/>
  <c r="J85" i="10"/>
  <c r="J126" i="10" s="1"/>
  <c r="J127" i="10" s="1"/>
  <c r="J128" i="10" s="1"/>
  <c r="T81" i="10"/>
  <c r="T76" i="10"/>
  <c r="G61" i="10"/>
  <c r="T53" i="10"/>
  <c r="O36" i="10"/>
  <c r="O35" i="10" s="1"/>
  <c r="S48" i="10"/>
  <c r="T48" i="10" s="1"/>
  <c r="T42" i="10"/>
  <c r="G39" i="10"/>
  <c r="R35" i="10"/>
  <c r="L35" i="10"/>
  <c r="H35" i="10"/>
  <c r="T31" i="10"/>
  <c r="T25" i="10"/>
  <c r="T24" i="10" s="1"/>
  <c r="N24" i="10"/>
  <c r="T18" i="10"/>
  <c r="T17" i="10" s="1"/>
  <c r="L9" i="10"/>
  <c r="H9" i="10"/>
  <c r="S17" i="10"/>
  <c r="T79" i="10"/>
  <c r="T69" i="10"/>
  <c r="T40" i="10"/>
  <c r="T30" i="10"/>
  <c r="R9" i="10"/>
  <c r="F126" i="10"/>
  <c r="F127" i="10" s="1"/>
  <c r="F128" i="10" s="1"/>
  <c r="G98" i="10"/>
  <c r="T99" i="10"/>
  <c r="H103" i="10"/>
  <c r="H126" i="10" s="1"/>
  <c r="H127" i="10" s="1"/>
  <c r="H128" i="10" s="1"/>
  <c r="T39" i="10"/>
  <c r="P103" i="10"/>
  <c r="S96" i="10"/>
  <c r="Q9" i="10"/>
  <c r="K9" i="10"/>
  <c r="E9" i="10"/>
  <c r="G124" i="10"/>
  <c r="G123" i="10" s="1"/>
  <c r="T122" i="10"/>
  <c r="T121" i="10" s="1"/>
  <c r="T120" i="10" s="1"/>
  <c r="G95" i="10"/>
  <c r="S89" i="10"/>
  <c r="G77" i="10"/>
  <c r="T74" i="10"/>
  <c r="T73" i="10" s="1"/>
  <c r="N61" i="10"/>
  <c r="T66" i="10"/>
  <c r="T57" i="10"/>
  <c r="N36" i="10"/>
  <c r="N35" i="10" s="1"/>
  <c r="P35" i="10"/>
  <c r="E35" i="10"/>
  <c r="N10" i="10"/>
  <c r="N9" i="10" s="1"/>
  <c r="L103" i="10"/>
  <c r="L126" i="10" s="1"/>
  <c r="L127" i="10" s="1"/>
  <c r="L128" i="10" s="1"/>
  <c r="T65" i="10"/>
  <c r="G58" i="10"/>
  <c r="T58" i="10" s="1"/>
  <c r="C55" i="10"/>
  <c r="C35" i="10" s="1"/>
  <c r="T100" i="10"/>
  <c r="S86" i="10"/>
  <c r="S85" i="10" s="1"/>
  <c r="T87" i="10"/>
  <c r="T86" i="10" s="1"/>
  <c r="S80" i="10"/>
  <c r="T80" i="10" s="1"/>
  <c r="T62" i="10"/>
  <c r="T28" i="10"/>
  <c r="T27" i="10" s="1"/>
  <c r="T11" i="10"/>
  <c r="T10" i="10" s="1"/>
  <c r="S10" i="10"/>
  <c r="S110" i="10"/>
  <c r="S103" i="10" s="1"/>
  <c r="D103" i="10"/>
  <c r="T106" i="10"/>
  <c r="K103" i="10"/>
  <c r="T89" i="10"/>
  <c r="M35" i="10"/>
  <c r="I35" i="10"/>
  <c r="D35" i="10"/>
  <c r="M9" i="10"/>
  <c r="M126" i="10" s="1"/>
  <c r="M127" i="10" s="1"/>
  <c r="M128" i="10" s="1"/>
  <c r="I9" i="10"/>
  <c r="C9" i="10"/>
  <c r="T105" i="10"/>
  <c r="T104" i="10" s="1"/>
  <c r="T103" i="10" s="1"/>
  <c r="T78" i="10"/>
  <c r="T56" i="10"/>
  <c r="T37" i="10"/>
  <c r="T34" i="10"/>
  <c r="T33" i="10" s="1"/>
  <c r="P21" i="10"/>
  <c r="P9" i="10" s="1"/>
  <c r="P96" i="10"/>
  <c r="P95" i="10" s="1"/>
  <c r="G11" i="10"/>
  <c r="G10" i="10" s="1"/>
  <c r="D126" i="10" l="1"/>
  <c r="D127" i="10" s="1"/>
  <c r="D128" i="10" s="1"/>
  <c r="S36" i="10"/>
  <c r="G9" i="10"/>
  <c r="R126" i="10"/>
  <c r="R127" i="10" s="1"/>
  <c r="R128" i="10" s="1"/>
  <c r="N126" i="10"/>
  <c r="N127" i="10" s="1"/>
  <c r="N128" i="10" s="1"/>
  <c r="Q126" i="10"/>
  <c r="Q127" i="10" s="1"/>
  <c r="Q128" i="10" s="1"/>
  <c r="S77" i="10"/>
  <c r="C126" i="10"/>
  <c r="C127" i="10" s="1"/>
  <c r="C128" i="10" s="1"/>
  <c r="T97" i="10"/>
  <c r="T96" i="10" s="1"/>
  <c r="T77" i="10"/>
  <c r="T55" i="10"/>
  <c r="T36" i="10"/>
  <c r="P126" i="10"/>
  <c r="P127" i="10" s="1"/>
  <c r="P128" i="10" s="1"/>
  <c r="O126" i="10"/>
  <c r="O127" i="10" s="1"/>
  <c r="O128" i="10" s="1"/>
  <c r="T85" i="10"/>
  <c r="S9" i="10"/>
  <c r="T22" i="10"/>
  <c r="T21" i="10" s="1"/>
  <c r="T9" i="10" s="1"/>
  <c r="E126" i="10"/>
  <c r="E127" i="10" s="1"/>
  <c r="E128" i="10" s="1"/>
  <c r="S95" i="10"/>
  <c r="I126" i="10"/>
  <c r="I127" i="10" s="1"/>
  <c r="I128" i="10" s="1"/>
  <c r="T61" i="10"/>
  <c r="K126" i="10"/>
  <c r="K127" i="10" s="1"/>
  <c r="K128" i="10" s="1"/>
  <c r="G55" i="10"/>
  <c r="G35" i="10" s="1"/>
  <c r="G126" i="10" s="1"/>
  <c r="G127" i="10" s="1"/>
  <c r="G128" i="10" s="1"/>
  <c r="T98" i="10"/>
  <c r="T95" i="10" s="1"/>
  <c r="S35" i="10" l="1"/>
  <c r="S126" i="10"/>
  <c r="S127" i="10" s="1"/>
  <c r="S128" i="10" s="1"/>
  <c r="T35" i="10"/>
  <c r="T126" i="10" s="1"/>
  <c r="T127" i="10" s="1"/>
  <c r="T128" i="10" s="1"/>
  <c r="S132" i="10" l="1"/>
  <c r="G121" i="7" l="1"/>
  <c r="G120" i="7"/>
  <c r="G119" i="7" s="1"/>
  <c r="F120" i="7"/>
  <c r="F119" i="7" s="1"/>
  <c r="E120" i="7"/>
  <c r="D120" i="7"/>
  <c r="D119" i="7" s="1"/>
  <c r="E119" i="7"/>
  <c r="G118" i="7"/>
  <c r="G117" i="7"/>
  <c r="G116" i="7" s="1"/>
  <c r="F117" i="7"/>
  <c r="F116" i="7" s="1"/>
  <c r="E117" i="7"/>
  <c r="D117" i="7"/>
  <c r="D116" i="7" s="1"/>
  <c r="E116" i="7"/>
  <c r="G115" i="7"/>
  <c r="G114" i="7"/>
  <c r="G113" i="7"/>
  <c r="G112" i="7"/>
  <c r="G111" i="7"/>
  <c r="G110" i="7"/>
  <c r="G109" i="7"/>
  <c r="G108" i="7" s="1"/>
  <c r="F108" i="7"/>
  <c r="E108" i="7"/>
  <c r="D108" i="7"/>
  <c r="G107" i="7"/>
  <c r="G106" i="7" s="1"/>
  <c r="F106" i="7"/>
  <c r="E106" i="7"/>
  <c r="D106" i="7"/>
  <c r="G105" i="7"/>
  <c r="G104" i="7" s="1"/>
  <c r="F104" i="7"/>
  <c r="E104" i="7"/>
  <c r="E99" i="7" s="1"/>
  <c r="D104" i="7"/>
  <c r="G103" i="7"/>
  <c r="G102" i="7"/>
  <c r="G101" i="7"/>
  <c r="F100" i="7"/>
  <c r="E100" i="7"/>
  <c r="D100" i="7"/>
  <c r="G98" i="7"/>
  <c r="G97" i="7"/>
  <c r="G96" i="7"/>
  <c r="F95" i="7"/>
  <c r="E95" i="7"/>
  <c r="D95" i="7"/>
  <c r="G94" i="7"/>
  <c r="F93" i="7"/>
  <c r="F92" i="7" s="1"/>
  <c r="G92" i="7" s="1"/>
  <c r="E93" i="7"/>
  <c r="G93" i="7" s="1"/>
  <c r="E92" i="7"/>
  <c r="G91" i="7"/>
  <c r="G89" i="7" s="1"/>
  <c r="G90" i="7"/>
  <c r="F89" i="7"/>
  <c r="E89" i="7"/>
  <c r="D89" i="7"/>
  <c r="G88" i="7"/>
  <c r="G87" i="7"/>
  <c r="F86" i="7"/>
  <c r="E86" i="7"/>
  <c r="D86" i="7"/>
  <c r="G85" i="7"/>
  <c r="G84" i="7"/>
  <c r="G83" i="7" s="1"/>
  <c r="F83" i="7"/>
  <c r="F82" i="7" s="1"/>
  <c r="E83" i="7"/>
  <c r="D83" i="7"/>
  <c r="G81" i="7"/>
  <c r="G80" i="7" s="1"/>
  <c r="F80" i="7"/>
  <c r="E80" i="7"/>
  <c r="D80" i="7"/>
  <c r="G79" i="7"/>
  <c r="G78" i="7"/>
  <c r="G77" i="7"/>
  <c r="G76" i="7"/>
  <c r="G75" i="7"/>
  <c r="G74" i="7"/>
  <c r="F74" i="7"/>
  <c r="E74" i="7"/>
  <c r="D74" i="7"/>
  <c r="G73" i="7"/>
  <c r="G72" i="7"/>
  <c r="G71" i="7"/>
  <c r="F70" i="7"/>
  <c r="E70" i="7"/>
  <c r="D70" i="7"/>
  <c r="G69" i="7"/>
  <c r="G68" i="7"/>
  <c r="G67" i="7"/>
  <c r="G66" i="7"/>
  <c r="G65" i="7"/>
  <c r="G64" i="7"/>
  <c r="G63" i="7"/>
  <c r="G62" i="7"/>
  <c r="G61" i="7"/>
  <c r="G60" i="7"/>
  <c r="G59" i="7"/>
  <c r="F59" i="7"/>
  <c r="E59" i="7"/>
  <c r="D59" i="7"/>
  <c r="C59" i="7"/>
  <c r="G58" i="7"/>
  <c r="G57" i="7"/>
  <c r="G56" i="7"/>
  <c r="G55" i="7"/>
  <c r="C54" i="7"/>
  <c r="C53" i="7" s="1"/>
  <c r="F53" i="7"/>
  <c r="E53" i="7"/>
  <c r="D53" i="7"/>
  <c r="G52" i="7"/>
  <c r="G51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F33" i="7"/>
  <c r="F32" i="7" s="1"/>
  <c r="E33" i="7"/>
  <c r="E32" i="7" s="1"/>
  <c r="D33" i="7"/>
  <c r="F30" i="7"/>
  <c r="E30" i="7"/>
  <c r="D30" i="7"/>
  <c r="G29" i="7"/>
  <c r="G28" i="7"/>
  <c r="G27" i="7" s="1"/>
  <c r="F27" i="7"/>
  <c r="E27" i="7"/>
  <c r="D27" i="7"/>
  <c r="C27" i="7"/>
  <c r="G24" i="7"/>
  <c r="F24" i="7"/>
  <c r="E24" i="7"/>
  <c r="D24" i="7"/>
  <c r="C24" i="7"/>
  <c r="G23" i="7"/>
  <c r="G22" i="7"/>
  <c r="F21" i="7"/>
  <c r="E21" i="7"/>
  <c r="D21" i="7"/>
  <c r="C21" i="7"/>
  <c r="G20" i="7"/>
  <c r="G19" i="7"/>
  <c r="G18" i="7"/>
  <c r="F18" i="7"/>
  <c r="E18" i="7"/>
  <c r="D18" i="7"/>
  <c r="C18" i="7"/>
  <c r="C9" i="7" s="1"/>
  <c r="G17" i="7"/>
  <c r="G16" i="7"/>
  <c r="G14" i="7" s="1"/>
  <c r="F14" i="7"/>
  <c r="F9" i="7" s="1"/>
  <c r="E14" i="7"/>
  <c r="D14" i="7"/>
  <c r="D9" i="7"/>
  <c r="G100" i="7" l="1"/>
  <c r="F99" i="7"/>
  <c r="G9" i="7"/>
  <c r="C32" i="7"/>
  <c r="D82" i="7"/>
  <c r="D99" i="7"/>
  <c r="G95" i="7"/>
  <c r="G21" i="7"/>
  <c r="G53" i="7"/>
  <c r="E82" i="7"/>
  <c r="G86" i="7"/>
  <c r="G33" i="7"/>
  <c r="C122" i="7"/>
  <c r="C123" i="7" s="1"/>
  <c r="C124" i="7" s="1"/>
  <c r="D32" i="7"/>
  <c r="E9" i="7"/>
  <c r="E122" i="7" s="1"/>
  <c r="E123" i="7" s="1"/>
  <c r="E124" i="7" s="1"/>
  <c r="F122" i="7"/>
  <c r="F123" i="7" s="1"/>
  <c r="F124" i="7" s="1"/>
  <c r="D122" i="7"/>
  <c r="D123" i="7" s="1"/>
  <c r="D124" i="7" s="1"/>
  <c r="G70" i="7"/>
  <c r="G54" i="7"/>
  <c r="G32" i="7" l="1"/>
  <c r="G82" i="7"/>
  <c r="G99" i="7"/>
  <c r="G122" i="7" l="1"/>
  <c r="G123" i="7" l="1"/>
  <c r="G124" i="7" s="1"/>
  <c r="C52" i="6" l="1"/>
  <c r="C51" i="6"/>
  <c r="C50" i="6" s="1"/>
  <c r="I61" i="6"/>
  <c r="H61" i="6"/>
  <c r="G61" i="6"/>
  <c r="E61" i="6"/>
  <c r="C61" i="6"/>
  <c r="J60" i="6"/>
  <c r="J59" i="6"/>
  <c r="J58" i="6"/>
  <c r="J55" i="6"/>
  <c r="J54" i="6" s="1"/>
  <c r="J53" i="6" s="1"/>
  <c r="J52" i="6" s="1"/>
  <c r="D54" i="6"/>
  <c r="D53" i="6" s="1"/>
  <c r="D61" i="6" s="1"/>
  <c r="I51" i="6"/>
  <c r="H51" i="6"/>
  <c r="G51" i="6"/>
  <c r="G50" i="6" s="1"/>
  <c r="F51" i="6"/>
  <c r="E51" i="6"/>
  <c r="I50" i="6"/>
  <c r="H50" i="6"/>
  <c r="F50" i="6"/>
  <c r="D50" i="6"/>
  <c r="J49" i="6"/>
  <c r="J48" i="6"/>
  <c r="J47" i="6"/>
  <c r="F47" i="6"/>
  <c r="J46" i="6"/>
  <c r="F45" i="6"/>
  <c r="J45" i="6" s="1"/>
  <c r="J44" i="6"/>
  <c r="J43" i="6"/>
  <c r="J42" i="6"/>
  <c r="J41" i="6"/>
  <c r="F40" i="6"/>
  <c r="F39" i="6" s="1"/>
  <c r="J38" i="6"/>
  <c r="J37" i="6"/>
  <c r="F35" i="6"/>
  <c r="J35" i="6" s="1"/>
  <c r="J34" i="6" s="1"/>
  <c r="F34" i="6"/>
  <c r="J33" i="6"/>
  <c r="J32" i="6"/>
  <c r="F31" i="6"/>
  <c r="F16" i="6" s="1"/>
  <c r="J16" i="6" s="1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F17" i="6"/>
  <c r="J17" i="6" s="1"/>
  <c r="J15" i="6"/>
  <c r="J14" i="6"/>
  <c r="J13" i="6"/>
  <c r="J12" i="6"/>
  <c r="J11" i="6"/>
  <c r="F10" i="6"/>
  <c r="F9" i="6" s="1"/>
  <c r="J57" i="6" l="1"/>
  <c r="J56" i="6" s="1"/>
  <c r="J51" i="6"/>
  <c r="J50" i="6" s="1"/>
  <c r="F61" i="6"/>
  <c r="J61" i="6" s="1"/>
  <c r="J9" i="6"/>
  <c r="J10" i="6"/>
  <c r="J31" i="6"/>
  <c r="J40" i="6"/>
  <c r="J39" i="6" s="1"/>
  <c r="K58" i="6"/>
  <c r="E50" i="6"/>
</calcChain>
</file>

<file path=xl/comments1.xml><?xml version="1.0" encoding="utf-8"?>
<comments xmlns="http://schemas.openxmlformats.org/spreadsheetml/2006/main">
  <authors>
    <author>usuario</author>
  </authors>
  <commentList>
    <comment ref="S18" authorId="0" shapeId="0">
      <text>
        <r>
          <rPr>
            <b/>
            <sz val="9"/>
            <color indexed="81"/>
            <rFont val="Tahoma"/>
            <family val="2"/>
          </rPr>
          <t>Sueldos a mestros y otros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PARA TRES MESES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TRES MESES</t>
        </r>
      </text>
    </comment>
  </commentList>
</comments>
</file>

<file path=xl/sharedStrings.xml><?xml version="1.0" encoding="utf-8"?>
<sst xmlns="http://schemas.openxmlformats.org/spreadsheetml/2006/main" count="546" uniqueCount="231">
  <si>
    <t>Vialidad</t>
  </si>
  <si>
    <t>Fiestas</t>
  </si>
  <si>
    <t>Mercados</t>
  </si>
  <si>
    <t>TOTAL</t>
  </si>
  <si>
    <t>Desechos</t>
  </si>
  <si>
    <t>Pavimentacion</t>
  </si>
  <si>
    <t>ALCALDIA MUNICIPAL DE CHIRILAGUA</t>
  </si>
  <si>
    <t>FUENTE DE FINANCIAMIENTO 1 (FF1)</t>
  </si>
  <si>
    <t>FODES 25%</t>
  </si>
  <si>
    <t>CODIGO</t>
  </si>
  <si>
    <t>CONCEPTO</t>
  </si>
  <si>
    <t>AREA DE GESTION</t>
  </si>
  <si>
    <t>CONDUCCION ADMINISTRATIVA</t>
  </si>
  <si>
    <t>0101 Dir. Superior</t>
  </si>
  <si>
    <t>0102 Admon. Financiera</t>
  </si>
  <si>
    <t>0201 Serv. Mp. Div.</t>
  </si>
  <si>
    <t>0202 Serv. Ext.</t>
  </si>
  <si>
    <t>REMUNERACIONES</t>
  </si>
  <si>
    <t>REMUNERACIONES PERMANENTES</t>
  </si>
  <si>
    <t>SUELDOS</t>
  </si>
  <si>
    <t>AGUINALDOS</t>
  </si>
  <si>
    <t>DIETAS</t>
  </si>
  <si>
    <t>REMUNERACIONES EVENTUALES</t>
  </si>
  <si>
    <t>SALARIOS POR JORNAL</t>
  </si>
  <si>
    <t>CONTRIB. PATRON. A INST. SEG. SOCIAL PUB.</t>
  </si>
  <si>
    <t>POR REMUNERACIONES PERMANENTES</t>
  </si>
  <si>
    <t>POR REMUNERACIONES EVENTUALES</t>
  </si>
  <si>
    <t>CONTRIB. PATRON. A INST. SEG. SOCIAL PRIV.</t>
  </si>
  <si>
    <t>INDEMNIZACIONES</t>
  </si>
  <si>
    <t>INDEMNIZACIONES SERVICIOS PERMANENTES</t>
  </si>
  <si>
    <t>INDEMNIZACIONES SERVICIOS EVENTUALES</t>
  </si>
  <si>
    <t>GASTOS DE REPRESENTACION</t>
  </si>
  <si>
    <t>POR PRESTACION DE SERVICIOS EN EL PAIS</t>
  </si>
  <si>
    <t>POR PRESTACION DE SERVICIOS EN EL EXT.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</si>
  <si>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</si>
  <si>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</si>
  <si>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</si>
  <si>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</si>
  <si>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</si>
  <si>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AGROP. Y FORESTALES</t>
  </si>
  <si>
    <t>PRODUCTOS TEXTILES Y DE VESTUARIO</t>
  </si>
  <si>
    <t>PRODUCTOS DE PAPEL Y CARTON</t>
  </si>
  <si>
    <t>PRODUCTOS DE CUERO Y CAUCHO</t>
  </si>
  <si>
    <t>PRODUCTOS QUIMICOS</t>
  </si>
  <si>
    <t>PRODUCTOS FARMACEUTICOS Y MED.</t>
  </si>
  <si>
    <t>LLANTAS Y NEUMATICOS</t>
  </si>
  <si>
    <t>COMBUSTIBLES Y LUBRICANTES</t>
  </si>
  <si>
    <t>MINERALES NO METALICOS Y PROD. DER.</t>
  </si>
  <si>
    <t>MINERALES METALICOS Y PROD. DER.</t>
  </si>
  <si>
    <t>MATERIALES DE OFICINA</t>
  </si>
  <si>
    <t>MATERIALES INFORMATICOS</t>
  </si>
  <si>
    <t>LIBROS, TEXTOS Y UTILES DE ENSEÑANZA</t>
  </si>
  <si>
    <t>HERRAMIENTAS, REPUESTOS Y ACCESORIOS</t>
  </si>
  <si>
    <t>MATERIALES ELECTRICOS</t>
  </si>
  <si>
    <t>ESPECIES MUNICIPALES DIVERSAS</t>
  </si>
  <si>
    <t>SERVICIOS BASICOS</t>
  </si>
  <si>
    <t>SERVICIOS DE ENERGIA ELECTRICA</t>
  </si>
  <si>
    <t>SERVICIOS DE AGUA</t>
  </si>
  <si>
    <t>SERVICIOS DE TELECOMUNICACIONES</t>
  </si>
  <si>
    <t>CORREOS</t>
  </si>
  <si>
    <t>ALUMBRADO PUBLICO</t>
  </si>
  <si>
    <t>SERVICIOS GENERALES Y ARRENDAMIENTOS</t>
  </si>
  <si>
    <t>MANTTO. Y REP. DE BIENES MUEBLES</t>
  </si>
  <si>
    <t>MANTTO. Y REP. DE VEHICULOS</t>
  </si>
  <si>
    <t>MANTENIMIENTO Y REPARACION DE BIENES</t>
  </si>
  <si>
    <t>TRANSPORTE, FLETES Y ALMACENAMIENTO</t>
  </si>
  <si>
    <t>SERVICIOS DE PUBLICIDAD</t>
  </si>
  <si>
    <t>SERVICIOS DE LIMPIEZA Y FUMIGACIONES</t>
  </si>
  <si>
    <t>SERVICIOS EDUCATIVOS</t>
  </si>
  <si>
    <t>IMPRESIONES, PUBLICACIONES Y REPROD.</t>
  </si>
  <si>
    <t>ATENCIONES OFICIALES</t>
  </si>
  <si>
    <t>ARRENDAMIENTO DE BIENES MUEBLES</t>
  </si>
  <si>
    <t>PASAJES Y VIATICOS</t>
  </si>
  <si>
    <t>PASAJES AL INTERIOR</t>
  </si>
  <si>
    <t>PASAJES AL EXTERIOR</t>
  </si>
  <si>
    <t>VIATICOS POR COMISION INTERNA</t>
  </si>
  <si>
    <t>SERVICIOS TECNICOS Y PROFESIONALES</t>
  </si>
  <si>
    <t>SERVICIOS DE MEDIO AMBIENTE Y RECURSOS</t>
  </si>
  <si>
    <t>SERVICIOS JURIDICOS</t>
  </si>
  <si>
    <t>SERVICIOS DE CONTABILIDAD Y AUDITORIA</t>
  </si>
  <si>
    <t>SERVICIOS DE CAPACITACION</t>
  </si>
  <si>
    <t>CONSULTORIAS, ESTUDIOS E INVESTIG. DIVERSAS</t>
  </si>
  <si>
    <t>TRATAMIENTO DE DESECHOS</t>
  </si>
  <si>
    <t>DEPOSITO DE DESECHOS</t>
  </si>
  <si>
    <t>GASTOS FINANCIEROS Y OTROS</t>
  </si>
  <si>
    <t>INTERESES Y COMISIONES DE LA DEUDA PUBLICA</t>
  </si>
  <si>
    <t>DE INSTITUCIONES DESCENT. NO EMPRESARIALES</t>
  </si>
  <si>
    <t>DE EMPRESAS PUBLICAS FINANCIERAS</t>
  </si>
  <si>
    <t>SEGUROS, COMISIONES Y GASTOS BANCARIOS</t>
  </si>
  <si>
    <t>PRIMAS Y GASTOS DE SEGUROS DE BIENES</t>
  </si>
  <si>
    <t>COMISIONES Y GASTOS BANCARIOS (POR CERT. CH)</t>
  </si>
  <si>
    <t>OTROS GASTOS NO CLASIFICADOS</t>
  </si>
  <si>
    <t>MULTAS Y COSTAS JUDICIALES</t>
  </si>
  <si>
    <t>GASTOS DIVERSOS</t>
  </si>
  <si>
    <t>TRANSFERENCIAS CORRIENTES</t>
  </si>
  <si>
    <t>TRANSFERENCIAS CORRIENTES SECTOR PUBLIC.</t>
  </si>
  <si>
    <t>TRANSFERENCIAS CORRIENTES. SECTOR PUB.</t>
  </si>
  <si>
    <t>TRANSFERENCIAS CORRIENTES SECTOR PRIVADO</t>
  </si>
  <si>
    <t>EMPRESAS PRIVADAS NO FINANCIERAS</t>
  </si>
  <si>
    <t>A ORGANISMOS SIN FINES DE LUCRO</t>
  </si>
  <si>
    <t>BECAS</t>
  </si>
  <si>
    <t>INVERSIONES EN ACTIVOS FIJOS</t>
  </si>
  <si>
    <t>BIENES MUEBLES</t>
  </si>
  <si>
    <t>MAQUINARIA Y EQUIPO</t>
  </si>
  <si>
    <t>EQUIPOS INFORMATICOS</t>
  </si>
  <si>
    <t>BIENES MUEBLES DIVERSOS</t>
  </si>
  <si>
    <t>BIENES INMUEBLES</t>
  </si>
  <si>
    <t>TERRENOS</t>
  </si>
  <si>
    <t>ESTUDIOS DE PREINVERSION</t>
  </si>
  <si>
    <t>PROYECTOS Y PROGRAMAS DE INVERSION DIV.</t>
  </si>
  <si>
    <t>INFRAESTRUCTURA</t>
  </si>
  <si>
    <t>VIALES</t>
  </si>
  <si>
    <t>DE EDUCACION Y RECREACION</t>
  </si>
  <si>
    <t>ELECTRICAS Y COMUNICACIONES</t>
  </si>
  <si>
    <t>SUPERVISION DE INFRAESTRUCTURA</t>
  </si>
  <si>
    <t>OBRAS DE INFRAESTRUCTURA DIVERSA</t>
  </si>
  <si>
    <t>SALUD Y SANEAMIENTO</t>
  </si>
  <si>
    <t>OFICINAS ADMINISTRATIVAS</t>
  </si>
  <si>
    <t>AMORTIZACION DE ENDEUDAMIENTO PUBLICO</t>
  </si>
  <si>
    <t>AMOTIZACION EMPRESTITOS INT.</t>
  </si>
  <si>
    <t>SALDO AÑOS ANTERIORES</t>
  </si>
  <si>
    <t>CUENTAS POR PAGAR AÑOS ANTERIORES</t>
  </si>
  <si>
    <t>TOTALES</t>
  </si>
  <si>
    <t>RUBRO DE AGRUPACION</t>
  </si>
  <si>
    <t>CUENTA PRESUPUESTARIA</t>
  </si>
  <si>
    <t>TOTALES DE OBJETOS ESPECIFICOS</t>
  </si>
  <si>
    <t>FONDOS PROPIOS</t>
  </si>
  <si>
    <t>Sub Total</t>
  </si>
  <si>
    <t>DEPARTAMENTO DE SAN MIGUEL</t>
  </si>
  <si>
    <t>(En Dolares de los Estados Unidos de America)</t>
  </si>
  <si>
    <t>DETALLE CONSOLIDADO DE INGRESOS POR ESPECIFICO Y FUENTE DE FINANCIAMIENTO</t>
  </si>
  <si>
    <t>(2) DENOMINACION</t>
  </si>
  <si>
    <t>(3) Fondo General</t>
  </si>
  <si>
    <t>(9) Fondos Propios</t>
  </si>
  <si>
    <t>( 10) FONDOS FISDL</t>
  </si>
  <si>
    <t>(11) Préstamos Internos</t>
  </si>
  <si>
    <t>(12) Fondos BCIE</t>
  </si>
  <si>
    <t xml:space="preserve">(13) T O T A L  </t>
  </si>
  <si>
    <t>(4) FODES</t>
  </si>
  <si>
    <t>(7) OTROS</t>
  </si>
  <si>
    <t>(5) Funcionamiento</t>
  </si>
  <si>
    <t>(6) Inversión</t>
  </si>
  <si>
    <t>FISDL/PFGL</t>
  </si>
  <si>
    <t xml:space="preserve">Impuestos                                                       </t>
  </si>
  <si>
    <t xml:space="preserve">Impuestos municipales                                           </t>
  </si>
  <si>
    <t xml:space="preserve">De comercio                                                      </t>
  </si>
  <si>
    <t>Financieros</t>
  </si>
  <si>
    <t>De servicios</t>
  </si>
  <si>
    <t xml:space="preserve">Bares y restaurantes        </t>
  </si>
  <si>
    <t>Tasas y derechos</t>
  </si>
  <si>
    <t>Tasas</t>
  </si>
  <si>
    <t xml:space="preserve">Por servicios de certificacion o visado        </t>
  </si>
  <si>
    <t xml:space="preserve">Por expedicion de documentos de identificacion                 </t>
  </si>
  <si>
    <t>Alumbrado publico</t>
  </si>
  <si>
    <t>Aseo publico</t>
  </si>
  <si>
    <t>Cementerios municipales</t>
  </si>
  <si>
    <t>Postes, torres y antenas</t>
  </si>
  <si>
    <t>Rastro y tiangue</t>
  </si>
  <si>
    <t>Baños y lavaderos publicos</t>
  </si>
  <si>
    <t>Tasas diversas</t>
  </si>
  <si>
    <t>Derechos</t>
  </si>
  <si>
    <t>Permisos y licencias municipales</t>
  </si>
  <si>
    <t>Cotejo de fierros</t>
  </si>
  <si>
    <t>Ventas de bienes y servicios</t>
  </si>
  <si>
    <t>Ingresos por prestacion de servicios publicos</t>
  </si>
  <si>
    <t>14201</t>
  </si>
  <si>
    <t>Prestacion de servicios basicos</t>
  </si>
  <si>
    <t>Servicios diversos</t>
  </si>
  <si>
    <t>Venta de bienes diversos</t>
  </si>
  <si>
    <t>Ingresos financieros y otros</t>
  </si>
  <si>
    <t>Multas e intereses por mora</t>
  </si>
  <si>
    <t>Multas por mora de impuestos</t>
  </si>
  <si>
    <t>Intereses por mora de impuestos</t>
  </si>
  <si>
    <t>Multas por registro civil</t>
  </si>
  <si>
    <t>Multas e intereses diversos</t>
  </si>
  <si>
    <t>Arrendamiento de bienes</t>
  </si>
  <si>
    <t>Arrendamientos de bienes diversos</t>
  </si>
  <si>
    <t>Otros ingresos no clasificados</t>
  </si>
  <si>
    <t>Rentabilidad de cuentas bancarias</t>
  </si>
  <si>
    <t>Ingresos diversos</t>
  </si>
  <si>
    <t>16</t>
  </si>
  <si>
    <t xml:space="preserve">Transferencias Corrientes </t>
  </si>
  <si>
    <t>162</t>
  </si>
  <si>
    <t>Transferencias Corrientes del Sector Publico</t>
  </si>
  <si>
    <t>16201</t>
  </si>
  <si>
    <t>Transf. Ctes. Del S.P.</t>
  </si>
  <si>
    <t>22</t>
  </si>
  <si>
    <t>Transferencias de Capital</t>
  </si>
  <si>
    <t>222</t>
  </si>
  <si>
    <t>Transferencias de Capital del sector Publico</t>
  </si>
  <si>
    <t>22201</t>
  </si>
  <si>
    <t>Transf. De Capital del S.P.</t>
  </si>
  <si>
    <t>32</t>
  </si>
  <si>
    <t>Saldo de Años Anteriores</t>
  </si>
  <si>
    <t>321</t>
  </si>
  <si>
    <t>Saldo de Caja y Bancos</t>
  </si>
  <si>
    <t>32102</t>
  </si>
  <si>
    <t>Saldo Inicial en caja y bancos</t>
  </si>
  <si>
    <t>32202</t>
  </si>
  <si>
    <t>Cuentas por cobrar de años anteriores</t>
  </si>
  <si>
    <t>(14) TOTAL INGRESOS</t>
  </si>
  <si>
    <t>INSUMOS BASICOS:</t>
  </si>
  <si>
    <t>1. BASE DE GENERACION DE AVISOS DE CONTRIBUYENTES</t>
  </si>
  <si>
    <t>2. HISTORIAL DE RECUPERACION DE MOROSIDAD</t>
  </si>
  <si>
    <t>3. HISTORIAL DE SALDOS BANCARIOS</t>
  </si>
  <si>
    <t>4. TRANSFERENCIAS GOES</t>
  </si>
  <si>
    <t>5. INFORME DE CREDITOS SOLICITADOS</t>
  </si>
  <si>
    <t>6. DONACIONES</t>
  </si>
  <si>
    <t>PRESUPUESTO MUNICIPAL 2018</t>
  </si>
  <si>
    <t>FODES 25% -GASTOS DE FUNCIONAMIENTO</t>
  </si>
  <si>
    <t>A PERSONAS NATURALES</t>
  </si>
  <si>
    <t>ARRENDAMIENTO DE BIENES INMUEBLES</t>
  </si>
  <si>
    <t>SUELDOS POR CONTRATO</t>
  </si>
  <si>
    <t>0501 Amort. Endeu. Púb.</t>
  </si>
  <si>
    <t>0305 Préstamos</t>
  </si>
  <si>
    <t>0401 Proy. Des. Econ.</t>
  </si>
  <si>
    <t>0302 Proy. Des. Social</t>
  </si>
  <si>
    <t>0301 Preinversión</t>
  </si>
  <si>
    <t>CONDUC. ADMINISTRAR (AG 1)</t>
  </si>
  <si>
    <t>SUB TOTAL</t>
  </si>
  <si>
    <t>(AG5)</t>
  </si>
  <si>
    <t>AG3</t>
  </si>
  <si>
    <t>AG 4</t>
  </si>
  <si>
    <t>Deuda Púb.</t>
  </si>
  <si>
    <t>Des. Social</t>
  </si>
  <si>
    <t>Des. Econom.</t>
  </si>
  <si>
    <t>GRAN</t>
  </si>
  <si>
    <t>FODES 75%</t>
  </si>
  <si>
    <t>FUENTE DE FINANCIAMIENTO 2 (FF29</t>
  </si>
  <si>
    <t>PRESUPUESTO 2019</t>
  </si>
  <si>
    <t>FORMULACIÓN DEL PRESUPUESTO MUNICIPAL DE INGRESOS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</si>
</sst>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-[$$-540A]* #,##0.00_ ;_-[$$-540A]* \-#,##0.00\ ;_-[$$-540A]* &quot;-&quot;??_ ;_-@_ "/>
    <numFmt numFmtId="168" formatCode="_-* #,##0.00\ _€_-;\-* #,##0.00\ _€_-;_-* &quot;-&quot;??\ _€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name val="Trebuchet MS"/>
      <family val="2"/>
    </font>
    <font>
      <sz val="16"/>
      <name val="Arial"/>
      <family val="2"/>
    </font>
    <font>
      <sz val="14"/>
      <name val="Trebuchet MS"/>
      <family val="2"/>
    </font>
    <font>
      <sz val="14"/>
      <name val="Arial"/>
      <family val="2"/>
    </font>
    <font>
      <b/>
      <sz val="14"/>
      <name val="Trebuchet MS"/>
      <family val="2"/>
    </font>
    <font>
      <b/>
      <sz val="14"/>
      <name val="Arial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name val="Trebuchet MS"/>
      <family val="2"/>
    </font>
    <font>
      <b/>
      <sz val="10"/>
      <color indexed="12"/>
      <name val="Trebuchet MS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indexed="22"/>
        <bgColor indexed="36"/>
      </patternFill>
    </fill>
    <fill>
      <patternFill patternType="lightTrellis">
        <fgColor indexed="22"/>
        <bgColor indexed="29"/>
      </patternFill>
    </fill>
    <fill>
      <patternFill patternType="gray125">
        <fgColor indexed="22"/>
        <bgColor indexed="42"/>
      </patternFill>
    </fill>
    <fill>
      <patternFill patternType="gray125">
        <fgColor indexed="22"/>
        <bgColor indexed="44"/>
      </patternFill>
    </fill>
    <fill>
      <patternFill patternType="gray125">
        <fgColor indexed="22"/>
        <bgColor indexed="13"/>
      </patternFill>
    </fill>
    <fill>
      <patternFill patternType="gray125">
        <fgColor indexed="22"/>
        <bgColor indexed="53"/>
      </patternFill>
    </fill>
    <fill>
      <patternFill patternType="gray125">
        <fgColor indexed="22"/>
        <bgColor indexed="43"/>
      </patternFill>
    </fill>
    <fill>
      <patternFill patternType="gray125">
        <fgColor indexed="22"/>
        <bgColor indexed="49"/>
      </patternFill>
    </fill>
    <fill>
      <patternFill patternType="gray125">
        <fgColor indexed="22"/>
        <bgColor indexed="27"/>
      </patternFill>
    </fill>
    <fill>
      <patternFill patternType="gray125">
        <fgColor indexed="22"/>
        <bgColor indexed="31"/>
      </patternFill>
    </fill>
    <fill>
      <patternFill patternType="gray125">
        <fgColor indexed="22"/>
        <bgColor indexed="17"/>
      </patternFill>
    </fill>
    <fill>
      <patternFill patternType="gray125">
        <fgColor indexed="22"/>
        <bgColor indexed="52"/>
      </patternFill>
    </fill>
    <fill>
      <patternFill patternType="gray125">
        <fgColor indexed="22"/>
        <bgColor theme="0"/>
      </patternFill>
    </fill>
    <fill>
      <patternFill patternType="solid">
        <fgColor indexed="65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258">
    <xf numFmtId="0" fontId="0" fillId="0" borderId="0" xfId="0"/>
    <xf numFmtId="0" fontId="1" fillId="0" borderId="0" xfId="1"/>
    <xf numFmtId="0" fontId="1" fillId="0" borderId="0" xfId="1" applyFont="1"/>
    <xf numFmtId="0" fontId="7" fillId="0" borderId="0" xfId="0" applyFont="1" applyAlignment="1">
      <alignment horizontal="center"/>
    </xf>
    <xf numFmtId="0" fontId="2" fillId="0" borderId="0" xfId="1" applyFont="1"/>
    <xf numFmtId="0" fontId="1" fillId="2" borderId="0" xfId="1" applyFill="1"/>
    <xf numFmtId="0" fontId="18" fillId="5" borderId="1" xfId="1" applyFont="1" applyFill="1" applyBorder="1" applyAlignment="1">
      <alignment horizontal="center" vertical="center" textRotation="90" wrapText="1"/>
    </xf>
    <xf numFmtId="0" fontId="18" fillId="5" borderId="12" xfId="1" applyFont="1" applyFill="1" applyBorder="1" applyAlignment="1">
      <alignment horizontal="center" vertical="center" textRotation="90" wrapText="1"/>
    </xf>
    <xf numFmtId="0" fontId="19" fillId="13" borderId="34" xfId="1" applyFont="1" applyFill="1" applyBorder="1" applyAlignment="1">
      <alignment horizontal="center" wrapText="1"/>
    </xf>
    <xf numFmtId="0" fontId="18" fillId="5" borderId="5" xfId="1" applyFont="1" applyFill="1" applyBorder="1" applyAlignment="1">
      <alignment horizontal="center" vertical="center" textRotation="90" wrapText="1"/>
    </xf>
    <xf numFmtId="0" fontId="18" fillId="14" borderId="34" xfId="1" applyFont="1" applyFill="1" applyBorder="1" applyAlignment="1">
      <alignment horizontal="center" vertical="center" textRotation="90" wrapText="1"/>
    </xf>
    <xf numFmtId="0" fontId="18" fillId="15" borderId="34" xfId="1" applyFont="1" applyFill="1" applyBorder="1" applyAlignment="1">
      <alignment horizontal="center" vertical="center" textRotation="90" wrapText="1"/>
    </xf>
    <xf numFmtId="0" fontId="18" fillId="16" borderId="4" xfId="1" applyFont="1" applyFill="1" applyBorder="1" applyAlignment="1">
      <alignment horizontal="center" vertical="center" textRotation="90" wrapText="1"/>
    </xf>
    <xf numFmtId="0" fontId="1" fillId="0" borderId="0" xfId="1" applyFill="1"/>
    <xf numFmtId="166" fontId="20" fillId="2" borderId="8" xfId="4" applyFont="1" applyFill="1" applyBorder="1" applyAlignment="1">
      <alignment horizontal="center"/>
    </xf>
    <xf numFmtId="0" fontId="22" fillId="2" borderId="0" xfId="1" applyFont="1" applyFill="1"/>
    <xf numFmtId="0" fontId="22" fillId="0" borderId="0" xfId="1" applyFont="1"/>
    <xf numFmtId="166" fontId="23" fillId="2" borderId="8" xfId="4" applyFont="1" applyFill="1" applyBorder="1" applyAlignment="1">
      <alignment horizontal="center"/>
    </xf>
    <xf numFmtId="0" fontId="25" fillId="2" borderId="0" xfId="1" applyFont="1" applyFill="1"/>
    <xf numFmtId="0" fontId="25" fillId="0" borderId="0" xfId="1" applyFont="1"/>
    <xf numFmtId="0" fontId="23" fillId="0" borderId="9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166" fontId="20" fillId="2" borderId="18" xfId="4" applyFont="1" applyFill="1" applyBorder="1" applyAlignment="1">
      <alignment horizontal="center"/>
    </xf>
    <xf numFmtId="166" fontId="23" fillId="2" borderId="18" xfId="4" applyFont="1" applyFill="1" applyBorder="1" applyAlignment="1">
      <alignment horizontal="center"/>
    </xf>
    <xf numFmtId="166" fontId="23" fillId="4" borderId="9" xfId="4" applyFont="1" applyFill="1" applyBorder="1" applyAlignment="1">
      <alignment horizontal="center"/>
    </xf>
    <xf numFmtId="0" fontId="25" fillId="4" borderId="0" xfId="1" applyFont="1" applyFill="1"/>
    <xf numFmtId="166" fontId="20" fillId="4" borderId="8" xfId="4" applyFont="1" applyFill="1" applyBorder="1" applyAlignment="1">
      <alignment horizontal="center"/>
    </xf>
    <xf numFmtId="166" fontId="23" fillId="4" borderId="8" xfId="4" applyFont="1" applyFill="1" applyBorder="1" applyAlignment="1">
      <alignment horizontal="center"/>
    </xf>
    <xf numFmtId="0" fontId="22" fillId="4" borderId="0" xfId="1" applyFont="1" applyFill="1"/>
    <xf numFmtId="0" fontId="2" fillId="4" borderId="0" xfId="1" applyFont="1" applyFill="1"/>
    <xf numFmtId="0" fontId="1" fillId="4" borderId="0" xfId="1" applyFill="1"/>
    <xf numFmtId="166" fontId="25" fillId="4" borderId="0" xfId="1" applyNumberFormat="1" applyFont="1" applyFill="1"/>
    <xf numFmtId="164" fontId="6" fillId="4" borderId="0" xfId="0" applyNumberFormat="1" applyFont="1" applyFill="1"/>
    <xf numFmtId="166" fontId="20" fillId="17" borderId="34" xfId="4" applyFont="1" applyFill="1" applyBorder="1" applyAlignment="1">
      <alignment vertical="center" wrapText="1"/>
    </xf>
    <xf numFmtId="166" fontId="20" fillId="17" borderId="5" xfId="4" applyFont="1" applyFill="1" applyBorder="1" applyAlignment="1">
      <alignment vertical="center" wrapText="1"/>
    </xf>
    <xf numFmtId="49" fontId="26" fillId="2" borderId="0" xfId="1" applyNumberFormat="1" applyFont="1" applyFill="1" applyAlignment="1">
      <alignment horizontal="center"/>
    </xf>
    <xf numFmtId="0" fontId="18" fillId="18" borderId="0" xfId="1" applyFont="1" applyFill="1" applyBorder="1" applyAlignment="1">
      <alignment vertical="center" wrapText="1"/>
    </xf>
    <xf numFmtId="0" fontId="26" fillId="2" borderId="0" xfId="1" applyFont="1" applyFill="1"/>
    <xf numFmtId="167" fontId="26" fillId="2" borderId="0" xfId="1" applyNumberFormat="1" applyFont="1" applyFill="1"/>
    <xf numFmtId="0" fontId="27" fillId="2" borderId="0" xfId="1" applyFont="1" applyFill="1"/>
    <xf numFmtId="49" fontId="18" fillId="2" borderId="0" xfId="1" applyNumberFormat="1" applyFont="1" applyFill="1" applyBorder="1" applyAlignment="1">
      <alignment horizontal="left"/>
    </xf>
    <xf numFmtId="0" fontId="19" fillId="2" borderId="0" xfId="1" applyFont="1" applyFill="1" applyAlignment="1">
      <alignment wrapText="1"/>
    </xf>
    <xf numFmtId="164" fontId="19" fillId="2" borderId="0" xfId="1" applyNumberFormat="1" applyFont="1" applyFill="1"/>
    <xf numFmtId="0" fontId="19" fillId="2" borderId="0" xfId="1" applyFont="1" applyFill="1"/>
    <xf numFmtId="44" fontId="19" fillId="2" borderId="0" xfId="1" applyNumberFormat="1" applyFont="1" applyFill="1"/>
    <xf numFmtId="0" fontId="2" fillId="2" borderId="0" xfId="1" applyFont="1" applyFill="1"/>
    <xf numFmtId="0" fontId="26" fillId="2" borderId="0" xfId="1" applyFont="1" applyFill="1" applyAlignment="1">
      <alignment horizontal="center"/>
    </xf>
    <xf numFmtId="0" fontId="26" fillId="2" borderId="0" xfId="1" applyFont="1" applyFill="1" applyAlignment="1">
      <alignment wrapText="1"/>
    </xf>
    <xf numFmtId="0" fontId="0" fillId="0" borderId="13" xfId="0" applyBorder="1"/>
    <xf numFmtId="0" fontId="0" fillId="0" borderId="1" xfId="0" applyBorder="1"/>
    <xf numFmtId="0" fontId="6" fillId="0" borderId="0" xfId="0" applyFont="1" applyBorder="1" applyAlignment="1">
      <alignment horizontal="center"/>
    </xf>
    <xf numFmtId="0" fontId="0" fillId="0" borderId="14" xfId="0" applyBorder="1"/>
    <xf numFmtId="0" fontId="0" fillId="0" borderId="12" xfId="0" applyBorder="1"/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9" xfId="0" applyBorder="1"/>
    <xf numFmtId="0" fontId="0" fillId="0" borderId="5" xfId="0" applyBorder="1"/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27" xfId="0" applyFont="1" applyBorder="1" applyAlignment="1">
      <alignment horizontal="left"/>
    </xf>
    <xf numFmtId="0" fontId="9" fillId="0" borderId="25" xfId="0" applyFont="1" applyBorder="1"/>
    <xf numFmtId="164" fontId="6" fillId="0" borderId="25" xfId="0" applyNumberFormat="1" applyFont="1" applyBorder="1"/>
    <xf numFmtId="44" fontId="0" fillId="0" borderId="0" xfId="0" applyNumberFormat="1"/>
    <xf numFmtId="164" fontId="0" fillId="0" borderId="0" xfId="0" applyNumberFormat="1" applyFont="1" applyBorder="1"/>
    <xf numFmtId="164" fontId="6" fillId="0" borderId="26" xfId="0" applyNumberFormat="1" applyFont="1" applyBorder="1"/>
    <xf numFmtId="164" fontId="6" fillId="0" borderId="0" xfId="0" applyNumberFormat="1" applyFont="1" applyBorder="1"/>
    <xf numFmtId="0" fontId="8" fillId="0" borderId="27" xfId="0" applyFont="1" applyBorder="1" applyAlignment="1">
      <alignment horizontal="left"/>
    </xf>
    <xf numFmtId="0" fontId="8" fillId="0" borderId="25" xfId="0" applyFont="1" applyBorder="1"/>
    <xf numFmtId="164" fontId="0" fillId="0" borderId="25" xfId="0" applyNumberFormat="1" applyBorder="1"/>
    <xf numFmtId="164" fontId="0" fillId="0" borderId="26" xfId="0" applyNumberFormat="1" applyFont="1" applyBorder="1"/>
    <xf numFmtId="164" fontId="0" fillId="0" borderId="26" xfId="0" applyNumberFormat="1" applyBorder="1"/>
    <xf numFmtId="164" fontId="0" fillId="0" borderId="0" xfId="0" applyNumberFormat="1" applyBorder="1"/>
    <xf numFmtId="0" fontId="8" fillId="0" borderId="27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164" fontId="9" fillId="0" borderId="25" xfId="0" applyNumberFormat="1" applyFont="1" applyBorder="1"/>
    <xf numFmtId="164" fontId="9" fillId="0" borderId="26" xfId="0" applyNumberFormat="1" applyFont="1" applyBorder="1"/>
    <xf numFmtId="164" fontId="8" fillId="0" borderId="25" xfId="0" applyNumberFormat="1" applyFont="1" applyBorder="1"/>
    <xf numFmtId="164" fontId="10" fillId="0" borderId="25" xfId="3" applyFont="1" applyBorder="1"/>
    <xf numFmtId="0" fontId="6" fillId="0" borderId="28" xfId="0" applyFont="1" applyBorder="1"/>
    <xf numFmtId="0" fontId="6" fillId="0" borderId="29" xfId="0" applyFont="1" applyBorder="1"/>
    <xf numFmtId="164" fontId="6" fillId="0" borderId="30" xfId="0" applyNumberFormat="1" applyFont="1" applyBorder="1"/>
    <xf numFmtId="164" fontId="6" fillId="0" borderId="31" xfId="0" applyNumberFormat="1" applyFont="1" applyBorder="1"/>
    <xf numFmtId="164" fontId="0" fillId="0" borderId="0" xfId="0" applyNumberFormat="1"/>
    <xf numFmtId="164" fontId="6" fillId="0" borderId="0" xfId="3" applyFont="1"/>
    <xf numFmtId="4" fontId="0" fillId="0" borderId="0" xfId="0" applyNumberFormat="1"/>
    <xf numFmtId="0" fontId="6" fillId="0" borderId="0" xfId="0" applyFont="1"/>
    <xf numFmtId="43" fontId="0" fillId="0" borderId="0" xfId="0" applyNumberFormat="1"/>
    <xf numFmtId="164" fontId="0" fillId="0" borderId="0" xfId="3" applyFont="1"/>
    <xf numFmtId="44" fontId="6" fillId="3" borderId="0" xfId="0" applyNumberFormat="1" applyFont="1" applyFill="1"/>
    <xf numFmtId="164" fontId="6" fillId="20" borderId="0" xfId="3" applyFont="1" applyFill="1"/>
    <xf numFmtId="168" fontId="0" fillId="0" borderId="0" xfId="0" applyNumberFormat="1"/>
    <xf numFmtId="164" fontId="0" fillId="4" borderId="27" xfId="0" applyNumberFormat="1" applyFill="1" applyBorder="1"/>
    <xf numFmtId="165" fontId="0" fillId="4" borderId="25" xfId="0" applyNumberFormat="1" applyFont="1" applyFill="1" applyBorder="1" applyAlignment="1">
      <alignment wrapText="1"/>
    </xf>
    <xf numFmtId="0" fontId="8" fillId="0" borderId="31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9" xfId="0" applyFont="1" applyBorder="1" applyAlignment="1">
      <alignment wrapText="1"/>
    </xf>
    <xf numFmtId="0" fontId="8" fillId="0" borderId="22" xfId="0" applyFont="1" applyBorder="1"/>
    <xf numFmtId="0" fontId="8" fillId="0" borderId="43" xfId="0" applyFont="1" applyBorder="1" applyAlignment="1">
      <alignment wrapText="1"/>
    </xf>
    <xf numFmtId="0" fontId="8" fillId="0" borderId="44" xfId="0" applyFont="1" applyBorder="1" applyAlignment="1">
      <alignment wrapText="1"/>
    </xf>
    <xf numFmtId="0" fontId="8" fillId="0" borderId="11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2" xfId="0" applyFont="1" applyBorder="1"/>
    <xf numFmtId="0" fontId="8" fillId="0" borderId="48" xfId="0" applyFont="1" applyBorder="1"/>
    <xf numFmtId="0" fontId="8" fillId="0" borderId="49" xfId="0" applyFont="1" applyBorder="1"/>
    <xf numFmtId="0" fontId="6" fillId="0" borderId="4" xfId="0" applyFont="1" applyBorder="1" applyAlignment="1"/>
    <xf numFmtId="0" fontId="6" fillId="0" borderId="3" xfId="0" applyFont="1" applyBorder="1" applyAlignment="1"/>
    <xf numFmtId="0" fontId="6" fillId="0" borderId="2" xfId="0" applyFont="1" applyBorder="1" applyAlignment="1"/>
    <xf numFmtId="0" fontId="9" fillId="0" borderId="24" xfId="0" applyFont="1" applyBorder="1" applyAlignment="1">
      <alignment horizontal="left"/>
    </xf>
    <xf numFmtId="0" fontId="9" fillId="0" borderId="24" xfId="0" applyFont="1" applyBorder="1"/>
    <xf numFmtId="164" fontId="6" fillId="0" borderId="40" xfId="0" applyNumberFormat="1" applyFont="1" applyBorder="1"/>
    <xf numFmtId="164" fontId="6" fillId="0" borderId="27" xfId="0" applyNumberFormat="1" applyFont="1" applyBorder="1"/>
    <xf numFmtId="0" fontId="9" fillId="0" borderId="25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164" fontId="0" fillId="0" borderId="40" xfId="0" applyNumberFormat="1" applyFont="1" applyBorder="1"/>
    <xf numFmtId="164" fontId="0" fillId="0" borderId="27" xfId="0" applyNumberFormat="1" applyBorder="1"/>
    <xf numFmtId="164" fontId="6" fillId="0" borderId="42" xfId="0" applyNumberFormat="1" applyFont="1" applyBorder="1"/>
    <xf numFmtId="164" fontId="0" fillId="0" borderId="40" xfId="0" applyNumberFormat="1" applyBorder="1"/>
    <xf numFmtId="0" fontId="8" fillId="0" borderId="25" xfId="0" applyFont="1" applyFill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164" fontId="9" fillId="0" borderId="40" xfId="0" applyNumberFormat="1" applyFont="1" applyBorder="1"/>
    <xf numFmtId="164" fontId="9" fillId="0" borderId="27" xfId="0" applyNumberFormat="1" applyFont="1" applyBorder="1"/>
    <xf numFmtId="0" fontId="9" fillId="19" borderId="25" xfId="0" applyFont="1" applyFill="1" applyBorder="1" applyAlignment="1">
      <alignment horizontal="left"/>
    </xf>
    <xf numFmtId="0" fontId="9" fillId="19" borderId="25" xfId="0" applyFont="1" applyFill="1" applyBorder="1"/>
    <xf numFmtId="164" fontId="6" fillId="19" borderId="25" xfId="0" applyNumberFormat="1" applyFont="1" applyFill="1" applyBorder="1"/>
    <xf numFmtId="164" fontId="6" fillId="19" borderId="40" xfId="0" applyNumberFormat="1" applyFont="1" applyFill="1" applyBorder="1"/>
    <xf numFmtId="164" fontId="6" fillId="19" borderId="27" xfId="0" applyNumberFormat="1" applyFont="1" applyFill="1" applyBorder="1"/>
    <xf numFmtId="164" fontId="6" fillId="19" borderId="26" xfId="0" applyNumberFormat="1" applyFont="1" applyFill="1" applyBorder="1"/>
    <xf numFmtId="164" fontId="6" fillId="0" borderId="38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164" fontId="6" fillId="0" borderId="39" xfId="0" applyNumberFormat="1" applyFont="1" applyBorder="1"/>
    <xf numFmtId="164" fontId="6" fillId="0" borderId="0" xfId="0" applyNumberFormat="1" applyFont="1"/>
    <xf numFmtId="49" fontId="26" fillId="2" borderId="0" xfId="1" applyNumberFormat="1" applyFont="1" applyFill="1" applyBorder="1" applyAlignment="1">
      <alignment horizontal="justify"/>
    </xf>
    <xf numFmtId="0" fontId="18" fillId="11" borderId="32" xfId="1" applyFont="1" applyFill="1" applyBorder="1" applyAlignment="1">
      <alignment horizontal="center" vertical="center" textRotation="90" wrapText="1"/>
    </xf>
    <xf numFmtId="0" fontId="18" fillId="11" borderId="11" xfId="1" applyFont="1" applyFill="1" applyBorder="1" applyAlignment="1">
      <alignment horizontal="center" vertical="center" textRotation="90" wrapText="1"/>
    </xf>
    <xf numFmtId="0" fontId="18" fillId="11" borderId="6" xfId="1" applyFont="1" applyFill="1" applyBorder="1" applyAlignment="1">
      <alignment horizontal="center" vertical="center" textRotation="90" wrapText="1"/>
    </xf>
    <xf numFmtId="0" fontId="18" fillId="12" borderId="1" xfId="1" applyFont="1" applyFill="1" applyBorder="1" applyAlignment="1" applyProtection="1">
      <alignment horizontal="center" vertical="center" textRotation="90" wrapText="1"/>
      <protection locked="0" hidden="1"/>
    </xf>
    <xf numFmtId="0" fontId="18" fillId="12" borderId="12" xfId="1" applyFont="1" applyFill="1" applyBorder="1" applyAlignment="1" applyProtection="1">
      <alignment horizontal="center" vertical="center" textRotation="90" wrapText="1"/>
      <protection locked="0" hidden="1"/>
    </xf>
    <xf numFmtId="0" fontId="18" fillId="12" borderId="5" xfId="1" applyFont="1" applyFill="1" applyBorder="1" applyAlignment="1" applyProtection="1">
      <alignment horizontal="center" vertical="center" textRotation="90" wrapText="1"/>
      <protection locked="0" hidden="1"/>
    </xf>
    <xf numFmtId="0" fontId="19" fillId="13" borderId="2" xfId="1" applyFont="1" applyFill="1" applyBorder="1" applyAlignment="1">
      <alignment horizontal="center"/>
    </xf>
    <xf numFmtId="0" fontId="19" fillId="13" borderId="4" xfId="1" applyFont="1" applyFill="1" applyBorder="1" applyAlignment="1">
      <alignment horizontal="center"/>
    </xf>
    <xf numFmtId="0" fontId="18" fillId="6" borderId="32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0" fontId="18" fillId="6" borderId="0" xfId="1" applyFont="1" applyFill="1" applyBorder="1" applyAlignment="1">
      <alignment horizontal="center" vertical="center" wrapText="1"/>
    </xf>
    <xf numFmtId="0" fontId="18" fillId="7" borderId="2" xfId="1" applyFont="1" applyFill="1" applyBorder="1" applyAlignment="1">
      <alignment horizontal="center"/>
    </xf>
    <xf numFmtId="0" fontId="18" fillId="7" borderId="3" xfId="1" applyFont="1" applyFill="1" applyBorder="1" applyAlignment="1">
      <alignment horizontal="center"/>
    </xf>
    <xf numFmtId="0" fontId="18" fillId="8" borderId="32" xfId="1" applyFont="1" applyFill="1" applyBorder="1" applyAlignment="1">
      <alignment horizontal="center" vertical="center" textRotation="90" wrapText="1"/>
    </xf>
    <xf numFmtId="0" fontId="18" fillId="8" borderId="11" xfId="1" applyFont="1" applyFill="1" applyBorder="1" applyAlignment="1">
      <alignment horizontal="center" vertical="center" textRotation="90" wrapText="1"/>
    </xf>
    <xf numFmtId="0" fontId="18" fillId="8" borderId="6" xfId="1" applyFont="1" applyFill="1" applyBorder="1" applyAlignment="1">
      <alignment horizontal="center" vertical="center" textRotation="90" wrapText="1"/>
    </xf>
    <xf numFmtId="0" fontId="18" fillId="9" borderId="32" xfId="1" applyFont="1" applyFill="1" applyBorder="1" applyAlignment="1">
      <alignment horizontal="center" vertical="center" textRotation="90" wrapText="1"/>
    </xf>
    <xf numFmtId="0" fontId="18" fillId="9" borderId="11" xfId="1" applyFont="1" applyFill="1" applyBorder="1" applyAlignment="1">
      <alignment horizontal="center" vertical="center" textRotation="90" wrapText="1"/>
    </xf>
    <xf numFmtId="0" fontId="18" fillId="9" borderId="6" xfId="1" applyFont="1" applyFill="1" applyBorder="1" applyAlignment="1">
      <alignment horizontal="center" vertical="center" textRotation="90" wrapText="1"/>
    </xf>
    <xf numFmtId="0" fontId="18" fillId="10" borderId="32" xfId="1" applyFont="1" applyFill="1" applyBorder="1" applyAlignment="1">
      <alignment horizontal="center" vertical="center" textRotation="90" wrapText="1"/>
    </xf>
    <xf numFmtId="0" fontId="18" fillId="10" borderId="11" xfId="1" applyFont="1" applyFill="1" applyBorder="1" applyAlignment="1">
      <alignment horizontal="center" vertical="center" textRotation="90" wrapText="1"/>
    </xf>
    <xf numFmtId="0" fontId="18" fillId="10" borderId="6" xfId="1" applyFont="1" applyFill="1" applyBorder="1" applyAlignment="1">
      <alignment horizontal="center" vertical="center" textRotation="90" wrapText="1"/>
    </xf>
    <xf numFmtId="0" fontId="12" fillId="2" borderId="0" xfId="1" applyFont="1" applyFill="1" applyAlignment="1">
      <alignment horizontal="center"/>
    </xf>
    <xf numFmtId="0" fontId="13" fillId="0" borderId="0" xfId="1" applyFont="1" applyAlignment="1">
      <alignment horizontal="center"/>
    </xf>
    <xf numFmtId="0" fontId="14" fillId="2" borderId="0" xfId="1" applyFont="1" applyFill="1" applyAlignment="1">
      <alignment horizontal="center"/>
    </xf>
    <xf numFmtId="0" fontId="15" fillId="0" borderId="0" xfId="1" applyFont="1" applyAlignment="1">
      <alignment horizontal="center"/>
    </xf>
    <xf numFmtId="0" fontId="16" fillId="2" borderId="10" xfId="1" applyFont="1" applyFill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9" fillId="0" borderId="24" xfId="0" applyFont="1" applyFill="1" applyBorder="1"/>
    <xf numFmtId="164" fontId="6" fillId="0" borderId="25" xfId="0" applyNumberFormat="1" applyFont="1" applyFill="1" applyBorder="1"/>
    <xf numFmtId="164" fontId="6" fillId="0" borderId="26" xfId="0" applyNumberFormat="1" applyFont="1" applyFill="1" applyBorder="1"/>
    <xf numFmtId="164" fontId="6" fillId="0" borderId="0" xfId="0" applyNumberFormat="1" applyFont="1" applyFill="1" applyBorder="1"/>
    <xf numFmtId="0" fontId="0" fillId="0" borderId="0" xfId="0" applyFill="1"/>
    <xf numFmtId="0" fontId="9" fillId="0" borderId="25" xfId="0" applyFont="1" applyFill="1" applyBorder="1"/>
    <xf numFmtId="0" fontId="8" fillId="0" borderId="25" xfId="0" applyFont="1" applyFill="1" applyBorder="1"/>
    <xf numFmtId="164" fontId="0" fillId="0" borderId="25" xfId="0" applyNumberFormat="1" applyFill="1" applyBorder="1"/>
    <xf numFmtId="164" fontId="0" fillId="0" borderId="26" xfId="0" applyNumberFormat="1" applyFont="1" applyFill="1" applyBorder="1"/>
    <xf numFmtId="44" fontId="0" fillId="0" borderId="0" xfId="0" applyNumberFormat="1" applyFill="1"/>
    <xf numFmtId="164" fontId="0" fillId="0" borderId="0" xfId="0" applyNumberFormat="1" applyFont="1" applyFill="1" applyBorder="1"/>
    <xf numFmtId="164" fontId="0" fillId="0" borderId="0" xfId="0" applyNumberFormat="1" applyFill="1" applyBorder="1"/>
    <xf numFmtId="44" fontId="0" fillId="0" borderId="0" xfId="0" applyNumberFormat="1" applyFill="1" applyBorder="1"/>
    <xf numFmtId="0" fontId="0" fillId="0" borderId="0" xfId="0" applyFill="1" applyBorder="1"/>
    <xf numFmtId="164" fontId="11" fillId="0" borderId="0" xfId="0" applyNumberFormat="1" applyFont="1" applyFill="1" applyBorder="1"/>
    <xf numFmtId="164" fontId="9" fillId="0" borderId="0" xfId="0" applyNumberFormat="1" applyFont="1" applyFill="1" applyBorder="1"/>
    <xf numFmtId="43" fontId="0" fillId="0" borderId="0" xfId="0" applyNumberFormat="1" applyFill="1" applyBorder="1"/>
    <xf numFmtId="164" fontId="0" fillId="0" borderId="40" xfId="0" applyNumberFormat="1" applyFont="1" applyFill="1" applyBorder="1"/>
    <xf numFmtId="0" fontId="9" fillId="0" borderId="52" xfId="0" applyFont="1" applyFill="1" applyBorder="1" applyAlignment="1">
      <alignment horizontal="left"/>
    </xf>
    <xf numFmtId="0" fontId="9" fillId="0" borderId="53" xfId="0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9" fillId="0" borderId="24" xfId="0" applyFont="1" applyFill="1" applyBorder="1" applyAlignment="1">
      <alignment horizontal="left"/>
    </xf>
    <xf numFmtId="164" fontId="6" fillId="0" borderId="40" xfId="0" applyNumberFormat="1" applyFont="1" applyFill="1" applyBorder="1"/>
    <xf numFmtId="164" fontId="6" fillId="0" borderId="27" xfId="0" applyNumberFormat="1" applyFont="1" applyFill="1" applyBorder="1"/>
    <xf numFmtId="164" fontId="0" fillId="0" borderId="0" xfId="3" applyFont="1" applyFill="1"/>
    <xf numFmtId="164" fontId="0" fillId="0" borderId="27" xfId="0" applyNumberFormat="1" applyFill="1" applyBorder="1"/>
    <xf numFmtId="164" fontId="6" fillId="0" borderId="42" xfId="0" applyNumberFormat="1" applyFont="1" applyFill="1" applyBorder="1"/>
    <xf numFmtId="164" fontId="29" fillId="0" borderId="25" xfId="0" applyNumberFormat="1" applyFont="1" applyFill="1" applyBorder="1"/>
    <xf numFmtId="164" fontId="0" fillId="0" borderId="25" xfId="3" applyFont="1" applyFill="1" applyBorder="1"/>
    <xf numFmtId="164" fontId="0" fillId="0" borderId="40" xfId="0" applyNumberFormat="1" applyFill="1" applyBorder="1"/>
    <xf numFmtId="164" fontId="0" fillId="0" borderId="26" xfId="0" applyNumberFormat="1" applyFill="1" applyBorder="1"/>
    <xf numFmtId="164" fontId="29" fillId="0" borderId="27" xfId="0" applyNumberFormat="1" applyFont="1" applyFill="1" applyBorder="1"/>
    <xf numFmtId="164" fontId="0" fillId="0" borderId="38" xfId="3" applyFont="1" applyFill="1" applyBorder="1"/>
    <xf numFmtId="164" fontId="11" fillId="0" borderId="0" xfId="3" applyFont="1" applyFill="1"/>
    <xf numFmtId="44" fontId="11" fillId="0" borderId="0" xfId="0" applyNumberFormat="1" applyFont="1" applyFill="1"/>
    <xf numFmtId="0" fontId="6" fillId="0" borderId="0" xfId="0" applyFont="1" applyFill="1"/>
    <xf numFmtId="0" fontId="31" fillId="0" borderId="25" xfId="0" applyFont="1" applyFill="1" applyBorder="1" applyAlignment="1">
      <alignment horizontal="left"/>
    </xf>
    <xf numFmtId="0" fontId="31" fillId="0" borderId="25" xfId="0" applyFont="1" applyFill="1" applyBorder="1"/>
    <xf numFmtId="164" fontId="29" fillId="0" borderId="40" xfId="0" applyNumberFormat="1" applyFont="1" applyFill="1" applyBorder="1"/>
    <xf numFmtId="164" fontId="30" fillId="0" borderId="42" xfId="0" applyNumberFormat="1" applyFont="1" applyFill="1" applyBorder="1"/>
    <xf numFmtId="164" fontId="9" fillId="0" borderId="25" xfId="0" applyNumberFormat="1" applyFont="1" applyFill="1" applyBorder="1"/>
    <xf numFmtId="164" fontId="9" fillId="0" borderId="40" xfId="0" applyNumberFormat="1" applyFont="1" applyFill="1" applyBorder="1"/>
    <xf numFmtId="164" fontId="9" fillId="0" borderId="27" xfId="0" applyNumberFormat="1" applyFont="1" applyFill="1" applyBorder="1"/>
    <xf numFmtId="164" fontId="9" fillId="0" borderId="26" xfId="0" applyNumberFormat="1" applyFont="1" applyFill="1" applyBorder="1"/>
    <xf numFmtId="164" fontId="8" fillId="0" borderId="25" xfId="0" applyNumberFormat="1" applyFont="1" applyFill="1" applyBorder="1"/>
    <xf numFmtId="165" fontId="0" fillId="0" borderId="25" xfId="0" applyNumberFormat="1" applyFont="1" applyFill="1" applyBorder="1" applyAlignment="1">
      <alignment wrapText="1"/>
    </xf>
    <xf numFmtId="0" fontId="6" fillId="0" borderId="40" xfId="0" applyFont="1" applyFill="1" applyBorder="1"/>
    <xf numFmtId="0" fontId="6" fillId="0" borderId="41" xfId="0" applyFont="1" applyFill="1" applyBorder="1"/>
    <xf numFmtId="164" fontId="6" fillId="0" borderId="39" xfId="0" applyNumberFormat="1" applyFont="1" applyFill="1" applyBorder="1"/>
    <xf numFmtId="164" fontId="6" fillId="0" borderId="30" xfId="0" applyNumberFormat="1" applyFont="1" applyFill="1" applyBorder="1"/>
    <xf numFmtId="164" fontId="6" fillId="0" borderId="31" xfId="0" applyNumberFormat="1" applyFont="1" applyFill="1" applyBorder="1"/>
    <xf numFmtId="49" fontId="20" fillId="0" borderId="7" xfId="1" applyNumberFormat="1" applyFont="1" applyFill="1" applyBorder="1" applyAlignment="1">
      <alignment horizontal="center"/>
    </xf>
    <xf numFmtId="0" fontId="21" fillId="0" borderId="33" xfId="0" applyFont="1" applyFill="1" applyBorder="1" applyAlignment="1">
      <alignment vertical="center" wrapText="1"/>
    </xf>
    <xf numFmtId="166" fontId="20" fillId="0" borderId="8" xfId="4" applyFont="1" applyFill="1" applyBorder="1" applyAlignment="1">
      <alignment horizontal="center"/>
    </xf>
    <xf numFmtId="166" fontId="20" fillId="0" borderId="7" xfId="4" applyFont="1" applyFill="1" applyBorder="1" applyAlignment="1">
      <alignment horizontal="center"/>
    </xf>
    <xf numFmtId="164" fontId="21" fillId="0" borderId="25" xfId="0" applyNumberFormat="1" applyFont="1" applyFill="1" applyBorder="1"/>
    <xf numFmtId="49" fontId="23" fillId="0" borderId="8" xfId="1" applyNumberFormat="1" applyFont="1" applyFill="1" applyBorder="1" applyAlignment="1">
      <alignment horizontal="center"/>
    </xf>
    <xf numFmtId="0" fontId="24" fillId="0" borderId="33" xfId="0" applyFont="1" applyFill="1" applyBorder="1" applyAlignment="1">
      <alignment vertical="center" wrapText="1"/>
    </xf>
    <xf numFmtId="166" fontId="23" fillId="0" borderId="8" xfId="4" applyFont="1" applyFill="1" applyBorder="1" applyAlignment="1">
      <alignment horizontal="center"/>
    </xf>
    <xf numFmtId="164" fontId="24" fillId="0" borderId="25" xfId="0" applyNumberFormat="1" applyFont="1" applyFill="1" applyBorder="1"/>
    <xf numFmtId="49" fontId="23" fillId="0" borderId="9" xfId="1" applyNumberFormat="1" applyFont="1" applyFill="1" applyBorder="1" applyAlignment="1">
      <alignment horizontal="center"/>
    </xf>
    <xf numFmtId="49" fontId="23" fillId="0" borderId="35" xfId="1" applyNumberFormat="1" applyFont="1" applyFill="1" applyBorder="1" applyAlignment="1">
      <alignment horizontal="center"/>
    </xf>
    <xf numFmtId="49" fontId="20" fillId="0" borderId="35" xfId="1" applyNumberFormat="1" applyFont="1" applyFill="1" applyBorder="1" applyAlignment="1">
      <alignment horizontal="center"/>
    </xf>
    <xf numFmtId="166" fontId="20" fillId="0" borderId="18" xfId="4" applyFont="1" applyFill="1" applyBorder="1" applyAlignment="1">
      <alignment horizontal="center"/>
    </xf>
    <xf numFmtId="166" fontId="23" fillId="0" borderId="18" xfId="4" applyFont="1" applyFill="1" applyBorder="1" applyAlignment="1">
      <alignment horizontal="center"/>
    </xf>
    <xf numFmtId="0" fontId="23" fillId="0" borderId="33" xfId="1" applyFont="1" applyFill="1" applyBorder="1" applyAlignment="1">
      <alignment horizontal="justify" vertical="justify" wrapText="1"/>
    </xf>
    <xf numFmtId="167" fontId="23" fillId="0" borderId="8" xfId="4" applyNumberFormat="1" applyFont="1" applyFill="1" applyBorder="1" applyAlignment="1">
      <alignment horizontal="center"/>
    </xf>
    <xf numFmtId="167" fontId="23" fillId="0" borderId="9" xfId="4" applyNumberFormat="1" applyFont="1" applyFill="1" applyBorder="1" applyAlignment="1">
      <alignment horizontal="center"/>
    </xf>
    <xf numFmtId="166" fontId="23" fillId="0" borderId="9" xfId="4" applyFont="1" applyFill="1" applyBorder="1" applyAlignment="1">
      <alignment horizontal="center"/>
    </xf>
    <xf numFmtId="0" fontId="20" fillId="0" borderId="36" xfId="1" applyFont="1" applyFill="1" applyBorder="1" applyAlignment="1">
      <alignment horizontal="justify" vertical="justify" wrapText="1"/>
    </xf>
    <xf numFmtId="167" fontId="20" fillId="0" borderId="8" xfId="4" applyNumberFormat="1" applyFont="1" applyFill="1" applyBorder="1" applyAlignment="1">
      <alignment horizontal="center"/>
    </xf>
    <xf numFmtId="0" fontId="23" fillId="0" borderId="36" xfId="1" applyFont="1" applyFill="1" applyBorder="1" applyAlignment="1">
      <alignment horizontal="justify" vertical="justify" wrapText="1"/>
    </xf>
    <xf numFmtId="49" fontId="23" fillId="0" borderId="37" xfId="1" applyNumberFormat="1" applyFont="1" applyFill="1" applyBorder="1" applyAlignment="1">
      <alignment horizontal="center"/>
    </xf>
    <xf numFmtId="0" fontId="20" fillId="0" borderId="34" xfId="1" applyFont="1" applyFill="1" applyBorder="1" applyAlignment="1">
      <alignment vertical="center" wrapText="1"/>
    </xf>
    <xf numFmtId="0" fontId="20" fillId="0" borderId="2" xfId="1" applyFont="1" applyFill="1" applyBorder="1" applyAlignment="1">
      <alignment vertical="center" wrapText="1"/>
    </xf>
    <xf numFmtId="166" fontId="20" fillId="0" borderId="34" xfId="4" applyFont="1" applyFill="1" applyBorder="1" applyAlignment="1">
      <alignment vertical="center" wrapText="1"/>
    </xf>
  </cellXfs>
  <cellStyles count="6">
    <cellStyle name="Millares 2" xfId="2"/>
    <cellStyle name="Millares 2 2" xfId="5"/>
    <cellStyle name="Moneda 2" xfId="4"/>
    <cellStyle name="Moneda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534D8CF3-4CF0-4D74-B18D-5810888A4E95}"/>
            </a:ext>
          </a:extLst>
        </xdr:cNvPr>
        <xdr:cNvSpPr>
          <a:spLocks noChangeArrowheads="1"/>
        </xdr:cNvSpPr>
      </xdr:nvSpPr>
      <xdr:spPr bwMode="auto">
        <a:xfrm>
          <a:off x="103822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0C52C8A-C98F-4A92-A33B-2180FC312704}"/>
            </a:ext>
          </a:extLst>
        </xdr:cNvPr>
        <xdr:cNvSpPr>
          <a:spLocks noChangeArrowheads="1"/>
        </xdr:cNvSpPr>
      </xdr:nvSpPr>
      <xdr:spPr bwMode="auto">
        <a:xfrm>
          <a:off x="103822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419099</xdr:colOff>
      <xdr:row>0</xdr:row>
      <xdr:rowOff>19050</xdr:rowOff>
    </xdr:from>
    <xdr:to>
      <xdr:col>11</xdr:col>
      <xdr:colOff>60299</xdr:colOff>
      <xdr:row>4</xdr:row>
      <xdr:rowOff>200025</xdr:rowOff>
    </xdr:to>
    <xdr:pic>
      <xdr:nvPicPr>
        <xdr:cNvPr id="4" name="Picture 6" descr="Escudo Mpal">
          <a:extLst>
            <a:ext uri="{FF2B5EF4-FFF2-40B4-BE49-F238E27FC236}">
              <a16:creationId xmlns:a16="http://schemas.microsoft.com/office/drawing/2014/main" id="{8DE2F8AD-CB32-43B8-BEA1-72A0C4A58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4" y="19050"/>
          <a:ext cx="908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168089</xdr:colOff>
      <xdr:row>0</xdr:row>
      <xdr:rowOff>0</xdr:rowOff>
    </xdr:from>
    <xdr:to>
      <xdr:col>18</xdr:col>
      <xdr:colOff>817521</xdr:colOff>
      <xdr:row>2</xdr:row>
      <xdr:rowOff>98522</xdr:rowOff>
    </xdr:to>
    <xdr:pic>
      <xdr:nvPicPr>
        <xdr:cNvPr id="2" name="Picture 6" descr="Escudo Mpal">
          <a:extLst>
            <a:ext uri="{FF2B5EF4-FFF2-40B4-BE49-F238E27FC236}">
              <a16:creationId xmlns:a16="http://schemas.microsoft.com/office/drawing/2014/main" id="{B420F1D9-01B6-4960-8720-3994EB5D1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4089" y="0"/>
          <a:ext cx="592282" cy="479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454755</xdr:colOff>
      <xdr:row>0</xdr:row>
      <xdr:rowOff>0</xdr:rowOff>
    </xdr:from>
    <xdr:to>
      <xdr:col>6</xdr:col>
      <xdr:colOff>920750</xdr:colOff>
      <xdr:row>3</xdr:row>
      <xdr:rowOff>47625</xdr:rowOff>
    </xdr:to>
    <xdr:pic>
      <xdr:nvPicPr>
        <xdr:cNvPr id="2" name="Picture 6" descr="Escudo Mpal">
          <a:extLst>
            <a:ext uri="{FF2B5EF4-FFF2-40B4-BE49-F238E27FC236}">
              <a16:creationId xmlns:a16="http://schemas.microsoft.com/office/drawing/2014/main" id="{005349FB-15A7-4626-A2AB-47B6A3D0E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005" y="0"/>
          <a:ext cx="46599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395654</xdr:colOff>
      <xdr:row>0</xdr:row>
      <xdr:rowOff>0</xdr:rowOff>
    </xdr:from>
    <xdr:to>
      <xdr:col>14</xdr:col>
      <xdr:colOff>0</xdr:colOff>
      <xdr:row>2</xdr:row>
      <xdr:rowOff>203504</xdr:rowOff>
    </xdr:to>
    <xdr:pic>
      <xdr:nvPicPr>
        <xdr:cNvPr id="2" name="Picture 6" descr="Escudo Mpal">
          <a:extLst>
            <a:ext uri="{FF2B5EF4-FFF2-40B4-BE49-F238E27FC236}">
              <a16:creationId xmlns:a16="http://schemas.microsoft.com/office/drawing/2014/main" id="{F0C11488-B68D-4A1B-8A66-93EB855C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1804" y="0"/>
          <a:ext cx="671146" cy="736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L69"/>
  <sheetViews>
    <sheetView tabSelected="1" topLeftCell="A4" zoomScale="104" zoomScaleNormal="104" workbookViewId="0">
      <selection activeCell="B10" sqref="B10"/>
    </sheetView>
  </sheetViews>
  <sheetFormatPr baseColWidth="10" defaultRowHeight="15" x14ac:dyDescent="0.3"/>
  <cols>
    <col min="1" max="1" width="8.140625" style="46" customWidth="1"/>
    <col min="2" max="2" width="37.42578125" style="47" customWidth="1"/>
    <col min="3" max="3" width="17.7109375" style="37" customWidth="1"/>
    <col min="4" max="4" width="18.42578125" style="37" customWidth="1"/>
    <col min="5" max="5" width="11.5703125" style="37" customWidth="1"/>
    <col min="6" max="6" width="16.140625" style="37" customWidth="1"/>
    <col min="7" max="7" width="8.42578125" style="37" customWidth="1"/>
    <col min="8" max="9" width="9.85546875" style="37" customWidth="1"/>
    <col min="10" max="10" width="18.140625" style="39" customWidth="1"/>
    <col min="11" max="11" width="0.85546875" style="5" customWidth="1"/>
    <col min="12" max="12" width="17.42578125" style="1" customWidth="1"/>
    <col min="13" max="16384" width="11.42578125" style="1"/>
  </cols>
  <sheetData>
    <row r="1" spans="1:12" ht="21" x14ac:dyDescent="0.35">
      <c r="A1" s="158" t="s">
        <v>128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ht="18.75" x14ac:dyDescent="0.3">
      <c r="A2" s="160" t="s">
        <v>6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2" ht="18.75" x14ac:dyDescent="0.3">
      <c r="A3" s="160" t="s">
        <v>230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2" ht="18.75" x14ac:dyDescent="0.3">
      <c r="A4" s="160" t="s">
        <v>129</v>
      </c>
      <c r="B4" s="161"/>
      <c r="C4" s="161"/>
      <c r="D4" s="161"/>
      <c r="E4" s="161"/>
      <c r="F4" s="161"/>
      <c r="G4" s="161"/>
      <c r="H4" s="161"/>
      <c r="I4" s="161"/>
      <c r="J4" s="161"/>
    </row>
    <row r="5" spans="1:12" ht="19.5" thickBot="1" x14ac:dyDescent="0.35">
      <c r="A5" s="162" t="s">
        <v>130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2" ht="15.75" customHeight="1" thickBot="1" x14ac:dyDescent="0.4">
      <c r="A6" s="6"/>
      <c r="B6" s="144" t="s">
        <v>131</v>
      </c>
      <c r="C6" s="147" t="s">
        <v>132</v>
      </c>
      <c r="D6" s="148"/>
      <c r="E6" s="148"/>
      <c r="F6" s="149" t="s">
        <v>133</v>
      </c>
      <c r="G6" s="152" t="s">
        <v>134</v>
      </c>
      <c r="H6" s="155" t="s">
        <v>135</v>
      </c>
      <c r="I6" s="136" t="s">
        <v>136</v>
      </c>
      <c r="J6" s="139" t="s">
        <v>137</v>
      </c>
    </row>
    <row r="7" spans="1:12" ht="18" customHeight="1" thickBot="1" x14ac:dyDescent="0.35">
      <c r="A7" s="7"/>
      <c r="B7" s="145"/>
      <c r="C7" s="142" t="s">
        <v>138</v>
      </c>
      <c r="D7" s="143"/>
      <c r="E7" s="8" t="s">
        <v>139</v>
      </c>
      <c r="F7" s="150"/>
      <c r="G7" s="153"/>
      <c r="H7" s="156"/>
      <c r="I7" s="137"/>
      <c r="J7" s="140"/>
    </row>
    <row r="8" spans="1:12" s="13" customFormat="1" ht="108.75" customHeight="1" thickBot="1" x14ac:dyDescent="0.25">
      <c r="A8" s="9"/>
      <c r="B8" s="146"/>
      <c r="C8" s="10" t="s">
        <v>140</v>
      </c>
      <c r="D8" s="11" t="s">
        <v>141</v>
      </c>
      <c r="E8" s="12" t="s">
        <v>142</v>
      </c>
      <c r="F8" s="151"/>
      <c r="G8" s="154"/>
      <c r="H8" s="157"/>
      <c r="I8" s="138"/>
      <c r="J8" s="141"/>
      <c r="K8" s="5"/>
    </row>
    <row r="9" spans="1:12" s="4" customFormat="1" ht="26.25" customHeight="1" x14ac:dyDescent="0.25">
      <c r="A9" s="233">
        <v>11</v>
      </c>
      <c r="B9" s="234" t="s">
        <v>143</v>
      </c>
      <c r="C9" s="235"/>
      <c r="D9" s="235"/>
      <c r="E9" s="236"/>
      <c r="F9" s="237">
        <f>F10</f>
        <v>93183.56</v>
      </c>
      <c r="G9" s="14"/>
      <c r="H9" s="14"/>
      <c r="I9" s="14"/>
      <c r="J9" s="14">
        <f>SUM(C9:I9)</f>
        <v>93183.56</v>
      </c>
      <c r="K9" s="15"/>
      <c r="L9" s="16"/>
    </row>
    <row r="10" spans="1:12" ht="18" customHeight="1" x14ac:dyDescent="0.25">
      <c r="A10" s="238">
        <v>118</v>
      </c>
      <c r="B10" s="239" t="s">
        <v>144</v>
      </c>
      <c r="C10" s="240"/>
      <c r="D10" s="240"/>
      <c r="E10" s="240"/>
      <c r="F10" s="237">
        <f>SUM(F11:F15)</f>
        <v>93183.56</v>
      </c>
      <c r="G10" s="17"/>
      <c r="H10" s="17"/>
      <c r="I10" s="17"/>
      <c r="J10" s="17">
        <f>C10+D10+E10+F10+G10+H10+I10</f>
        <v>93183.56</v>
      </c>
      <c r="K10" s="18"/>
      <c r="L10" s="19"/>
    </row>
    <row r="11" spans="1:12" ht="18" customHeight="1" x14ac:dyDescent="0.25">
      <c r="A11" s="238">
        <v>11801</v>
      </c>
      <c r="B11" s="239" t="s">
        <v>145</v>
      </c>
      <c r="C11" s="240"/>
      <c r="D11" s="240"/>
      <c r="E11" s="240"/>
      <c r="F11" s="241">
        <v>81005.460000000006</v>
      </c>
      <c r="G11" s="17"/>
      <c r="H11" s="17"/>
      <c r="I11" s="17"/>
      <c r="J11" s="17">
        <f t="shared" ref="J11:J37" si="0">C11+D11+E11+F11+G11+H11+I11</f>
        <v>81005.460000000006</v>
      </c>
      <c r="K11" s="18"/>
      <c r="L11" s="19"/>
    </row>
    <row r="12" spans="1:12" ht="18" customHeight="1" x14ac:dyDescent="0.25">
      <c r="A12" s="238">
        <v>11803</v>
      </c>
      <c r="B12" s="239" t="s">
        <v>146</v>
      </c>
      <c r="C12" s="240"/>
      <c r="D12" s="240"/>
      <c r="E12" s="240"/>
      <c r="F12" s="241">
        <v>0</v>
      </c>
      <c r="G12" s="17"/>
      <c r="H12" s="17"/>
      <c r="I12" s="17"/>
      <c r="J12" s="17">
        <f t="shared" si="0"/>
        <v>0</v>
      </c>
      <c r="K12" s="18"/>
      <c r="L12" s="19"/>
    </row>
    <row r="13" spans="1:12" ht="18" customHeight="1" x14ac:dyDescent="0.25">
      <c r="A13" s="238">
        <v>11804</v>
      </c>
      <c r="B13" s="239" t="s">
        <v>147</v>
      </c>
      <c r="C13" s="240"/>
      <c r="D13" s="240"/>
      <c r="E13" s="240"/>
      <c r="F13" s="241">
        <v>10693.62</v>
      </c>
      <c r="G13" s="17"/>
      <c r="H13" s="17"/>
      <c r="I13" s="17"/>
      <c r="J13" s="17">
        <f t="shared" si="0"/>
        <v>10693.62</v>
      </c>
      <c r="K13" s="18"/>
      <c r="L13" s="19"/>
    </row>
    <row r="14" spans="1:12" ht="18" customHeight="1" x14ac:dyDescent="0.25">
      <c r="A14" s="20">
        <v>11806</v>
      </c>
      <c r="B14" s="239" t="s">
        <v>148</v>
      </c>
      <c r="C14" s="240"/>
      <c r="D14" s="240"/>
      <c r="E14" s="240"/>
      <c r="F14" s="241">
        <v>1173.8</v>
      </c>
      <c r="G14" s="17"/>
      <c r="H14" s="17"/>
      <c r="I14" s="17"/>
      <c r="J14" s="17">
        <f t="shared" si="0"/>
        <v>1173.8</v>
      </c>
      <c r="K14" s="18"/>
      <c r="L14" s="19"/>
    </row>
    <row r="15" spans="1:12" ht="18" customHeight="1" x14ac:dyDescent="0.25">
      <c r="A15" s="238">
        <v>11818</v>
      </c>
      <c r="B15" s="239" t="s">
        <v>0</v>
      </c>
      <c r="C15" s="240"/>
      <c r="D15" s="240"/>
      <c r="E15" s="240"/>
      <c r="F15" s="241">
        <v>310.68</v>
      </c>
      <c r="G15" s="17"/>
      <c r="H15" s="17"/>
      <c r="I15" s="17"/>
      <c r="J15" s="17">
        <f t="shared" si="0"/>
        <v>310.68</v>
      </c>
      <c r="K15" s="18"/>
      <c r="L15" s="19"/>
    </row>
    <row r="16" spans="1:12" s="4" customFormat="1" ht="31.5" customHeight="1" x14ac:dyDescent="0.25">
      <c r="A16" s="21">
        <v>12</v>
      </c>
      <c r="B16" s="234" t="s">
        <v>149</v>
      </c>
      <c r="C16" s="235"/>
      <c r="D16" s="235"/>
      <c r="E16" s="235"/>
      <c r="F16" s="237">
        <f>F17+F31</f>
        <v>304518.32999999996</v>
      </c>
      <c r="G16" s="14"/>
      <c r="H16" s="14"/>
      <c r="I16" s="14"/>
      <c r="J16" s="14">
        <f t="shared" ref="J16" si="1">SUM(C16:I16)</f>
        <v>304518.32999999996</v>
      </c>
      <c r="K16" s="15"/>
      <c r="L16" s="16"/>
    </row>
    <row r="17" spans="1:12" s="2" customFormat="1" ht="29.25" customHeight="1" x14ac:dyDescent="0.25">
      <c r="A17" s="20">
        <v>121</v>
      </c>
      <c r="B17" s="239" t="s">
        <v>150</v>
      </c>
      <c r="C17" s="240"/>
      <c r="D17" s="240"/>
      <c r="E17" s="240"/>
      <c r="F17" s="241">
        <f>SUM(F18:F30)</f>
        <v>291261.75999999995</v>
      </c>
      <c r="G17" s="17"/>
      <c r="H17" s="17"/>
      <c r="I17" s="17"/>
      <c r="J17" s="17">
        <f t="shared" si="0"/>
        <v>291261.75999999995</v>
      </c>
      <c r="K17" s="18"/>
      <c r="L17" s="19"/>
    </row>
    <row r="18" spans="1:12" s="2" customFormat="1" ht="29.25" customHeight="1" x14ac:dyDescent="0.25">
      <c r="A18" s="242">
        <v>12105</v>
      </c>
      <c r="B18" s="239" t="s">
        <v>151</v>
      </c>
      <c r="C18" s="240"/>
      <c r="D18" s="240"/>
      <c r="E18" s="240"/>
      <c r="F18" s="241">
        <v>32818.160000000003</v>
      </c>
      <c r="G18" s="17"/>
      <c r="H18" s="17"/>
      <c r="I18" s="17"/>
      <c r="J18" s="17">
        <f t="shared" si="0"/>
        <v>32818.160000000003</v>
      </c>
      <c r="K18" s="18"/>
      <c r="L18" s="19"/>
    </row>
    <row r="19" spans="1:12" s="2" customFormat="1" ht="32.25" customHeight="1" x14ac:dyDescent="0.25">
      <c r="A19" s="242">
        <v>12106</v>
      </c>
      <c r="B19" s="239" t="s">
        <v>152</v>
      </c>
      <c r="C19" s="240"/>
      <c r="D19" s="240"/>
      <c r="E19" s="240"/>
      <c r="F19" s="241">
        <v>117.12</v>
      </c>
      <c r="G19" s="17"/>
      <c r="H19" s="17"/>
      <c r="I19" s="17"/>
      <c r="J19" s="17">
        <f t="shared" si="0"/>
        <v>117.12</v>
      </c>
      <c r="K19" s="18"/>
      <c r="L19" s="19"/>
    </row>
    <row r="20" spans="1:12" s="2" customFormat="1" ht="18" customHeight="1" x14ac:dyDescent="0.25">
      <c r="A20" s="242">
        <v>12108</v>
      </c>
      <c r="B20" s="239" t="s">
        <v>153</v>
      </c>
      <c r="C20" s="240"/>
      <c r="D20" s="240"/>
      <c r="E20" s="240"/>
      <c r="F20" s="241">
        <v>22284.73</v>
      </c>
      <c r="G20" s="17"/>
      <c r="H20" s="17"/>
      <c r="I20" s="17"/>
      <c r="J20" s="17">
        <f t="shared" si="0"/>
        <v>22284.73</v>
      </c>
      <c r="K20" s="18"/>
      <c r="L20" s="19"/>
    </row>
    <row r="21" spans="1:12" s="2" customFormat="1" ht="18" customHeight="1" x14ac:dyDescent="0.25">
      <c r="A21" s="242">
        <v>12109</v>
      </c>
      <c r="B21" s="239" t="s">
        <v>154</v>
      </c>
      <c r="C21" s="240"/>
      <c r="D21" s="240"/>
      <c r="E21" s="240"/>
      <c r="F21" s="241">
        <v>58164.47</v>
      </c>
      <c r="G21" s="17"/>
      <c r="H21" s="17"/>
      <c r="I21" s="17"/>
      <c r="J21" s="17">
        <f t="shared" si="0"/>
        <v>58164.47</v>
      </c>
      <c r="K21" s="18"/>
      <c r="L21" s="19"/>
    </row>
    <row r="22" spans="1:12" s="2" customFormat="1" ht="18" customHeight="1" x14ac:dyDescent="0.25">
      <c r="A22" s="242">
        <v>12111</v>
      </c>
      <c r="B22" s="239" t="s">
        <v>155</v>
      </c>
      <c r="C22" s="240"/>
      <c r="D22" s="240"/>
      <c r="E22" s="240"/>
      <c r="F22" s="241">
        <v>3251.86</v>
      </c>
      <c r="G22" s="17"/>
      <c r="H22" s="17"/>
      <c r="I22" s="17"/>
      <c r="J22" s="17">
        <f t="shared" si="0"/>
        <v>3251.86</v>
      </c>
      <c r="K22" s="18"/>
      <c r="L22" s="19"/>
    </row>
    <row r="23" spans="1:12" s="2" customFormat="1" ht="18" customHeight="1" x14ac:dyDescent="0.25">
      <c r="A23" s="242">
        <v>12112</v>
      </c>
      <c r="B23" s="239" t="s">
        <v>4</v>
      </c>
      <c r="C23" s="240"/>
      <c r="D23" s="240"/>
      <c r="E23" s="240"/>
      <c r="F23" s="241">
        <v>6712.66</v>
      </c>
      <c r="G23" s="17"/>
      <c r="H23" s="17"/>
      <c r="I23" s="17"/>
      <c r="J23" s="17">
        <f t="shared" si="0"/>
        <v>6712.66</v>
      </c>
      <c r="K23" s="18"/>
      <c r="L23" s="19"/>
    </row>
    <row r="24" spans="1:12" s="2" customFormat="1" ht="18" customHeight="1" x14ac:dyDescent="0.25">
      <c r="A24" s="242">
        <v>12114</v>
      </c>
      <c r="B24" s="239" t="s">
        <v>1</v>
      </c>
      <c r="C24" s="240"/>
      <c r="D24" s="240"/>
      <c r="E24" s="240"/>
      <c r="F24" s="241">
        <v>15252.25</v>
      </c>
      <c r="G24" s="17"/>
      <c r="H24" s="17"/>
      <c r="I24" s="17"/>
      <c r="J24" s="17">
        <f t="shared" si="0"/>
        <v>15252.25</v>
      </c>
      <c r="K24" s="18"/>
      <c r="L24" s="19"/>
    </row>
    <row r="25" spans="1:12" s="2" customFormat="1" ht="18" customHeight="1" x14ac:dyDescent="0.25">
      <c r="A25" s="242">
        <v>12115</v>
      </c>
      <c r="B25" s="239" t="s">
        <v>2</v>
      </c>
      <c r="C25" s="240"/>
      <c r="D25" s="240"/>
      <c r="E25" s="240"/>
      <c r="F25" s="241">
        <v>8764.01</v>
      </c>
      <c r="G25" s="17"/>
      <c r="H25" s="17"/>
      <c r="I25" s="17"/>
      <c r="J25" s="17">
        <f t="shared" si="0"/>
        <v>8764.01</v>
      </c>
      <c r="K25" s="18"/>
      <c r="L25" s="19"/>
    </row>
    <row r="26" spans="1:12" s="2" customFormat="1" ht="18" customHeight="1" x14ac:dyDescent="0.25">
      <c r="A26" s="242">
        <v>12117</v>
      </c>
      <c r="B26" s="239" t="s">
        <v>5</v>
      </c>
      <c r="C26" s="240"/>
      <c r="D26" s="240"/>
      <c r="E26" s="240"/>
      <c r="F26" s="241">
        <v>23652.799999999999</v>
      </c>
      <c r="G26" s="17"/>
      <c r="H26" s="17"/>
      <c r="I26" s="17"/>
      <c r="J26" s="17">
        <f t="shared" si="0"/>
        <v>23652.799999999999</v>
      </c>
      <c r="K26" s="18"/>
      <c r="L26" s="19"/>
    </row>
    <row r="27" spans="1:12" s="2" customFormat="1" ht="18" customHeight="1" x14ac:dyDescent="0.25">
      <c r="A27" s="242">
        <v>12118</v>
      </c>
      <c r="B27" s="239" t="s">
        <v>156</v>
      </c>
      <c r="C27" s="240"/>
      <c r="D27" s="240"/>
      <c r="E27" s="240"/>
      <c r="F27" s="241">
        <v>100999.28</v>
      </c>
      <c r="G27" s="17"/>
      <c r="H27" s="17"/>
      <c r="I27" s="17"/>
      <c r="J27" s="17">
        <f t="shared" si="0"/>
        <v>100999.28</v>
      </c>
      <c r="K27" s="18"/>
      <c r="L27" s="19"/>
    </row>
    <row r="28" spans="1:12" s="2" customFormat="1" ht="18" customHeight="1" x14ac:dyDescent="0.25">
      <c r="A28" s="243">
        <v>12119</v>
      </c>
      <c r="B28" s="239" t="s">
        <v>157</v>
      </c>
      <c r="C28" s="240"/>
      <c r="D28" s="240"/>
      <c r="E28" s="240"/>
      <c r="F28" s="241">
        <v>1507.48</v>
      </c>
      <c r="G28" s="17"/>
      <c r="H28" s="17"/>
      <c r="I28" s="17"/>
      <c r="J28" s="17">
        <f t="shared" si="0"/>
        <v>1507.48</v>
      </c>
      <c r="K28" s="18"/>
      <c r="L28" s="19"/>
    </row>
    <row r="29" spans="1:12" s="2" customFormat="1" ht="18" customHeight="1" x14ac:dyDescent="0.25">
      <c r="A29" s="243">
        <v>12123</v>
      </c>
      <c r="B29" s="239" t="s">
        <v>158</v>
      </c>
      <c r="C29" s="240"/>
      <c r="D29" s="240"/>
      <c r="E29" s="240"/>
      <c r="F29" s="241">
        <v>14424.23</v>
      </c>
      <c r="G29" s="17"/>
      <c r="H29" s="17"/>
      <c r="I29" s="17"/>
      <c r="J29" s="17">
        <f t="shared" si="0"/>
        <v>14424.23</v>
      </c>
      <c r="K29" s="18"/>
      <c r="L29" s="19"/>
    </row>
    <row r="30" spans="1:12" s="2" customFormat="1" ht="18" customHeight="1" x14ac:dyDescent="0.25">
      <c r="A30" s="243">
        <v>12199</v>
      </c>
      <c r="B30" s="239" t="s">
        <v>159</v>
      </c>
      <c r="C30" s="240"/>
      <c r="D30" s="240"/>
      <c r="E30" s="240"/>
      <c r="F30" s="241">
        <v>3312.71</v>
      </c>
      <c r="G30" s="17"/>
      <c r="H30" s="17"/>
      <c r="I30" s="17"/>
      <c r="J30" s="17">
        <f t="shared" si="0"/>
        <v>3312.71</v>
      </c>
      <c r="K30" s="18"/>
      <c r="L30" s="19"/>
    </row>
    <row r="31" spans="1:12" s="2" customFormat="1" ht="18" customHeight="1" x14ac:dyDescent="0.25">
      <c r="A31" s="243">
        <v>122</v>
      </c>
      <c r="B31" s="239" t="s">
        <v>160</v>
      </c>
      <c r="C31" s="240"/>
      <c r="D31" s="240"/>
      <c r="E31" s="240"/>
      <c r="F31" s="241">
        <f>SUM(F32:F33)</f>
        <v>13256.57</v>
      </c>
      <c r="G31" s="17"/>
      <c r="H31" s="17"/>
      <c r="I31" s="17"/>
      <c r="J31" s="17">
        <f t="shared" si="0"/>
        <v>13256.57</v>
      </c>
      <c r="K31" s="18"/>
      <c r="L31" s="19"/>
    </row>
    <row r="32" spans="1:12" s="2" customFormat="1" ht="18" customHeight="1" x14ac:dyDescent="0.25">
      <c r="A32" s="243">
        <v>12210</v>
      </c>
      <c r="B32" s="239" t="s">
        <v>161</v>
      </c>
      <c r="C32" s="240"/>
      <c r="D32" s="240"/>
      <c r="E32" s="240"/>
      <c r="F32" s="241">
        <v>13036.6</v>
      </c>
      <c r="G32" s="17"/>
      <c r="H32" s="17"/>
      <c r="I32" s="17"/>
      <c r="J32" s="17">
        <f t="shared" si="0"/>
        <v>13036.6</v>
      </c>
      <c r="K32" s="18"/>
      <c r="L32" s="19"/>
    </row>
    <row r="33" spans="1:12" s="2" customFormat="1" ht="18" customHeight="1" x14ac:dyDescent="0.25">
      <c r="A33" s="243">
        <v>12211</v>
      </c>
      <c r="B33" s="239" t="s">
        <v>162</v>
      </c>
      <c r="C33" s="240"/>
      <c r="D33" s="240"/>
      <c r="E33" s="240"/>
      <c r="F33" s="241">
        <v>219.97</v>
      </c>
      <c r="G33" s="17"/>
      <c r="H33" s="17"/>
      <c r="I33" s="17"/>
      <c r="J33" s="17">
        <f t="shared" si="0"/>
        <v>219.97</v>
      </c>
      <c r="K33" s="18"/>
      <c r="L33" s="19"/>
    </row>
    <row r="34" spans="1:12" s="4" customFormat="1" ht="24" customHeight="1" x14ac:dyDescent="0.25">
      <c r="A34" s="244">
        <v>14</v>
      </c>
      <c r="B34" s="234" t="s">
        <v>163</v>
      </c>
      <c r="C34" s="235"/>
      <c r="D34" s="235"/>
      <c r="E34" s="235"/>
      <c r="F34" s="237">
        <f>F35</f>
        <v>2712.44</v>
      </c>
      <c r="G34" s="14"/>
      <c r="H34" s="14"/>
      <c r="I34" s="14"/>
      <c r="J34" s="14">
        <f>SUM(J35:J38)</f>
        <v>4147.1000000000004</v>
      </c>
      <c r="K34" s="15"/>
      <c r="L34" s="16"/>
    </row>
    <row r="35" spans="1:12" ht="31.5" x14ac:dyDescent="0.25">
      <c r="A35" s="243">
        <v>142</v>
      </c>
      <c r="B35" s="239" t="s">
        <v>164</v>
      </c>
      <c r="C35" s="240"/>
      <c r="D35" s="240"/>
      <c r="E35" s="240"/>
      <c r="F35" s="241">
        <f>F36+F37</f>
        <v>2712.44</v>
      </c>
      <c r="G35" s="17"/>
      <c r="H35" s="17"/>
      <c r="I35" s="17"/>
      <c r="J35" s="17">
        <f t="shared" si="0"/>
        <v>2712.44</v>
      </c>
      <c r="K35" s="18"/>
      <c r="L35" s="19"/>
    </row>
    <row r="36" spans="1:12" ht="15.75" x14ac:dyDescent="0.25">
      <c r="A36" s="243" t="s">
        <v>165</v>
      </c>
      <c r="B36" s="239" t="s">
        <v>166</v>
      </c>
      <c r="C36" s="240"/>
      <c r="D36" s="240"/>
      <c r="E36" s="240"/>
      <c r="F36" s="241">
        <v>1277.78</v>
      </c>
      <c r="G36" s="17"/>
      <c r="H36" s="17"/>
      <c r="I36" s="17"/>
      <c r="J36" s="17"/>
      <c r="K36" s="18"/>
      <c r="L36" s="19"/>
    </row>
    <row r="37" spans="1:12" ht="18" customHeight="1" x14ac:dyDescent="0.25">
      <c r="A37" s="243">
        <v>14299</v>
      </c>
      <c r="B37" s="239" t="s">
        <v>167</v>
      </c>
      <c r="C37" s="240"/>
      <c r="D37" s="240"/>
      <c r="E37" s="240"/>
      <c r="F37" s="241">
        <v>1434.66</v>
      </c>
      <c r="G37" s="17"/>
      <c r="H37" s="17"/>
      <c r="I37" s="17"/>
      <c r="J37" s="17">
        <f t="shared" si="0"/>
        <v>1434.66</v>
      </c>
      <c r="K37" s="18"/>
      <c r="L37" s="19"/>
    </row>
    <row r="38" spans="1:12" ht="18" hidden="1" customHeight="1" x14ac:dyDescent="0.25">
      <c r="A38" s="243">
        <v>14399</v>
      </c>
      <c r="B38" s="239" t="s">
        <v>168</v>
      </c>
      <c r="C38" s="240"/>
      <c r="D38" s="240"/>
      <c r="E38" s="240"/>
      <c r="F38" s="241"/>
      <c r="G38" s="17"/>
      <c r="H38" s="17"/>
      <c r="I38" s="17"/>
      <c r="J38" s="17">
        <f t="shared" ref="J38" si="2">C38+D38+E38+F38+G38+H38+I39</f>
        <v>0</v>
      </c>
      <c r="K38" s="18"/>
      <c r="L38" s="19"/>
    </row>
    <row r="39" spans="1:12" s="4" customFormat="1" ht="23.25" customHeight="1" x14ac:dyDescent="0.25">
      <c r="A39" s="244">
        <v>15</v>
      </c>
      <c r="B39" s="234" t="s">
        <v>169</v>
      </c>
      <c r="C39" s="235"/>
      <c r="D39" s="235"/>
      <c r="E39" s="235"/>
      <c r="F39" s="237">
        <f>F40+F45+F47</f>
        <v>33649.46</v>
      </c>
      <c r="G39" s="14"/>
      <c r="H39" s="14"/>
      <c r="I39" s="14"/>
      <c r="J39" s="14">
        <f>SUM(J40:J49)</f>
        <v>67298.92</v>
      </c>
      <c r="K39" s="15"/>
      <c r="L39" s="16"/>
    </row>
    <row r="40" spans="1:12" ht="18" customHeight="1" x14ac:dyDescent="0.25">
      <c r="A40" s="243">
        <v>153</v>
      </c>
      <c r="B40" s="239" t="s">
        <v>170</v>
      </c>
      <c r="C40" s="240"/>
      <c r="D40" s="240"/>
      <c r="E40" s="240"/>
      <c r="F40" s="241">
        <f>SUM(F41:F44)</f>
        <v>8867.41</v>
      </c>
      <c r="G40" s="17"/>
      <c r="H40" s="17"/>
      <c r="I40" s="17"/>
      <c r="J40" s="17">
        <f t="shared" ref="J40:J49" si="3">C40+D40+E40+F40+G40+H40+I40</f>
        <v>8867.41</v>
      </c>
      <c r="K40" s="18"/>
      <c r="L40" s="19"/>
    </row>
    <row r="41" spans="1:12" ht="18" customHeight="1" x14ac:dyDescent="0.25">
      <c r="A41" s="243">
        <v>15301</v>
      </c>
      <c r="B41" s="239" t="s">
        <v>171</v>
      </c>
      <c r="C41" s="240"/>
      <c r="D41" s="240"/>
      <c r="E41" s="240"/>
      <c r="F41" s="241">
        <v>3922.04</v>
      </c>
      <c r="G41" s="17"/>
      <c r="H41" s="17"/>
      <c r="I41" s="17"/>
      <c r="J41" s="17">
        <f t="shared" si="3"/>
        <v>3922.04</v>
      </c>
      <c r="K41" s="18"/>
      <c r="L41" s="19"/>
    </row>
    <row r="42" spans="1:12" ht="18" customHeight="1" x14ac:dyDescent="0.25">
      <c r="A42" s="243">
        <v>15302</v>
      </c>
      <c r="B42" s="239" t="s">
        <v>172</v>
      </c>
      <c r="C42" s="240"/>
      <c r="D42" s="240"/>
      <c r="E42" s="240"/>
      <c r="F42" s="241">
        <v>4682.82</v>
      </c>
      <c r="G42" s="17"/>
      <c r="H42" s="17"/>
      <c r="I42" s="17"/>
      <c r="J42" s="17">
        <f t="shared" si="3"/>
        <v>4682.82</v>
      </c>
      <c r="K42" s="18"/>
      <c r="L42" s="19"/>
    </row>
    <row r="43" spans="1:12" ht="18" customHeight="1" x14ac:dyDescent="0.25">
      <c r="A43" s="243">
        <v>15312</v>
      </c>
      <c r="B43" s="239" t="s">
        <v>173</v>
      </c>
      <c r="C43" s="240"/>
      <c r="D43" s="240"/>
      <c r="E43" s="240"/>
      <c r="F43" s="241">
        <v>259.05</v>
      </c>
      <c r="G43" s="17"/>
      <c r="H43" s="17"/>
      <c r="I43" s="17"/>
      <c r="J43" s="17">
        <f t="shared" si="3"/>
        <v>259.05</v>
      </c>
      <c r="K43" s="18"/>
      <c r="L43" s="19"/>
    </row>
    <row r="44" spans="1:12" ht="18" customHeight="1" x14ac:dyDescent="0.25">
      <c r="A44" s="243">
        <v>15399</v>
      </c>
      <c r="B44" s="239" t="s">
        <v>174</v>
      </c>
      <c r="C44" s="240"/>
      <c r="D44" s="240"/>
      <c r="E44" s="240"/>
      <c r="F44" s="241">
        <v>3.5</v>
      </c>
      <c r="G44" s="17"/>
      <c r="H44" s="17"/>
      <c r="I44" s="17"/>
      <c r="J44" s="17">
        <f t="shared" si="3"/>
        <v>3.5</v>
      </c>
      <c r="K44" s="18"/>
      <c r="L44" s="19"/>
    </row>
    <row r="45" spans="1:12" ht="17.25" customHeight="1" x14ac:dyDescent="0.25">
      <c r="A45" s="243">
        <v>154</v>
      </c>
      <c r="B45" s="239" t="s">
        <v>175</v>
      </c>
      <c r="C45" s="240"/>
      <c r="D45" s="240"/>
      <c r="E45" s="240"/>
      <c r="F45" s="241">
        <f>F46</f>
        <v>23234.49</v>
      </c>
      <c r="G45" s="17"/>
      <c r="H45" s="17"/>
      <c r="I45" s="17"/>
      <c r="J45" s="17">
        <f t="shared" si="3"/>
        <v>23234.49</v>
      </c>
      <c r="K45" s="18"/>
      <c r="L45" s="19"/>
    </row>
    <row r="46" spans="1:12" ht="18" customHeight="1" x14ac:dyDescent="0.25">
      <c r="A46" s="243">
        <v>15499</v>
      </c>
      <c r="B46" s="239" t="s">
        <v>176</v>
      </c>
      <c r="C46" s="240"/>
      <c r="D46" s="240"/>
      <c r="E46" s="240"/>
      <c r="F46" s="241">
        <v>23234.49</v>
      </c>
      <c r="G46" s="17"/>
      <c r="H46" s="17"/>
      <c r="I46" s="17"/>
      <c r="J46" s="17">
        <f t="shared" si="3"/>
        <v>23234.49</v>
      </c>
      <c r="K46" s="18"/>
      <c r="L46" s="19"/>
    </row>
    <row r="47" spans="1:12" ht="18" customHeight="1" x14ac:dyDescent="0.25">
      <c r="A47" s="243">
        <v>157</v>
      </c>
      <c r="B47" s="239" t="s">
        <v>177</v>
      </c>
      <c r="C47" s="240"/>
      <c r="D47" s="240"/>
      <c r="E47" s="240"/>
      <c r="F47" s="241">
        <f>F48+F49</f>
        <v>1547.56</v>
      </c>
      <c r="G47" s="17"/>
      <c r="H47" s="17"/>
      <c r="I47" s="17"/>
      <c r="J47" s="17">
        <f t="shared" si="3"/>
        <v>1547.56</v>
      </c>
      <c r="K47" s="18"/>
      <c r="L47" s="19"/>
    </row>
    <row r="48" spans="1:12" ht="18" customHeight="1" x14ac:dyDescent="0.25">
      <c r="A48" s="243">
        <v>15703</v>
      </c>
      <c r="B48" s="239" t="s">
        <v>178</v>
      </c>
      <c r="C48" s="240"/>
      <c r="D48" s="240"/>
      <c r="E48" s="240"/>
      <c r="F48" s="241">
        <v>0</v>
      </c>
      <c r="G48" s="17"/>
      <c r="H48" s="17"/>
      <c r="I48" s="17"/>
      <c r="J48" s="17">
        <f t="shared" si="3"/>
        <v>0</v>
      </c>
      <c r="K48" s="18"/>
      <c r="L48" s="19"/>
    </row>
    <row r="49" spans="1:12" ht="20.25" customHeight="1" x14ac:dyDescent="0.25">
      <c r="A49" s="243">
        <v>15799</v>
      </c>
      <c r="B49" s="239" t="s">
        <v>179</v>
      </c>
      <c r="C49" s="240"/>
      <c r="D49" s="240"/>
      <c r="E49" s="240"/>
      <c r="F49" s="241">
        <v>1547.56</v>
      </c>
      <c r="G49" s="17"/>
      <c r="H49" s="17"/>
      <c r="I49" s="17"/>
      <c r="J49" s="17">
        <f t="shared" si="3"/>
        <v>1547.56</v>
      </c>
      <c r="K49" s="18"/>
      <c r="L49" s="19"/>
    </row>
    <row r="50" spans="1:12" s="4" customFormat="1" ht="24" customHeight="1" x14ac:dyDescent="0.25">
      <c r="A50" s="244" t="s">
        <v>180</v>
      </c>
      <c r="B50" s="234" t="s">
        <v>181</v>
      </c>
      <c r="C50" s="235">
        <f>C51</f>
        <v>543999.24</v>
      </c>
      <c r="D50" s="245">
        <f t="shared" ref="D50:I50" si="4">D51</f>
        <v>0</v>
      </c>
      <c r="E50" s="245">
        <f t="shared" si="4"/>
        <v>0</v>
      </c>
      <c r="F50" s="245">
        <f>F51</f>
        <v>0</v>
      </c>
      <c r="G50" s="22">
        <f t="shared" si="4"/>
        <v>0</v>
      </c>
      <c r="H50" s="22">
        <f t="shared" si="4"/>
        <v>0</v>
      </c>
      <c r="I50" s="22">
        <f t="shared" si="4"/>
        <v>0</v>
      </c>
      <c r="J50" s="14">
        <f>J51</f>
        <v>543999.24</v>
      </c>
      <c r="K50" s="15"/>
      <c r="L50" s="16"/>
    </row>
    <row r="51" spans="1:12" ht="29.25" customHeight="1" x14ac:dyDescent="0.2">
      <c r="A51" s="243" t="s">
        <v>182</v>
      </c>
      <c r="B51" s="239" t="s">
        <v>183</v>
      </c>
      <c r="C51" s="240">
        <f>C52+C55+C58</f>
        <v>543999.24</v>
      </c>
      <c r="D51" s="246"/>
      <c r="E51" s="246">
        <f t="shared" ref="E51:I51" si="5">E52++E55+E58</f>
        <v>0</v>
      </c>
      <c r="F51" s="246">
        <f t="shared" si="5"/>
        <v>0</v>
      </c>
      <c r="G51" s="23">
        <f t="shared" si="5"/>
        <v>0</v>
      </c>
      <c r="H51" s="23">
        <f t="shared" si="5"/>
        <v>0</v>
      </c>
      <c r="I51" s="23">
        <f t="shared" si="5"/>
        <v>0</v>
      </c>
      <c r="J51" s="17">
        <f t="shared" ref="J51" si="6">C51+D51+E51+F51+G51+H51+I51</f>
        <v>543999.24</v>
      </c>
      <c r="K51" s="18"/>
      <c r="L51" s="19"/>
    </row>
    <row r="52" spans="1:12" ht="23.25" customHeight="1" x14ac:dyDescent="0.2">
      <c r="A52" s="242" t="s">
        <v>184</v>
      </c>
      <c r="B52" s="247" t="s">
        <v>185</v>
      </c>
      <c r="C52" s="248">
        <f>45333.27*12</f>
        <v>543999.24</v>
      </c>
      <c r="D52" s="249"/>
      <c r="E52" s="250"/>
      <c r="F52" s="250"/>
      <c r="G52" s="24"/>
      <c r="H52" s="24"/>
      <c r="I52" s="24"/>
      <c r="J52" s="24">
        <f>J53</f>
        <v>1631997.81</v>
      </c>
      <c r="K52" s="25"/>
      <c r="L52" s="25"/>
    </row>
    <row r="53" spans="1:12" ht="18" customHeight="1" x14ac:dyDescent="0.25">
      <c r="A53" s="244" t="s">
        <v>186</v>
      </c>
      <c r="B53" s="251" t="s">
        <v>187</v>
      </c>
      <c r="C53" s="252"/>
      <c r="D53" s="252">
        <f>D54</f>
        <v>1631997.81</v>
      </c>
      <c r="E53" s="235"/>
      <c r="F53" s="235"/>
      <c r="G53" s="26"/>
      <c r="H53" s="26"/>
      <c r="I53" s="26"/>
      <c r="J53" s="26">
        <f>J54</f>
        <v>1631997.81</v>
      </c>
      <c r="K53" s="25"/>
      <c r="L53" s="25"/>
    </row>
    <row r="54" spans="1:12" s="4" customFormat="1" ht="30" x14ac:dyDescent="0.25">
      <c r="A54" s="243" t="s">
        <v>188</v>
      </c>
      <c r="B54" s="253" t="s">
        <v>189</v>
      </c>
      <c r="C54" s="252"/>
      <c r="D54" s="252">
        <f>D55</f>
        <v>1631997.81</v>
      </c>
      <c r="E54" s="235"/>
      <c r="F54" s="235"/>
      <c r="G54" s="26"/>
      <c r="H54" s="26"/>
      <c r="I54" s="26"/>
      <c r="J54" s="27">
        <f>J55</f>
        <v>1631997.81</v>
      </c>
      <c r="K54" s="28"/>
      <c r="L54" s="28"/>
    </row>
    <row r="55" spans="1:12" ht="18" customHeight="1" x14ac:dyDescent="0.2">
      <c r="A55" s="243" t="s">
        <v>190</v>
      </c>
      <c r="B55" s="253" t="s">
        <v>191</v>
      </c>
      <c r="C55" s="248"/>
      <c r="D55" s="248">
        <v>1631997.81</v>
      </c>
      <c r="E55" s="240">
        <v>0</v>
      </c>
      <c r="F55" s="240"/>
      <c r="G55" s="27"/>
      <c r="H55" s="27"/>
      <c r="I55" s="27"/>
      <c r="J55" s="27">
        <f t="shared" ref="J55" si="7">SUM(C55:I55)</f>
        <v>1631997.81</v>
      </c>
      <c r="K55" s="25"/>
      <c r="L55" s="25"/>
    </row>
    <row r="56" spans="1:12" s="29" customFormat="1" ht="18" customHeight="1" x14ac:dyDescent="0.25">
      <c r="A56" s="244" t="s">
        <v>192</v>
      </c>
      <c r="B56" s="251" t="s">
        <v>193</v>
      </c>
      <c r="C56" s="252"/>
      <c r="D56" s="252"/>
      <c r="E56" s="235"/>
      <c r="F56" s="235"/>
      <c r="G56" s="26"/>
      <c r="H56" s="26"/>
      <c r="I56" s="26"/>
      <c r="J56" s="26">
        <f>J57</f>
        <v>0</v>
      </c>
      <c r="K56" s="28"/>
      <c r="L56" s="28"/>
    </row>
    <row r="57" spans="1:12" s="30" customFormat="1" ht="18" customHeight="1" x14ac:dyDescent="0.2">
      <c r="A57" s="243" t="s">
        <v>194</v>
      </c>
      <c r="B57" s="253" t="s">
        <v>195</v>
      </c>
      <c r="C57" s="248"/>
      <c r="D57" s="248"/>
      <c r="E57" s="240"/>
      <c r="F57" s="240"/>
      <c r="G57" s="27"/>
      <c r="H57" s="27"/>
      <c r="I57" s="27"/>
      <c r="J57" s="27">
        <f>J58+J59+J60</f>
        <v>0</v>
      </c>
      <c r="K57" s="25"/>
      <c r="L57" s="25"/>
    </row>
    <row r="58" spans="1:12" s="30" customFormat="1" ht="18" customHeight="1" x14ac:dyDescent="0.25">
      <c r="A58" s="243" t="s">
        <v>196</v>
      </c>
      <c r="B58" s="253" t="s">
        <v>197</v>
      </c>
      <c r="C58" s="240"/>
      <c r="D58" s="240"/>
      <c r="E58" s="240"/>
      <c r="F58" s="240"/>
      <c r="G58" s="27"/>
      <c r="H58" s="27"/>
      <c r="I58" s="27"/>
      <c r="J58" s="27">
        <f t="shared" ref="J58:J60" si="8">C58+D58+E58+F58+G58+H58+I58</f>
        <v>0</v>
      </c>
      <c r="K58" s="31">
        <f>SUM(C58:J58)</f>
        <v>0</v>
      </c>
      <c r="L58" s="32"/>
    </row>
    <row r="59" spans="1:12" s="30" customFormat="1" ht="18" customHeight="1" x14ac:dyDescent="0.2">
      <c r="A59" s="243" t="s">
        <v>196</v>
      </c>
      <c r="B59" s="253" t="s">
        <v>197</v>
      </c>
      <c r="C59" s="240"/>
      <c r="D59" s="240"/>
      <c r="E59" s="240"/>
      <c r="F59" s="240"/>
      <c r="G59" s="27"/>
      <c r="H59" s="27"/>
      <c r="I59" s="27"/>
      <c r="J59" s="27">
        <f t="shared" si="8"/>
        <v>0</v>
      </c>
      <c r="K59" s="31"/>
      <c r="L59" s="25"/>
    </row>
    <row r="60" spans="1:12" s="30" customFormat="1" ht="30.75" thickBot="1" x14ac:dyDescent="0.25">
      <c r="A60" s="254" t="s">
        <v>198</v>
      </c>
      <c r="B60" s="253" t="s">
        <v>199</v>
      </c>
      <c r="C60" s="240"/>
      <c r="D60" s="240"/>
      <c r="E60" s="240"/>
      <c r="F60" s="240"/>
      <c r="G60" s="27"/>
      <c r="H60" s="27"/>
      <c r="I60" s="27"/>
      <c r="J60" s="27">
        <f t="shared" si="8"/>
        <v>0</v>
      </c>
      <c r="K60" s="25"/>
      <c r="L60" s="25"/>
    </row>
    <row r="61" spans="1:12" s="29" customFormat="1" ht="24.95" customHeight="1" thickBot="1" x14ac:dyDescent="0.3">
      <c r="A61" s="255"/>
      <c r="B61" s="256" t="s">
        <v>200</v>
      </c>
      <c r="C61" s="257">
        <f>SUM(C52:C60)</f>
        <v>543999.24</v>
      </c>
      <c r="D61" s="257">
        <f>D53</f>
        <v>1631997.81</v>
      </c>
      <c r="E61" s="257">
        <f>SUM(E52:E60)</f>
        <v>0</v>
      </c>
      <c r="F61" s="257">
        <f>F9+F16+F34+F39</f>
        <v>434063.79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4">
        <f>SUM(C61:I61)</f>
        <v>2610060.84</v>
      </c>
      <c r="K61" s="28"/>
      <c r="L61" s="28"/>
    </row>
    <row r="62" spans="1:12" ht="15" customHeight="1" x14ac:dyDescent="0.3">
      <c r="A62" s="35"/>
      <c r="B62" s="36"/>
      <c r="E62" s="38"/>
    </row>
    <row r="63" spans="1:12" s="4" customFormat="1" ht="20.25" customHeight="1" x14ac:dyDescent="0.35">
      <c r="A63" s="40" t="s">
        <v>201</v>
      </c>
      <c r="B63" s="41"/>
      <c r="C63" s="42"/>
      <c r="D63" s="42"/>
      <c r="E63" s="43"/>
      <c r="F63" s="44"/>
      <c r="G63" s="43"/>
      <c r="H63" s="43"/>
      <c r="I63" s="43"/>
      <c r="J63" s="39"/>
      <c r="K63" s="45"/>
    </row>
    <row r="64" spans="1:12" x14ac:dyDescent="0.3">
      <c r="A64" s="135" t="s">
        <v>202</v>
      </c>
      <c r="B64" s="135"/>
      <c r="C64" s="135"/>
      <c r="D64" s="135"/>
      <c r="E64" s="135"/>
      <c r="F64" s="135"/>
    </row>
    <row r="65" spans="1:6" x14ac:dyDescent="0.3">
      <c r="A65" s="135" t="s">
        <v>203</v>
      </c>
      <c r="B65" s="135"/>
      <c r="C65" s="135"/>
      <c r="D65" s="135"/>
      <c r="E65" s="135"/>
      <c r="F65" s="135"/>
    </row>
    <row r="66" spans="1:6" x14ac:dyDescent="0.3">
      <c r="A66" s="135" t="s">
        <v>204</v>
      </c>
      <c r="B66" s="135"/>
      <c r="C66" s="135"/>
      <c r="D66" s="135"/>
      <c r="E66" s="135"/>
      <c r="F66" s="135"/>
    </row>
    <row r="67" spans="1:6" x14ac:dyDescent="0.3">
      <c r="A67" s="135" t="s">
        <v>205</v>
      </c>
      <c r="B67" s="135"/>
      <c r="C67" s="135"/>
      <c r="D67" s="135"/>
      <c r="E67" s="135"/>
      <c r="F67" s="135"/>
    </row>
    <row r="68" spans="1:6" x14ac:dyDescent="0.3">
      <c r="A68" s="135" t="s">
        <v>206</v>
      </c>
      <c r="B68" s="135"/>
      <c r="C68" s="135"/>
      <c r="D68" s="135"/>
      <c r="E68" s="135"/>
      <c r="F68" s="135"/>
    </row>
    <row r="69" spans="1:6" x14ac:dyDescent="0.3">
      <c r="A69" s="135" t="s">
        <v>207</v>
      </c>
      <c r="B69" s="135"/>
      <c r="C69" s="135"/>
      <c r="D69" s="135"/>
      <c r="E69" s="135"/>
      <c r="F69" s="135"/>
    </row>
  </sheetData>
  <mergeCells count="19">
    <mergeCell ref="A1:J1"/>
    <mergeCell ref="A2:J2"/>
    <mergeCell ref="A3:J3"/>
    <mergeCell ref="A4:J4"/>
    <mergeCell ref="A5:J5"/>
    <mergeCell ref="A67:F67"/>
    <mergeCell ref="A68:F68"/>
    <mergeCell ref="A69:F69"/>
    <mergeCell ref="I6:I8"/>
    <mergeCell ref="J6:J8"/>
    <mergeCell ref="C7:D7"/>
    <mergeCell ref="A64:F64"/>
    <mergeCell ref="A65:F65"/>
    <mergeCell ref="A66:F66"/>
    <mergeCell ref="B6:B8"/>
    <mergeCell ref="C6:E6"/>
    <mergeCell ref="F6:F8"/>
    <mergeCell ref="G6:G8"/>
    <mergeCell ref="H6:H8"/>
  </mergeCells>
  <printOptions horizontalCentered="1"/>
  <pageMargins left="0.55118110236220474" right="0.55118110236220474" top="0.59055118110236227" bottom="0.59055118110236227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94"/>
  <sheetViews>
    <sheetView zoomScale="170" zoomScaleNormal="170" workbookViewId="0">
      <selection sqref="A1:T1"/>
    </sheetView>
  </sheetViews>
  <sheetFormatPr baseColWidth="10" defaultRowHeight="15" x14ac:dyDescent="0.25"/>
  <cols>
    <col min="1" max="1" width="8" customWidth="1"/>
    <col min="2" max="2" width="35.5703125" customWidth="1"/>
    <col min="3" max="3" width="15.28515625" hidden="1" customWidth="1"/>
    <col min="4" max="5" width="13.5703125" hidden="1" customWidth="1"/>
    <col min="6" max="6" width="14.7109375" hidden="1" customWidth="1"/>
    <col min="7" max="7" width="14.42578125" hidden="1" customWidth="1"/>
    <col min="8" max="8" width="12.7109375" hidden="1" customWidth="1"/>
    <col min="9" max="9" width="16.42578125" hidden="1" customWidth="1"/>
    <col min="10" max="10" width="11.42578125" hidden="1" customWidth="1"/>
    <col min="11" max="11" width="13" hidden="1" customWidth="1"/>
    <col min="12" max="12" width="11.42578125" hidden="1" customWidth="1"/>
    <col min="13" max="13" width="13.5703125" hidden="1" customWidth="1"/>
    <col min="14" max="14" width="16" hidden="1" customWidth="1"/>
    <col min="15" max="15" width="15" customWidth="1"/>
    <col min="16" max="16" width="13.5703125" customWidth="1"/>
    <col min="17" max="18" width="12.85546875" customWidth="1"/>
    <col min="19" max="19" width="13.7109375" customWidth="1"/>
    <col min="20" max="20" width="17.28515625" customWidth="1"/>
    <col min="21" max="21" width="15.85546875" style="89" customWidth="1"/>
    <col min="22" max="22" width="14.5703125" customWidth="1"/>
    <col min="23" max="23" width="13.7109375" customWidth="1"/>
    <col min="24" max="28" width="11.42578125" customWidth="1"/>
  </cols>
  <sheetData>
    <row r="1" spans="1:21" ht="21" x14ac:dyDescent="0.35">
      <c r="A1" s="166" t="s">
        <v>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</row>
    <row r="2" spans="1:21" ht="21" x14ac:dyDescent="0.35">
      <c r="A2" s="166" t="s">
        <v>229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1:21" ht="21.75" thickBot="1" x14ac:dyDescent="0.4">
      <c r="A3" s="166" t="s">
        <v>126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</row>
    <row r="4" spans="1:21" ht="15.75" thickBot="1" x14ac:dyDescent="0.3">
      <c r="A4" s="48"/>
      <c r="B4" s="49"/>
      <c r="C4" s="109" t="s">
        <v>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7"/>
      <c r="O4" s="177" t="s">
        <v>228</v>
      </c>
      <c r="P4" s="178"/>
      <c r="Q4" s="178"/>
      <c r="R4" s="178"/>
      <c r="S4" s="179"/>
      <c r="T4" s="49"/>
    </row>
    <row r="5" spans="1:21" ht="15.75" thickBot="1" x14ac:dyDescent="0.3">
      <c r="A5" s="51"/>
      <c r="B5" s="52"/>
      <c r="C5" s="170" t="s">
        <v>8</v>
      </c>
      <c r="D5" s="170"/>
      <c r="E5" s="170"/>
      <c r="F5" s="170"/>
      <c r="G5" s="171"/>
      <c r="H5" s="177" t="s">
        <v>227</v>
      </c>
      <c r="I5" s="178"/>
      <c r="J5" s="178"/>
      <c r="K5" s="178"/>
      <c r="L5" s="178"/>
      <c r="M5" s="178"/>
      <c r="N5" s="178"/>
      <c r="O5" s="180" t="s">
        <v>126</v>
      </c>
      <c r="P5" s="170"/>
      <c r="Q5" s="170"/>
      <c r="R5" s="170"/>
      <c r="S5" s="171"/>
      <c r="T5" s="54" t="s">
        <v>226</v>
      </c>
    </row>
    <row r="6" spans="1:21" x14ac:dyDescent="0.25">
      <c r="A6" s="53" t="s">
        <v>9</v>
      </c>
      <c r="B6" s="54" t="s">
        <v>10</v>
      </c>
      <c r="C6" s="172" t="s">
        <v>11</v>
      </c>
      <c r="D6" s="172"/>
      <c r="E6" s="172"/>
      <c r="F6" s="172"/>
      <c r="G6" s="172"/>
      <c r="H6" s="106" t="s">
        <v>224</v>
      </c>
      <c r="I6" s="105" t="s">
        <v>224</v>
      </c>
      <c r="J6" s="105" t="s">
        <v>224</v>
      </c>
      <c r="K6" s="105" t="s">
        <v>225</v>
      </c>
      <c r="L6" s="105" t="s">
        <v>224</v>
      </c>
      <c r="M6" s="105" t="s">
        <v>223</v>
      </c>
      <c r="N6" s="104"/>
      <c r="O6" s="174" t="s">
        <v>11</v>
      </c>
      <c r="P6" s="175"/>
      <c r="Q6" s="175"/>
      <c r="R6" s="175"/>
      <c r="S6" s="176"/>
      <c r="T6" s="54" t="s">
        <v>3</v>
      </c>
    </row>
    <row r="7" spans="1:21" x14ac:dyDescent="0.25">
      <c r="A7" s="51"/>
      <c r="B7" s="52"/>
      <c r="C7" s="164" t="s">
        <v>12</v>
      </c>
      <c r="D7" s="164"/>
      <c r="E7" s="164"/>
      <c r="F7" s="164"/>
      <c r="G7" s="164"/>
      <c r="H7" s="103" t="s">
        <v>221</v>
      </c>
      <c r="I7" s="102" t="s">
        <v>221</v>
      </c>
      <c r="J7" s="102" t="s">
        <v>221</v>
      </c>
      <c r="K7" s="102" t="s">
        <v>222</v>
      </c>
      <c r="L7" s="102" t="s">
        <v>221</v>
      </c>
      <c r="M7" s="102" t="s">
        <v>220</v>
      </c>
      <c r="N7" s="101" t="s">
        <v>219</v>
      </c>
      <c r="O7" s="174" t="s">
        <v>218</v>
      </c>
      <c r="P7" s="175"/>
      <c r="Q7" s="175"/>
      <c r="R7" s="175"/>
      <c r="S7" s="176"/>
      <c r="T7" s="52"/>
    </row>
    <row r="8" spans="1:21" ht="25.5" thickBot="1" x14ac:dyDescent="0.3">
      <c r="A8" s="55"/>
      <c r="B8" s="56"/>
      <c r="C8" s="57" t="s">
        <v>13</v>
      </c>
      <c r="D8" s="58" t="s">
        <v>14</v>
      </c>
      <c r="E8" s="58" t="s">
        <v>15</v>
      </c>
      <c r="F8" s="58" t="s">
        <v>16</v>
      </c>
      <c r="G8" s="99" t="s">
        <v>127</v>
      </c>
      <c r="H8" s="100" t="s">
        <v>217</v>
      </c>
      <c r="I8" s="58" t="s">
        <v>216</v>
      </c>
      <c r="J8" s="58" t="s">
        <v>216</v>
      </c>
      <c r="K8" s="58" t="s">
        <v>215</v>
      </c>
      <c r="L8" s="58" t="s">
        <v>214</v>
      </c>
      <c r="M8" s="99" t="s">
        <v>213</v>
      </c>
      <c r="N8" s="98"/>
      <c r="O8" s="97" t="s">
        <v>13</v>
      </c>
      <c r="P8" s="96" t="s">
        <v>14</v>
      </c>
      <c r="Q8" s="96" t="s">
        <v>15</v>
      </c>
      <c r="R8" s="96" t="s">
        <v>16</v>
      </c>
      <c r="S8" s="95" t="s">
        <v>127</v>
      </c>
      <c r="T8" s="56"/>
    </row>
    <row r="9" spans="1:21" s="185" customFormat="1" x14ac:dyDescent="0.25">
      <c r="A9" s="203">
        <v>51</v>
      </c>
      <c r="B9" s="181" t="s">
        <v>17</v>
      </c>
      <c r="C9" s="182">
        <f t="shared" ref="C9:R9" si="0">C10+C17+C21+C24+C30+C33+C27</f>
        <v>124657.79</v>
      </c>
      <c r="D9" s="182">
        <f t="shared" si="0"/>
        <v>103071</v>
      </c>
      <c r="E9" s="182">
        <f t="shared" si="0"/>
        <v>39043</v>
      </c>
      <c r="F9" s="182">
        <f t="shared" si="0"/>
        <v>114095.69</v>
      </c>
      <c r="G9" s="204">
        <f t="shared" si="0"/>
        <v>380867.48</v>
      </c>
      <c r="H9" s="205">
        <f t="shared" si="0"/>
        <v>0</v>
      </c>
      <c r="I9" s="182">
        <f t="shared" si="0"/>
        <v>0</v>
      </c>
      <c r="J9" s="182">
        <f t="shared" si="0"/>
        <v>0</v>
      </c>
      <c r="K9" s="182">
        <f t="shared" si="0"/>
        <v>0</v>
      </c>
      <c r="L9" s="182">
        <f t="shared" si="0"/>
        <v>0</v>
      </c>
      <c r="M9" s="182">
        <f t="shared" si="0"/>
        <v>0</v>
      </c>
      <c r="N9" s="183">
        <f t="shared" si="0"/>
        <v>0</v>
      </c>
      <c r="O9" s="205">
        <f>O10+O17+O21+O24+O30+O33+O27</f>
        <v>123007.28</v>
      </c>
      <c r="P9" s="182">
        <f t="shared" si="0"/>
        <v>49165.349999999991</v>
      </c>
      <c r="Q9" s="182">
        <f t="shared" si="0"/>
        <v>9660</v>
      </c>
      <c r="R9" s="182">
        <f t="shared" si="0"/>
        <v>67618.080000000002</v>
      </c>
      <c r="S9" s="182">
        <f>S10+S17+S21+S24+S27+S30+S33</f>
        <v>249450.71</v>
      </c>
      <c r="T9" s="183">
        <f>T10+T17+T21+T24+T30+T33+T27</f>
        <v>370861.42000000004</v>
      </c>
      <c r="U9" s="206"/>
    </row>
    <row r="10" spans="1:21" s="185" customFormat="1" x14ac:dyDescent="0.25">
      <c r="A10" s="121">
        <v>511</v>
      </c>
      <c r="B10" s="186" t="s">
        <v>18</v>
      </c>
      <c r="C10" s="182">
        <f t="shared" ref="C10:R10" si="1">C11+C12+C13</f>
        <v>112657.79</v>
      </c>
      <c r="D10" s="182">
        <f t="shared" si="1"/>
        <v>103071</v>
      </c>
      <c r="E10" s="182">
        <f t="shared" si="1"/>
        <v>39043</v>
      </c>
      <c r="F10" s="182">
        <f t="shared" si="1"/>
        <v>114095.69</v>
      </c>
      <c r="G10" s="204">
        <f t="shared" si="1"/>
        <v>368867.48</v>
      </c>
      <c r="H10" s="205">
        <f t="shared" si="1"/>
        <v>0</v>
      </c>
      <c r="I10" s="182">
        <f t="shared" si="1"/>
        <v>0</v>
      </c>
      <c r="J10" s="182">
        <f t="shared" si="1"/>
        <v>0</v>
      </c>
      <c r="K10" s="182">
        <f t="shared" si="1"/>
        <v>0</v>
      </c>
      <c r="L10" s="182">
        <f t="shared" si="1"/>
        <v>0</v>
      </c>
      <c r="M10" s="182">
        <f t="shared" si="1"/>
        <v>0</v>
      </c>
      <c r="N10" s="183">
        <f t="shared" si="1"/>
        <v>0</v>
      </c>
      <c r="O10" s="205">
        <f>O11+O12+O13</f>
        <v>24675</v>
      </c>
      <c r="P10" s="182">
        <f t="shared" si="1"/>
        <v>30371.67</v>
      </c>
      <c r="Q10" s="182">
        <f t="shared" si="1"/>
        <v>6000</v>
      </c>
      <c r="R10" s="182">
        <f t="shared" si="1"/>
        <v>29730</v>
      </c>
      <c r="S10" s="182">
        <f>S11+S12+S13+S14+S15+S16</f>
        <v>90776.67</v>
      </c>
      <c r="T10" s="183">
        <f>T11+T12+T13</f>
        <v>200187.38</v>
      </c>
      <c r="U10" s="206"/>
    </row>
    <row r="11" spans="1:21" s="185" customFormat="1" x14ac:dyDescent="0.25">
      <c r="A11" s="120">
        <v>51101</v>
      </c>
      <c r="B11" s="187" t="s">
        <v>19</v>
      </c>
      <c r="C11" s="188">
        <v>66166.679999999993</v>
      </c>
      <c r="D11" s="188">
        <v>95880</v>
      </c>
      <c r="E11" s="188">
        <v>36240</v>
      </c>
      <c r="F11" s="188">
        <f>65946.72+32000.04</f>
        <v>97946.760000000009</v>
      </c>
      <c r="G11" s="198">
        <f>C11+D11+E11+F11</f>
        <v>296233.44</v>
      </c>
      <c r="H11" s="207"/>
      <c r="I11" s="188"/>
      <c r="J11" s="188"/>
      <c r="K11" s="188"/>
      <c r="L11" s="188"/>
      <c r="M11" s="188"/>
      <c r="N11" s="208">
        <f>SUM(H11:M11)</f>
        <v>0</v>
      </c>
      <c r="O11" s="207">
        <f>4225*3</f>
        <v>12675</v>
      </c>
      <c r="P11" s="188">
        <v>30371.67</v>
      </c>
      <c r="Q11" s="188">
        <v>6000</v>
      </c>
      <c r="R11" s="209">
        <f>29730</f>
        <v>29730</v>
      </c>
      <c r="S11" s="188">
        <f>SUM(O11:R11)</f>
        <v>78776.67</v>
      </c>
      <c r="T11" s="189">
        <f>S11+R11+Q11+P11+O11</f>
        <v>157553.34</v>
      </c>
      <c r="U11" s="206"/>
    </row>
    <row r="12" spans="1:21" s="185" customFormat="1" x14ac:dyDescent="0.25">
      <c r="A12" s="120">
        <v>51103</v>
      </c>
      <c r="B12" s="187" t="s">
        <v>20</v>
      </c>
      <c r="C12" s="188">
        <v>4491.1099999999997</v>
      </c>
      <c r="D12" s="188">
        <v>7191</v>
      </c>
      <c r="E12" s="188">
        <v>2803</v>
      </c>
      <c r="F12" s="188">
        <f>8032.23+8116.7</f>
        <v>16148.93</v>
      </c>
      <c r="G12" s="198">
        <f>C12+D12+E12+F12</f>
        <v>30634.04</v>
      </c>
      <c r="H12" s="207"/>
      <c r="I12" s="188"/>
      <c r="J12" s="188"/>
      <c r="K12" s="188"/>
      <c r="L12" s="188"/>
      <c r="M12" s="188"/>
      <c r="N12" s="208">
        <f>SUM(H12:M12)</f>
        <v>0</v>
      </c>
      <c r="O12" s="207"/>
      <c r="P12" s="188"/>
      <c r="Q12" s="188"/>
      <c r="R12" s="188"/>
      <c r="S12" s="188">
        <f>SUM(O12:R12)</f>
        <v>0</v>
      </c>
      <c r="T12" s="189">
        <f>S12+N12+G12</f>
        <v>30634.04</v>
      </c>
      <c r="U12" s="206"/>
    </row>
    <row r="13" spans="1:21" s="185" customFormat="1" x14ac:dyDescent="0.25">
      <c r="A13" s="120">
        <v>51105</v>
      </c>
      <c r="B13" s="187" t="s">
        <v>21</v>
      </c>
      <c r="C13" s="188">
        <v>42000</v>
      </c>
      <c r="D13" s="188"/>
      <c r="E13" s="188"/>
      <c r="F13" s="188"/>
      <c r="G13" s="198">
        <f>C13+D13+E13+F13</f>
        <v>42000</v>
      </c>
      <c r="H13" s="207"/>
      <c r="I13" s="188"/>
      <c r="J13" s="188"/>
      <c r="K13" s="188"/>
      <c r="L13" s="188"/>
      <c r="M13" s="188"/>
      <c r="N13" s="208">
        <f>SUM(H13:M13)</f>
        <v>0</v>
      </c>
      <c r="O13" s="207">
        <v>12000</v>
      </c>
      <c r="P13" s="188"/>
      <c r="Q13" s="188"/>
      <c r="R13" s="188"/>
      <c r="S13" s="188">
        <f>SUM(O13:R13)</f>
        <v>12000</v>
      </c>
      <c r="T13" s="189">
        <f>S13</f>
        <v>12000</v>
      </c>
      <c r="U13" s="206"/>
    </row>
    <row r="14" spans="1:21" s="185" customFormat="1" hidden="1" x14ac:dyDescent="0.25">
      <c r="A14" s="120"/>
      <c r="B14" s="187"/>
      <c r="C14" s="188"/>
      <c r="D14" s="188"/>
      <c r="E14" s="188"/>
      <c r="F14" s="188"/>
      <c r="G14" s="198"/>
      <c r="H14" s="207"/>
      <c r="I14" s="188"/>
      <c r="J14" s="188"/>
      <c r="K14" s="188"/>
      <c r="L14" s="188"/>
      <c r="M14" s="188"/>
      <c r="N14" s="208"/>
      <c r="O14" s="207"/>
      <c r="P14" s="188"/>
      <c r="Q14" s="188"/>
      <c r="R14" s="188"/>
      <c r="S14" s="188">
        <f t="shared" ref="S14:S16" si="2">SUM(O14:R14)</f>
        <v>0</v>
      </c>
      <c r="T14" s="189"/>
      <c r="U14" s="206"/>
    </row>
    <row r="15" spans="1:21" s="185" customFormat="1" hidden="1" x14ac:dyDescent="0.25">
      <c r="A15" s="120"/>
      <c r="B15" s="187"/>
      <c r="C15" s="188"/>
      <c r="D15" s="188"/>
      <c r="E15" s="188"/>
      <c r="F15" s="188"/>
      <c r="G15" s="198"/>
      <c r="H15" s="207"/>
      <c r="I15" s="188"/>
      <c r="J15" s="188"/>
      <c r="K15" s="188"/>
      <c r="L15" s="188"/>
      <c r="M15" s="188"/>
      <c r="N15" s="208"/>
      <c r="O15" s="207"/>
      <c r="P15" s="188"/>
      <c r="Q15" s="188"/>
      <c r="R15" s="188"/>
      <c r="S15" s="188">
        <f t="shared" si="2"/>
        <v>0</v>
      </c>
      <c r="T15" s="189"/>
      <c r="U15" s="206"/>
    </row>
    <row r="16" spans="1:21" s="185" customFormat="1" hidden="1" x14ac:dyDescent="0.25">
      <c r="A16" s="120"/>
      <c r="B16" s="187"/>
      <c r="C16" s="188"/>
      <c r="D16" s="188"/>
      <c r="E16" s="188"/>
      <c r="F16" s="188"/>
      <c r="G16" s="198"/>
      <c r="H16" s="207"/>
      <c r="I16" s="188"/>
      <c r="J16" s="188"/>
      <c r="K16" s="188"/>
      <c r="L16" s="188"/>
      <c r="M16" s="188"/>
      <c r="N16" s="208"/>
      <c r="O16" s="207"/>
      <c r="P16" s="188"/>
      <c r="Q16" s="188"/>
      <c r="R16" s="188"/>
      <c r="S16" s="188">
        <f t="shared" si="2"/>
        <v>0</v>
      </c>
      <c r="T16" s="189"/>
      <c r="U16" s="206"/>
    </row>
    <row r="17" spans="1:21" s="185" customFormat="1" x14ac:dyDescent="0.25">
      <c r="A17" s="121">
        <v>512</v>
      </c>
      <c r="B17" s="186" t="s">
        <v>22</v>
      </c>
      <c r="C17" s="182">
        <f t="shared" ref="C17:T17" si="3">C18+C19+C20</f>
        <v>7200</v>
      </c>
      <c r="D17" s="182">
        <f t="shared" si="3"/>
        <v>0</v>
      </c>
      <c r="E17" s="182">
        <f t="shared" si="3"/>
        <v>0</v>
      </c>
      <c r="F17" s="182">
        <f t="shared" si="3"/>
        <v>0</v>
      </c>
      <c r="G17" s="204">
        <f t="shared" si="3"/>
        <v>7200</v>
      </c>
      <c r="H17" s="205">
        <f t="shared" si="3"/>
        <v>0</v>
      </c>
      <c r="I17" s="182">
        <f t="shared" si="3"/>
        <v>0</v>
      </c>
      <c r="J17" s="182">
        <f t="shared" si="3"/>
        <v>0</v>
      </c>
      <c r="K17" s="182">
        <f t="shared" si="3"/>
        <v>0</v>
      </c>
      <c r="L17" s="182">
        <f t="shared" si="3"/>
        <v>0</v>
      </c>
      <c r="M17" s="182">
        <f t="shared" si="3"/>
        <v>0</v>
      </c>
      <c r="N17" s="183">
        <f t="shared" si="3"/>
        <v>0</v>
      </c>
      <c r="O17" s="205">
        <f t="shared" si="3"/>
        <v>67050</v>
      </c>
      <c r="P17" s="182">
        <f t="shared" si="3"/>
        <v>0</v>
      </c>
      <c r="Q17" s="182">
        <f t="shared" si="3"/>
        <v>0</v>
      </c>
      <c r="R17" s="182">
        <f t="shared" si="3"/>
        <v>0</v>
      </c>
      <c r="S17" s="182">
        <f>S18+S19+S20</f>
        <v>67050</v>
      </c>
      <c r="T17" s="183">
        <f t="shared" si="3"/>
        <v>74250</v>
      </c>
      <c r="U17" s="206"/>
    </row>
    <row r="18" spans="1:21" s="185" customFormat="1" x14ac:dyDescent="0.25">
      <c r="A18" s="120">
        <v>51201</v>
      </c>
      <c r="B18" s="187" t="s">
        <v>212</v>
      </c>
      <c r="C18" s="188">
        <v>7200</v>
      </c>
      <c r="D18" s="188"/>
      <c r="E18" s="188"/>
      <c r="F18" s="188"/>
      <c r="G18" s="198">
        <f>C18+D18+E18+F18</f>
        <v>7200</v>
      </c>
      <c r="H18" s="207"/>
      <c r="I18" s="188"/>
      <c r="J18" s="188"/>
      <c r="K18" s="188"/>
      <c r="L18" s="188"/>
      <c r="M18" s="188"/>
      <c r="N18" s="208">
        <f>SUM(H18:M18)</f>
        <v>0</v>
      </c>
      <c r="O18" s="207">
        <f>40000</f>
        <v>40000</v>
      </c>
      <c r="P18" s="188">
        <v>0</v>
      </c>
      <c r="Q18" s="210">
        <v>0</v>
      </c>
      <c r="R18" s="188">
        <v>0</v>
      </c>
      <c r="S18" s="188">
        <f>O18+P18+Q18+R18</f>
        <v>40000</v>
      </c>
      <c r="T18" s="189">
        <f>S18+N18+G18</f>
        <v>47200</v>
      </c>
      <c r="U18" s="206"/>
    </row>
    <row r="19" spans="1:21" s="185" customFormat="1" x14ac:dyDescent="0.25">
      <c r="A19" s="120">
        <v>51202</v>
      </c>
      <c r="B19" s="187" t="s">
        <v>23</v>
      </c>
      <c r="C19" s="188"/>
      <c r="D19" s="188"/>
      <c r="E19" s="188"/>
      <c r="F19" s="188"/>
      <c r="G19" s="198">
        <f>C19+D19+E19+F19</f>
        <v>0</v>
      </c>
      <c r="H19" s="207"/>
      <c r="I19" s="188"/>
      <c r="J19" s="188"/>
      <c r="K19" s="188"/>
      <c r="L19" s="188"/>
      <c r="M19" s="188"/>
      <c r="N19" s="208">
        <f>SUM(H19:M19)</f>
        <v>0</v>
      </c>
      <c r="O19" s="207">
        <f>26000+1050</f>
        <v>27050</v>
      </c>
      <c r="P19" s="188"/>
      <c r="Q19" s="188"/>
      <c r="R19" s="188"/>
      <c r="S19" s="188">
        <f>SUM(O19:R19)</f>
        <v>27050</v>
      </c>
      <c r="T19" s="189">
        <f>S19+N19+G19</f>
        <v>27050</v>
      </c>
      <c r="U19" s="206"/>
    </row>
    <row r="20" spans="1:21" s="185" customFormat="1" hidden="1" x14ac:dyDescent="0.25">
      <c r="A20" s="120">
        <v>51203</v>
      </c>
      <c r="B20" s="187" t="s">
        <v>20</v>
      </c>
      <c r="C20" s="188"/>
      <c r="D20" s="188"/>
      <c r="E20" s="188"/>
      <c r="F20" s="188"/>
      <c r="G20" s="198">
        <f>C20+D20+E20+F20</f>
        <v>0</v>
      </c>
      <c r="H20" s="207"/>
      <c r="I20" s="188"/>
      <c r="J20" s="188"/>
      <c r="K20" s="188"/>
      <c r="L20" s="188"/>
      <c r="M20" s="188"/>
      <c r="N20" s="208">
        <f>SUM(H20:M20)</f>
        <v>0</v>
      </c>
      <c r="O20" s="207"/>
      <c r="P20" s="188"/>
      <c r="Q20" s="188"/>
      <c r="R20" s="188"/>
      <c r="S20" s="188">
        <f>SUM(O20:R20)</f>
        <v>0</v>
      </c>
      <c r="T20" s="189">
        <f>S20+N20+G20</f>
        <v>0</v>
      </c>
      <c r="U20" s="206"/>
    </row>
    <row r="21" spans="1:21" s="185" customFormat="1" x14ac:dyDescent="0.25">
      <c r="A21" s="121">
        <v>514</v>
      </c>
      <c r="B21" s="186" t="s">
        <v>24</v>
      </c>
      <c r="C21" s="182">
        <f t="shared" ref="C21:T21" si="4">C22+C23</f>
        <v>0</v>
      </c>
      <c r="D21" s="182">
        <f t="shared" si="4"/>
        <v>0</v>
      </c>
      <c r="E21" s="182">
        <f t="shared" si="4"/>
        <v>0</v>
      </c>
      <c r="F21" s="182">
        <f t="shared" si="4"/>
        <v>0</v>
      </c>
      <c r="G21" s="204">
        <f t="shared" si="4"/>
        <v>0</v>
      </c>
      <c r="H21" s="205">
        <f t="shared" si="4"/>
        <v>0</v>
      </c>
      <c r="I21" s="182">
        <f t="shared" si="4"/>
        <v>0</v>
      </c>
      <c r="J21" s="182">
        <f t="shared" si="4"/>
        <v>0</v>
      </c>
      <c r="K21" s="182">
        <f t="shared" si="4"/>
        <v>0</v>
      </c>
      <c r="L21" s="182">
        <f t="shared" si="4"/>
        <v>0</v>
      </c>
      <c r="M21" s="182">
        <f t="shared" si="4"/>
        <v>0</v>
      </c>
      <c r="N21" s="183">
        <f t="shared" si="4"/>
        <v>0</v>
      </c>
      <c r="O21" s="205">
        <f>O22+O23</f>
        <v>3200</v>
      </c>
      <c r="P21" s="182">
        <f t="shared" si="4"/>
        <v>10029.48</v>
      </c>
      <c r="Q21" s="182">
        <f t="shared" si="4"/>
        <v>1800</v>
      </c>
      <c r="R21" s="182">
        <f t="shared" si="4"/>
        <v>19209.72</v>
      </c>
      <c r="S21" s="182">
        <f>S22+S23</f>
        <v>34239.199999999997</v>
      </c>
      <c r="T21" s="183">
        <f t="shared" si="4"/>
        <v>34239.199999999997</v>
      </c>
      <c r="U21" s="206"/>
    </row>
    <row r="22" spans="1:21" s="185" customFormat="1" x14ac:dyDescent="0.25">
      <c r="A22" s="120">
        <v>51401</v>
      </c>
      <c r="B22" s="187" t="s">
        <v>25</v>
      </c>
      <c r="C22" s="188">
        <v>0</v>
      </c>
      <c r="D22" s="188">
        <v>0</v>
      </c>
      <c r="E22" s="188">
        <v>0</v>
      </c>
      <c r="F22" s="188">
        <v>0</v>
      </c>
      <c r="G22" s="198">
        <f>C22+D22+E22+F22</f>
        <v>0</v>
      </c>
      <c r="H22" s="207"/>
      <c r="I22" s="188"/>
      <c r="J22" s="188"/>
      <c r="K22" s="188"/>
      <c r="L22" s="188"/>
      <c r="M22" s="188"/>
      <c r="N22" s="208">
        <f>SUM(H22:M22)</f>
        <v>0</v>
      </c>
      <c r="O22" s="207">
        <f>225*12</f>
        <v>2700</v>
      </c>
      <c r="P22" s="188">
        <f>9021.48+1008</f>
        <v>10029.48</v>
      </c>
      <c r="Q22" s="188">
        <f>150*12</f>
        <v>1800</v>
      </c>
      <c r="R22" s="188">
        <f>(743.25*12)+10290.72</f>
        <v>19209.72</v>
      </c>
      <c r="S22" s="188">
        <f>SUM(O22:R22)</f>
        <v>33739.199999999997</v>
      </c>
      <c r="T22" s="189">
        <f>S22+N22+G22</f>
        <v>33739.199999999997</v>
      </c>
      <c r="U22" s="206"/>
    </row>
    <row r="23" spans="1:21" s="185" customFormat="1" x14ac:dyDescent="0.25">
      <c r="A23" s="120">
        <v>51402</v>
      </c>
      <c r="B23" s="187" t="s">
        <v>26</v>
      </c>
      <c r="C23" s="188"/>
      <c r="D23" s="188"/>
      <c r="E23" s="188"/>
      <c r="F23" s="188"/>
      <c r="G23" s="198">
        <f>C23+D23+E23+F23</f>
        <v>0</v>
      </c>
      <c r="H23" s="207"/>
      <c r="I23" s="188"/>
      <c r="J23" s="188"/>
      <c r="K23" s="188"/>
      <c r="L23" s="188"/>
      <c r="M23" s="188"/>
      <c r="N23" s="208">
        <f>SUM(H23:M23)</f>
        <v>0</v>
      </c>
      <c r="O23" s="207">
        <v>500</v>
      </c>
      <c r="P23" s="188"/>
      <c r="Q23" s="188"/>
      <c r="R23" s="188"/>
      <c r="S23" s="188">
        <f>SUM(O23:R23)</f>
        <v>500</v>
      </c>
      <c r="T23" s="189">
        <f>S23+N23+G23</f>
        <v>500</v>
      </c>
      <c r="U23" s="206"/>
    </row>
    <row r="24" spans="1:21" s="185" customFormat="1" x14ac:dyDescent="0.25">
      <c r="A24" s="121">
        <v>515</v>
      </c>
      <c r="B24" s="186" t="s">
        <v>27</v>
      </c>
      <c r="C24" s="182">
        <f t="shared" ref="C24:T24" si="5">C25+C26</f>
        <v>0</v>
      </c>
      <c r="D24" s="182">
        <f t="shared" si="5"/>
        <v>0</v>
      </c>
      <c r="E24" s="182">
        <f t="shared" si="5"/>
        <v>0</v>
      </c>
      <c r="F24" s="182">
        <f t="shared" si="5"/>
        <v>0</v>
      </c>
      <c r="G24" s="204">
        <f t="shared" si="5"/>
        <v>0</v>
      </c>
      <c r="H24" s="205">
        <f t="shared" si="5"/>
        <v>0</v>
      </c>
      <c r="I24" s="182">
        <f t="shared" si="5"/>
        <v>0</v>
      </c>
      <c r="J24" s="182">
        <f t="shared" si="5"/>
        <v>0</v>
      </c>
      <c r="K24" s="182">
        <f t="shared" si="5"/>
        <v>0</v>
      </c>
      <c r="L24" s="182">
        <f t="shared" si="5"/>
        <v>0</v>
      </c>
      <c r="M24" s="182">
        <f t="shared" si="5"/>
        <v>0</v>
      </c>
      <c r="N24" s="183">
        <f t="shared" si="5"/>
        <v>0</v>
      </c>
      <c r="O24" s="205">
        <f>O25+O26</f>
        <v>4482.28</v>
      </c>
      <c r="P24" s="182">
        <f t="shared" si="5"/>
        <v>8764.2000000000007</v>
      </c>
      <c r="Q24" s="182">
        <f t="shared" si="5"/>
        <v>1860</v>
      </c>
      <c r="R24" s="182">
        <f t="shared" si="5"/>
        <v>18678.36</v>
      </c>
      <c r="S24" s="182">
        <f>S25+S26</f>
        <v>33784.839999999997</v>
      </c>
      <c r="T24" s="183">
        <f t="shared" si="5"/>
        <v>33784.839999999997</v>
      </c>
      <c r="U24" s="206"/>
    </row>
    <row r="25" spans="1:21" s="185" customFormat="1" x14ac:dyDescent="0.25">
      <c r="A25" s="120">
        <v>51501</v>
      </c>
      <c r="B25" s="187" t="s">
        <v>25</v>
      </c>
      <c r="C25" s="188"/>
      <c r="D25" s="188"/>
      <c r="E25" s="188"/>
      <c r="F25" s="188"/>
      <c r="G25" s="198">
        <f>C25+D25+E25+F25</f>
        <v>0</v>
      </c>
      <c r="H25" s="207"/>
      <c r="I25" s="188"/>
      <c r="J25" s="188"/>
      <c r="K25" s="188"/>
      <c r="L25" s="188"/>
      <c r="M25" s="188"/>
      <c r="N25" s="208">
        <f>SUM(H25:M25)</f>
        <v>0</v>
      </c>
      <c r="O25" s="207">
        <f>327.44*12</f>
        <v>3929.2799999999997</v>
      </c>
      <c r="P25" s="188">
        <f>730.35*12</f>
        <v>8764.2000000000007</v>
      </c>
      <c r="Q25" s="188">
        <f>155*12</f>
        <v>1860</v>
      </c>
      <c r="R25" s="188">
        <f>(721.53*12)+10020</f>
        <v>18678.36</v>
      </c>
      <c r="S25" s="188">
        <f>SUM(O25:R25)</f>
        <v>33231.839999999997</v>
      </c>
      <c r="T25" s="189">
        <f>S25+N25+G25</f>
        <v>33231.839999999997</v>
      </c>
      <c r="U25" s="206"/>
    </row>
    <row r="26" spans="1:21" s="185" customFormat="1" x14ac:dyDescent="0.25">
      <c r="A26" s="120">
        <v>51502</v>
      </c>
      <c r="B26" s="187" t="s">
        <v>26</v>
      </c>
      <c r="C26" s="188"/>
      <c r="D26" s="188"/>
      <c r="E26" s="188"/>
      <c r="F26" s="188"/>
      <c r="G26" s="198">
        <f>C26+D26+E26+F26</f>
        <v>0</v>
      </c>
      <c r="H26" s="207"/>
      <c r="I26" s="188"/>
      <c r="J26" s="188"/>
      <c r="K26" s="188"/>
      <c r="L26" s="188"/>
      <c r="M26" s="188"/>
      <c r="N26" s="208">
        <f>SUM(H26:M26)</f>
        <v>0</v>
      </c>
      <c r="O26" s="207">
        <v>553</v>
      </c>
      <c r="P26" s="188"/>
      <c r="Q26" s="188"/>
      <c r="R26" s="188"/>
      <c r="S26" s="188">
        <f>SUM(O26:R26)</f>
        <v>553</v>
      </c>
      <c r="T26" s="189">
        <f>S26+N26+G26</f>
        <v>553</v>
      </c>
      <c r="U26" s="206"/>
    </row>
    <row r="27" spans="1:21" s="185" customFormat="1" x14ac:dyDescent="0.25">
      <c r="A27" s="121">
        <v>517</v>
      </c>
      <c r="B27" s="186" t="s">
        <v>28</v>
      </c>
      <c r="C27" s="182">
        <f t="shared" ref="C27:T27" si="6">C28+C29</f>
        <v>0</v>
      </c>
      <c r="D27" s="182">
        <f t="shared" si="6"/>
        <v>0</v>
      </c>
      <c r="E27" s="182">
        <f t="shared" si="6"/>
        <v>0</v>
      </c>
      <c r="F27" s="182">
        <f t="shared" si="6"/>
        <v>0</v>
      </c>
      <c r="G27" s="204">
        <f t="shared" si="6"/>
        <v>0</v>
      </c>
      <c r="H27" s="205">
        <f t="shared" si="6"/>
        <v>0</v>
      </c>
      <c r="I27" s="182">
        <f t="shared" si="6"/>
        <v>0</v>
      </c>
      <c r="J27" s="182">
        <f t="shared" si="6"/>
        <v>0</v>
      </c>
      <c r="K27" s="182">
        <f t="shared" si="6"/>
        <v>0</v>
      </c>
      <c r="L27" s="182">
        <f t="shared" si="6"/>
        <v>0</v>
      </c>
      <c r="M27" s="182">
        <f t="shared" si="6"/>
        <v>0</v>
      </c>
      <c r="N27" s="183">
        <f t="shared" si="6"/>
        <v>0</v>
      </c>
      <c r="O27" s="182">
        <f>O28+O29</f>
        <v>4100</v>
      </c>
      <c r="P27" s="182">
        <f t="shared" si="6"/>
        <v>0</v>
      </c>
      <c r="Q27" s="182">
        <f t="shared" si="6"/>
        <v>0</v>
      </c>
      <c r="R27" s="182">
        <f t="shared" si="6"/>
        <v>0</v>
      </c>
      <c r="S27" s="182">
        <f>S28+S29</f>
        <v>4100</v>
      </c>
      <c r="T27" s="183">
        <f t="shared" si="6"/>
        <v>4100</v>
      </c>
      <c r="U27" s="206"/>
    </row>
    <row r="28" spans="1:21" s="185" customFormat="1" x14ac:dyDescent="0.25">
      <c r="A28" s="120">
        <v>51701</v>
      </c>
      <c r="B28" s="187" t="s">
        <v>29</v>
      </c>
      <c r="C28" s="188"/>
      <c r="D28" s="188">
        <v>0</v>
      </c>
      <c r="E28" s="188">
        <v>0</v>
      </c>
      <c r="F28" s="188">
        <v>0</v>
      </c>
      <c r="G28" s="211">
        <v>0</v>
      </c>
      <c r="H28" s="207">
        <v>0</v>
      </c>
      <c r="I28" s="188">
        <v>0</v>
      </c>
      <c r="J28" s="188">
        <v>0</v>
      </c>
      <c r="K28" s="188">
        <v>0</v>
      </c>
      <c r="L28" s="188">
        <v>0</v>
      </c>
      <c r="M28" s="188">
        <v>0</v>
      </c>
      <c r="N28" s="212">
        <v>0</v>
      </c>
      <c r="O28" s="209">
        <v>4000</v>
      </c>
      <c r="P28" s="188">
        <v>0</v>
      </c>
      <c r="Q28" s="188">
        <v>0</v>
      </c>
      <c r="R28" s="188">
        <v>0</v>
      </c>
      <c r="S28" s="188">
        <f>SUM(O28:R28)</f>
        <v>4000</v>
      </c>
      <c r="T28" s="189">
        <f>S28+N28+G28</f>
        <v>4000</v>
      </c>
      <c r="U28" s="206"/>
    </row>
    <row r="29" spans="1:21" s="185" customFormat="1" x14ac:dyDescent="0.25">
      <c r="A29" s="120">
        <v>51702</v>
      </c>
      <c r="B29" s="187" t="s">
        <v>30</v>
      </c>
      <c r="C29" s="188"/>
      <c r="D29" s="188"/>
      <c r="E29" s="188"/>
      <c r="F29" s="188"/>
      <c r="G29" s="211">
        <v>0</v>
      </c>
      <c r="H29" s="207"/>
      <c r="I29" s="188"/>
      <c r="J29" s="188"/>
      <c r="K29" s="188"/>
      <c r="L29" s="188"/>
      <c r="M29" s="188"/>
      <c r="N29" s="208"/>
      <c r="O29" s="213">
        <v>100</v>
      </c>
      <c r="P29" s="188"/>
      <c r="Q29" s="188"/>
      <c r="R29" s="188"/>
      <c r="S29" s="188">
        <f>SUM(O29:R29)</f>
        <v>100</v>
      </c>
      <c r="T29" s="189">
        <f>S29+N29+G29</f>
        <v>100</v>
      </c>
      <c r="U29" s="206"/>
    </row>
    <row r="30" spans="1:21" s="185" customFormat="1" ht="18" customHeight="1" x14ac:dyDescent="0.25">
      <c r="A30" s="121">
        <v>516</v>
      </c>
      <c r="B30" s="186" t="s">
        <v>31</v>
      </c>
      <c r="C30" s="182">
        <f t="shared" ref="C30:T30" si="7">C31+C32</f>
        <v>0</v>
      </c>
      <c r="D30" s="182">
        <f t="shared" si="7"/>
        <v>0</v>
      </c>
      <c r="E30" s="182">
        <f t="shared" si="7"/>
        <v>0</v>
      </c>
      <c r="F30" s="182">
        <f t="shared" si="7"/>
        <v>0</v>
      </c>
      <c r="G30" s="204">
        <f t="shared" si="7"/>
        <v>0</v>
      </c>
      <c r="H30" s="205">
        <f t="shared" si="7"/>
        <v>0</v>
      </c>
      <c r="I30" s="182">
        <f t="shared" si="7"/>
        <v>0</v>
      </c>
      <c r="J30" s="182">
        <f t="shared" si="7"/>
        <v>0</v>
      </c>
      <c r="K30" s="182">
        <f t="shared" si="7"/>
        <v>0</v>
      </c>
      <c r="L30" s="182">
        <f t="shared" si="7"/>
        <v>0</v>
      </c>
      <c r="M30" s="182">
        <f t="shared" si="7"/>
        <v>0</v>
      </c>
      <c r="N30" s="183">
        <f t="shared" si="7"/>
        <v>0</v>
      </c>
      <c r="O30" s="205">
        <f>O31+O32</f>
        <v>14000</v>
      </c>
      <c r="P30" s="182">
        <f t="shared" si="7"/>
        <v>0</v>
      </c>
      <c r="Q30" s="182">
        <f t="shared" si="7"/>
        <v>0</v>
      </c>
      <c r="R30" s="182">
        <f t="shared" si="7"/>
        <v>0</v>
      </c>
      <c r="S30" s="182">
        <f>S31+S32</f>
        <v>14000</v>
      </c>
      <c r="T30" s="183">
        <f t="shared" si="7"/>
        <v>14000</v>
      </c>
      <c r="U30" s="206"/>
    </row>
    <row r="31" spans="1:21" s="185" customFormat="1" ht="18" customHeight="1" x14ac:dyDescent="0.25">
      <c r="A31" s="120">
        <v>51601</v>
      </c>
      <c r="B31" s="187" t="s">
        <v>32</v>
      </c>
      <c r="C31" s="188"/>
      <c r="D31" s="188"/>
      <c r="E31" s="188"/>
      <c r="F31" s="188"/>
      <c r="G31" s="198">
        <f>C31+D31+E31+F31</f>
        <v>0</v>
      </c>
      <c r="H31" s="207"/>
      <c r="I31" s="188"/>
      <c r="J31" s="188"/>
      <c r="K31" s="188"/>
      <c r="L31" s="188"/>
      <c r="M31" s="188"/>
      <c r="N31" s="208">
        <f>SUM(H31:M31)</f>
        <v>0</v>
      </c>
      <c r="O31" s="207">
        <v>12000</v>
      </c>
      <c r="P31" s="188"/>
      <c r="Q31" s="188"/>
      <c r="R31" s="188"/>
      <c r="S31" s="188">
        <f>SUM(O31:R31)</f>
        <v>12000</v>
      </c>
      <c r="T31" s="189">
        <f>S31+N31+G31</f>
        <v>12000</v>
      </c>
      <c r="U31" s="206"/>
    </row>
    <row r="32" spans="1:21" s="185" customFormat="1" ht="16.5" customHeight="1" x14ac:dyDescent="0.25">
      <c r="A32" s="120">
        <v>51602</v>
      </c>
      <c r="B32" s="187" t="s">
        <v>33</v>
      </c>
      <c r="C32" s="188"/>
      <c r="D32" s="188"/>
      <c r="E32" s="188"/>
      <c r="F32" s="188"/>
      <c r="G32" s="198">
        <f>C32+D32+E32+F32</f>
        <v>0</v>
      </c>
      <c r="H32" s="207"/>
      <c r="I32" s="188"/>
      <c r="J32" s="188"/>
      <c r="K32" s="188"/>
      <c r="L32" s="188"/>
      <c r="M32" s="188"/>
      <c r="N32" s="208">
        <f>SUM(H32:M32)</f>
        <v>0</v>
      </c>
      <c r="O32" s="207">
        <v>2000</v>
      </c>
      <c r="P32" s="188"/>
      <c r="Q32" s="188"/>
      <c r="R32" s="188"/>
      <c r="S32" s="188">
        <f>SUM(O32:R32)</f>
        <v>2000</v>
      </c>
      <c r="T32" s="189">
        <f>S32+N32+G32</f>
        <v>2000</v>
      </c>
      <c r="U32" s="206"/>
    </row>
    <row r="33" spans="1:23" s="185" customFormat="1" ht="16.5" customHeight="1" x14ac:dyDescent="0.25">
      <c r="A33" s="121">
        <v>519</v>
      </c>
      <c r="B33" s="186" t="s">
        <v>34</v>
      </c>
      <c r="C33" s="182">
        <f t="shared" ref="C33:T33" si="8">C34</f>
        <v>4800</v>
      </c>
      <c r="D33" s="182">
        <f t="shared" si="8"/>
        <v>0</v>
      </c>
      <c r="E33" s="182">
        <f t="shared" si="8"/>
        <v>0</v>
      </c>
      <c r="F33" s="182">
        <f t="shared" si="8"/>
        <v>0</v>
      </c>
      <c r="G33" s="204">
        <f t="shared" si="8"/>
        <v>4800</v>
      </c>
      <c r="H33" s="205">
        <f t="shared" si="8"/>
        <v>0</v>
      </c>
      <c r="I33" s="182">
        <f t="shared" si="8"/>
        <v>0</v>
      </c>
      <c r="J33" s="182">
        <f t="shared" si="8"/>
        <v>0</v>
      </c>
      <c r="K33" s="182">
        <f t="shared" si="8"/>
        <v>0</v>
      </c>
      <c r="L33" s="182">
        <f t="shared" si="8"/>
        <v>0</v>
      </c>
      <c r="M33" s="182">
        <f t="shared" si="8"/>
        <v>0</v>
      </c>
      <c r="N33" s="183">
        <f t="shared" si="8"/>
        <v>0</v>
      </c>
      <c r="O33" s="205">
        <f>O34</f>
        <v>5500</v>
      </c>
      <c r="P33" s="182">
        <f t="shared" si="8"/>
        <v>0</v>
      </c>
      <c r="Q33" s="182">
        <f t="shared" si="8"/>
        <v>0</v>
      </c>
      <c r="R33" s="182">
        <f t="shared" si="8"/>
        <v>0</v>
      </c>
      <c r="S33" s="182">
        <f>S34</f>
        <v>5500</v>
      </c>
      <c r="T33" s="183">
        <f t="shared" si="8"/>
        <v>10300</v>
      </c>
      <c r="U33" s="206"/>
    </row>
    <row r="34" spans="1:23" s="185" customFormat="1" ht="17.25" customHeight="1" x14ac:dyDescent="0.25">
      <c r="A34" s="120">
        <v>51901</v>
      </c>
      <c r="B34" s="187" t="s">
        <v>35</v>
      </c>
      <c r="C34" s="188">
        <v>4800</v>
      </c>
      <c r="D34" s="188"/>
      <c r="E34" s="188"/>
      <c r="F34" s="188"/>
      <c r="G34" s="198">
        <f>C34+D34+E34+F34</f>
        <v>4800</v>
      </c>
      <c r="H34" s="207"/>
      <c r="I34" s="188"/>
      <c r="J34" s="188"/>
      <c r="K34" s="188"/>
      <c r="L34" s="188"/>
      <c r="M34" s="188"/>
      <c r="N34" s="208">
        <f>SUM(H34:M34)</f>
        <v>0</v>
      </c>
      <c r="O34" s="207">
        <v>5500</v>
      </c>
      <c r="P34" s="188"/>
      <c r="Q34" s="188"/>
      <c r="R34" s="188"/>
      <c r="S34" s="188">
        <f>SUM(O34:R34)</f>
        <v>5500</v>
      </c>
      <c r="T34" s="189">
        <f>S34+N34+G34</f>
        <v>10300</v>
      </c>
      <c r="U34" s="206"/>
    </row>
    <row r="35" spans="1:23" s="185" customFormat="1" x14ac:dyDescent="0.25">
      <c r="A35" s="121">
        <v>54</v>
      </c>
      <c r="B35" s="186" t="s">
        <v>36</v>
      </c>
      <c r="C35" s="182">
        <f>C36+C55+C61</f>
        <v>119847.8</v>
      </c>
      <c r="D35" s="182">
        <f>D36+D55+D61</f>
        <v>1000</v>
      </c>
      <c r="E35" s="182">
        <f>E36+E55+E61</f>
        <v>500</v>
      </c>
      <c r="F35" s="182">
        <f>F36+F55+F61</f>
        <v>500</v>
      </c>
      <c r="G35" s="204">
        <f>G36+G55+G61+G73+G83+G77</f>
        <v>121847.8</v>
      </c>
      <c r="H35" s="205">
        <f t="shared" ref="H35:N35" si="9">H36+H55+H61</f>
        <v>0</v>
      </c>
      <c r="I35" s="182">
        <f t="shared" si="9"/>
        <v>0</v>
      </c>
      <c r="J35" s="182">
        <f t="shared" si="9"/>
        <v>0</v>
      </c>
      <c r="K35" s="182">
        <f t="shared" si="9"/>
        <v>0</v>
      </c>
      <c r="L35" s="182">
        <f t="shared" si="9"/>
        <v>0</v>
      </c>
      <c r="M35" s="182">
        <f t="shared" si="9"/>
        <v>0</v>
      </c>
      <c r="N35" s="183">
        <f t="shared" si="9"/>
        <v>0</v>
      </c>
      <c r="O35" s="205">
        <f>O36+O55+O61+O73+O77</f>
        <v>131911.88</v>
      </c>
      <c r="P35" s="182">
        <f>P36+P55+P61</f>
        <v>7300</v>
      </c>
      <c r="Q35" s="182">
        <f>Q36+Q55+Q61</f>
        <v>5600</v>
      </c>
      <c r="R35" s="182">
        <f>R36+R55+R61</f>
        <v>4450</v>
      </c>
      <c r="S35" s="182">
        <f>S36+S55+S61+S73+S83+S77</f>
        <v>149261.88</v>
      </c>
      <c r="T35" s="183">
        <f>T36+T55+T61</f>
        <v>252709.68</v>
      </c>
      <c r="U35" s="206"/>
    </row>
    <row r="36" spans="1:23" s="185" customFormat="1" x14ac:dyDescent="0.25">
      <c r="A36" s="121">
        <v>541</v>
      </c>
      <c r="B36" s="186" t="s">
        <v>37</v>
      </c>
      <c r="C36" s="182">
        <f t="shared" ref="C36:T36" si="10">SUM(C37:C54)</f>
        <v>9102.36</v>
      </c>
      <c r="D36" s="182">
        <f t="shared" si="10"/>
        <v>1000</v>
      </c>
      <c r="E36" s="182">
        <f t="shared" si="10"/>
        <v>500</v>
      </c>
      <c r="F36" s="182">
        <f t="shared" si="10"/>
        <v>500</v>
      </c>
      <c r="G36" s="204">
        <f t="shared" si="10"/>
        <v>11102.36</v>
      </c>
      <c r="H36" s="205">
        <f t="shared" si="10"/>
        <v>0</v>
      </c>
      <c r="I36" s="182">
        <f t="shared" si="10"/>
        <v>0</v>
      </c>
      <c r="J36" s="182">
        <f t="shared" si="10"/>
        <v>0</v>
      </c>
      <c r="K36" s="182">
        <f t="shared" si="10"/>
        <v>0</v>
      </c>
      <c r="L36" s="182">
        <f t="shared" si="10"/>
        <v>0</v>
      </c>
      <c r="M36" s="182">
        <f t="shared" si="10"/>
        <v>0</v>
      </c>
      <c r="N36" s="183">
        <f t="shared" si="10"/>
        <v>0</v>
      </c>
      <c r="O36" s="205">
        <f>SUM(O37:O54)</f>
        <v>39650</v>
      </c>
      <c r="P36" s="182">
        <f t="shared" si="10"/>
        <v>7300</v>
      </c>
      <c r="Q36" s="182">
        <f t="shared" si="10"/>
        <v>5600</v>
      </c>
      <c r="R36" s="182">
        <f t="shared" si="10"/>
        <v>4450</v>
      </c>
      <c r="S36" s="182">
        <f>SUM(S37:S54)</f>
        <v>57000</v>
      </c>
      <c r="T36" s="183">
        <f t="shared" si="10"/>
        <v>68102.36</v>
      </c>
      <c r="U36" s="206"/>
    </row>
    <row r="37" spans="1:23" s="185" customFormat="1" x14ac:dyDescent="0.25">
      <c r="A37" s="120">
        <v>54101</v>
      </c>
      <c r="B37" s="187" t="s">
        <v>38</v>
      </c>
      <c r="C37" s="188"/>
      <c r="D37" s="188"/>
      <c r="E37" s="188"/>
      <c r="F37" s="188"/>
      <c r="G37" s="198">
        <f t="shared" ref="G37:G54" si="11">C37+D37+E37+F37</f>
        <v>0</v>
      </c>
      <c r="H37" s="207"/>
      <c r="I37" s="188"/>
      <c r="J37" s="188"/>
      <c r="K37" s="188"/>
      <c r="L37" s="188"/>
      <c r="M37" s="188"/>
      <c r="N37" s="208">
        <f t="shared" ref="N37:N54" si="12">SUM(H37:M37)</f>
        <v>0</v>
      </c>
      <c r="O37" s="207">
        <v>5000</v>
      </c>
      <c r="P37" s="188"/>
      <c r="Q37" s="188"/>
      <c r="R37" s="188"/>
      <c r="S37" s="188">
        <f>SUM(O37:R37)</f>
        <v>5000</v>
      </c>
      <c r="T37" s="189">
        <f t="shared" ref="T37:T54" si="13">S37+N37+G37</f>
        <v>5000</v>
      </c>
      <c r="U37" s="206"/>
      <c r="V37" s="190"/>
    </row>
    <row r="38" spans="1:23" s="185" customFormat="1" x14ac:dyDescent="0.25">
      <c r="A38" s="120">
        <v>54103</v>
      </c>
      <c r="B38" s="187" t="s">
        <v>39</v>
      </c>
      <c r="C38" s="188"/>
      <c r="D38" s="188"/>
      <c r="E38" s="188"/>
      <c r="F38" s="188"/>
      <c r="G38" s="198">
        <f t="shared" si="11"/>
        <v>0</v>
      </c>
      <c r="H38" s="207"/>
      <c r="I38" s="188"/>
      <c r="J38" s="188"/>
      <c r="K38" s="188"/>
      <c r="L38" s="188"/>
      <c r="M38" s="188"/>
      <c r="N38" s="208">
        <f t="shared" si="12"/>
        <v>0</v>
      </c>
      <c r="O38" s="207">
        <v>1000</v>
      </c>
      <c r="P38" s="188"/>
      <c r="Q38" s="188"/>
      <c r="R38" s="188"/>
      <c r="S38" s="188">
        <f>SUM(O38:R38)</f>
        <v>1000</v>
      </c>
      <c r="T38" s="189">
        <f t="shared" si="13"/>
        <v>1000</v>
      </c>
      <c r="U38" s="206"/>
    </row>
    <row r="39" spans="1:23" s="185" customFormat="1" x14ac:dyDescent="0.25">
      <c r="A39" s="120">
        <v>54104</v>
      </c>
      <c r="B39" s="187" t="s">
        <v>40</v>
      </c>
      <c r="C39" s="188">
        <f>3605.36</f>
        <v>3605.36</v>
      </c>
      <c r="D39" s="188"/>
      <c r="E39" s="188"/>
      <c r="F39" s="188"/>
      <c r="G39" s="198">
        <f t="shared" si="11"/>
        <v>3605.36</v>
      </c>
      <c r="H39" s="207"/>
      <c r="I39" s="188"/>
      <c r="J39" s="188"/>
      <c r="K39" s="188"/>
      <c r="L39" s="188"/>
      <c r="M39" s="188"/>
      <c r="N39" s="208">
        <f t="shared" si="12"/>
        <v>0</v>
      </c>
      <c r="O39" s="207">
        <v>8000</v>
      </c>
      <c r="P39" s="188"/>
      <c r="Q39" s="188"/>
      <c r="R39" s="188"/>
      <c r="S39" s="188">
        <f>SUM(O39:R39)</f>
        <v>8000</v>
      </c>
      <c r="T39" s="189">
        <f t="shared" si="13"/>
        <v>11605.36</v>
      </c>
      <c r="U39" s="206"/>
      <c r="V39" s="190"/>
    </row>
    <row r="40" spans="1:23" s="185" customFormat="1" x14ac:dyDescent="0.25">
      <c r="A40" s="120">
        <v>54105</v>
      </c>
      <c r="B40" s="187" t="s">
        <v>41</v>
      </c>
      <c r="C40" s="188"/>
      <c r="D40" s="188"/>
      <c r="E40" s="188"/>
      <c r="F40" s="188"/>
      <c r="G40" s="198">
        <f t="shared" si="11"/>
        <v>0</v>
      </c>
      <c r="H40" s="207"/>
      <c r="I40" s="188"/>
      <c r="J40" s="188"/>
      <c r="K40" s="188"/>
      <c r="L40" s="188"/>
      <c r="M40" s="188"/>
      <c r="N40" s="208">
        <f t="shared" si="12"/>
        <v>0</v>
      </c>
      <c r="O40" s="207">
        <v>3000</v>
      </c>
      <c r="P40" s="188">
        <v>1000</v>
      </c>
      <c r="Q40" s="188">
        <v>1000</v>
      </c>
      <c r="R40" s="188">
        <v>250</v>
      </c>
      <c r="S40" s="188">
        <f>SUM(O40:R40)</f>
        <v>5250</v>
      </c>
      <c r="T40" s="189">
        <f t="shared" si="13"/>
        <v>5250</v>
      </c>
      <c r="U40" s="214"/>
    </row>
    <row r="41" spans="1:23" s="185" customFormat="1" x14ac:dyDescent="0.25">
      <c r="A41" s="120">
        <v>54106</v>
      </c>
      <c r="B41" s="187" t="s">
        <v>42</v>
      </c>
      <c r="C41" s="188"/>
      <c r="D41" s="188"/>
      <c r="E41" s="188"/>
      <c r="F41" s="188"/>
      <c r="G41" s="198">
        <f t="shared" si="11"/>
        <v>0</v>
      </c>
      <c r="H41" s="207"/>
      <c r="I41" s="188"/>
      <c r="J41" s="188"/>
      <c r="K41" s="188"/>
      <c r="L41" s="188"/>
      <c r="M41" s="188"/>
      <c r="N41" s="208">
        <f t="shared" si="12"/>
        <v>0</v>
      </c>
      <c r="O41" s="207">
        <v>350</v>
      </c>
      <c r="P41" s="207">
        <v>200</v>
      </c>
      <c r="Q41" s="207">
        <v>200</v>
      </c>
      <c r="R41" s="207">
        <v>200</v>
      </c>
      <c r="S41" s="188">
        <f t="shared" ref="S41:S53" si="14">SUM(O41:R41)</f>
        <v>950</v>
      </c>
      <c r="T41" s="189">
        <f t="shared" si="13"/>
        <v>950</v>
      </c>
      <c r="U41" s="206"/>
    </row>
    <row r="42" spans="1:23" s="185" customFormat="1" x14ac:dyDescent="0.25">
      <c r="A42" s="120">
        <v>54107</v>
      </c>
      <c r="B42" s="187" t="s">
        <v>43</v>
      </c>
      <c r="C42" s="188"/>
      <c r="D42" s="188"/>
      <c r="E42" s="188"/>
      <c r="F42" s="188"/>
      <c r="G42" s="198">
        <f t="shared" si="11"/>
        <v>0</v>
      </c>
      <c r="H42" s="207"/>
      <c r="I42" s="188"/>
      <c r="J42" s="188"/>
      <c r="K42" s="188"/>
      <c r="L42" s="188"/>
      <c r="M42" s="188"/>
      <c r="N42" s="208">
        <f t="shared" si="12"/>
        <v>0</v>
      </c>
      <c r="O42" s="207">
        <v>2000</v>
      </c>
      <c r="P42" s="188">
        <v>100</v>
      </c>
      <c r="Q42" s="188">
        <v>500</v>
      </c>
      <c r="R42" s="188">
        <v>500</v>
      </c>
      <c r="S42" s="188">
        <f t="shared" ref="S42:S52" si="15">SUM(O42:R42)</f>
        <v>3100</v>
      </c>
      <c r="T42" s="189">
        <f t="shared" si="13"/>
        <v>3100</v>
      </c>
      <c r="U42" s="214"/>
      <c r="V42" s="190"/>
      <c r="W42" s="190"/>
    </row>
    <row r="43" spans="1:23" s="185" customFormat="1" x14ac:dyDescent="0.25">
      <c r="A43" s="120">
        <v>54108</v>
      </c>
      <c r="B43" s="187" t="s">
        <v>44</v>
      </c>
      <c r="C43" s="188"/>
      <c r="D43" s="188"/>
      <c r="E43" s="188"/>
      <c r="F43" s="188"/>
      <c r="G43" s="198">
        <f t="shared" si="11"/>
        <v>0</v>
      </c>
      <c r="H43" s="207"/>
      <c r="I43" s="188"/>
      <c r="J43" s="188"/>
      <c r="K43" s="188"/>
      <c r="L43" s="188"/>
      <c r="M43" s="188"/>
      <c r="N43" s="208">
        <f t="shared" si="12"/>
        <v>0</v>
      </c>
      <c r="O43" s="207">
        <v>100</v>
      </c>
      <c r="P43" s="188"/>
      <c r="Q43" s="188"/>
      <c r="R43" s="188"/>
      <c r="S43" s="188">
        <f t="shared" si="15"/>
        <v>100</v>
      </c>
      <c r="T43" s="189">
        <f t="shared" si="13"/>
        <v>100</v>
      </c>
      <c r="U43" s="206"/>
    </row>
    <row r="44" spans="1:23" s="185" customFormat="1" x14ac:dyDescent="0.25">
      <c r="A44" s="120">
        <v>54109</v>
      </c>
      <c r="B44" s="187" t="s">
        <v>45</v>
      </c>
      <c r="C44" s="188"/>
      <c r="D44" s="188"/>
      <c r="E44" s="188"/>
      <c r="F44" s="188"/>
      <c r="G44" s="198">
        <f t="shared" si="11"/>
        <v>0</v>
      </c>
      <c r="H44" s="207"/>
      <c r="I44" s="188"/>
      <c r="J44" s="188"/>
      <c r="K44" s="188"/>
      <c r="L44" s="188"/>
      <c r="M44" s="188"/>
      <c r="N44" s="208">
        <f t="shared" si="12"/>
        <v>0</v>
      </c>
      <c r="O44" s="207">
        <v>1000</v>
      </c>
      <c r="P44" s="188"/>
      <c r="Q44" s="188"/>
      <c r="R44" s="188"/>
      <c r="S44" s="188">
        <f t="shared" si="15"/>
        <v>1000</v>
      </c>
      <c r="T44" s="189">
        <f t="shared" si="13"/>
        <v>1000</v>
      </c>
      <c r="U44" s="206"/>
    </row>
    <row r="45" spans="1:23" s="185" customFormat="1" x14ac:dyDescent="0.25">
      <c r="A45" s="120">
        <v>54110</v>
      </c>
      <c r="B45" s="187" t="s">
        <v>46</v>
      </c>
      <c r="C45" s="188">
        <v>1497</v>
      </c>
      <c r="D45" s="188">
        <v>1000</v>
      </c>
      <c r="E45" s="188">
        <v>500</v>
      </c>
      <c r="F45" s="188">
        <v>500</v>
      </c>
      <c r="G45" s="198">
        <f t="shared" si="11"/>
        <v>3497</v>
      </c>
      <c r="H45" s="207"/>
      <c r="I45" s="188"/>
      <c r="J45" s="188"/>
      <c r="K45" s="188"/>
      <c r="L45" s="188"/>
      <c r="M45" s="188"/>
      <c r="N45" s="208">
        <f t="shared" si="12"/>
        <v>0</v>
      </c>
      <c r="O45" s="207">
        <v>3000</v>
      </c>
      <c r="P45" s="188">
        <v>2000</v>
      </c>
      <c r="Q45" s="188">
        <v>1000</v>
      </c>
      <c r="R45" s="188">
        <v>1000</v>
      </c>
      <c r="S45" s="188">
        <f t="shared" si="15"/>
        <v>7000</v>
      </c>
      <c r="T45" s="189">
        <f t="shared" si="13"/>
        <v>10497</v>
      </c>
      <c r="U45" s="214"/>
    </row>
    <row r="46" spans="1:23" s="185" customFormat="1" x14ac:dyDescent="0.25">
      <c r="A46" s="120">
        <v>54111</v>
      </c>
      <c r="B46" s="187" t="s">
        <v>47</v>
      </c>
      <c r="C46" s="188"/>
      <c r="D46" s="188"/>
      <c r="E46" s="188"/>
      <c r="F46" s="188"/>
      <c r="G46" s="198">
        <f t="shared" si="11"/>
        <v>0</v>
      </c>
      <c r="H46" s="207"/>
      <c r="I46" s="188"/>
      <c r="J46" s="188"/>
      <c r="K46" s="188"/>
      <c r="L46" s="188"/>
      <c r="M46" s="188"/>
      <c r="N46" s="208">
        <f t="shared" si="12"/>
        <v>0</v>
      </c>
      <c r="O46" s="207">
        <v>600</v>
      </c>
      <c r="P46" s="188">
        <v>200</v>
      </c>
      <c r="Q46" s="188">
        <v>200</v>
      </c>
      <c r="R46" s="188"/>
      <c r="S46" s="188">
        <f t="shared" si="15"/>
        <v>1000</v>
      </c>
      <c r="T46" s="189">
        <f t="shared" si="13"/>
        <v>1000</v>
      </c>
      <c r="U46" s="206"/>
      <c r="V46" s="190"/>
    </row>
    <row r="47" spans="1:23" s="185" customFormat="1" x14ac:dyDescent="0.25">
      <c r="A47" s="120">
        <v>54112</v>
      </c>
      <c r="B47" s="187" t="s">
        <v>48</v>
      </c>
      <c r="C47" s="188"/>
      <c r="D47" s="188"/>
      <c r="E47" s="188"/>
      <c r="F47" s="188"/>
      <c r="G47" s="198">
        <f t="shared" si="11"/>
        <v>0</v>
      </c>
      <c r="H47" s="207"/>
      <c r="I47" s="188"/>
      <c r="J47" s="188"/>
      <c r="K47" s="188"/>
      <c r="L47" s="188"/>
      <c r="M47" s="188"/>
      <c r="N47" s="208">
        <f t="shared" si="12"/>
        <v>0</v>
      </c>
      <c r="O47" s="207">
        <v>500</v>
      </c>
      <c r="P47" s="188">
        <v>300</v>
      </c>
      <c r="Q47" s="188">
        <v>200</v>
      </c>
      <c r="R47" s="188">
        <v>500</v>
      </c>
      <c r="S47" s="188">
        <f t="shared" si="15"/>
        <v>1500</v>
      </c>
      <c r="T47" s="189">
        <f t="shared" si="13"/>
        <v>1500</v>
      </c>
      <c r="U47" s="206"/>
    </row>
    <row r="48" spans="1:23" s="185" customFormat="1" x14ac:dyDescent="0.25">
      <c r="A48" s="120">
        <v>54114</v>
      </c>
      <c r="B48" s="187" t="s">
        <v>49</v>
      </c>
      <c r="C48" s="188"/>
      <c r="D48" s="188"/>
      <c r="E48" s="188"/>
      <c r="F48" s="188"/>
      <c r="G48" s="198">
        <f t="shared" si="11"/>
        <v>0</v>
      </c>
      <c r="H48" s="207"/>
      <c r="I48" s="188"/>
      <c r="J48" s="188"/>
      <c r="K48" s="188"/>
      <c r="L48" s="188"/>
      <c r="M48" s="188"/>
      <c r="N48" s="208">
        <f t="shared" si="12"/>
        <v>0</v>
      </c>
      <c r="O48" s="207">
        <f>1000+1000</f>
        <v>2000</v>
      </c>
      <c r="P48" s="188">
        <v>1000</v>
      </c>
      <c r="Q48" s="188">
        <v>1000</v>
      </c>
      <c r="R48" s="188">
        <v>1000</v>
      </c>
      <c r="S48" s="188">
        <f t="shared" si="15"/>
        <v>5000</v>
      </c>
      <c r="T48" s="189">
        <f t="shared" si="13"/>
        <v>5000</v>
      </c>
      <c r="U48" s="214"/>
    </row>
    <row r="49" spans="1:27" s="185" customFormat="1" x14ac:dyDescent="0.25">
      <c r="A49" s="120">
        <v>54115</v>
      </c>
      <c r="B49" s="187" t="s">
        <v>50</v>
      </c>
      <c r="C49" s="188"/>
      <c r="D49" s="188"/>
      <c r="E49" s="188"/>
      <c r="F49" s="188"/>
      <c r="G49" s="198">
        <f t="shared" si="11"/>
        <v>0</v>
      </c>
      <c r="H49" s="207"/>
      <c r="I49" s="188"/>
      <c r="J49" s="188"/>
      <c r="K49" s="188"/>
      <c r="L49" s="188"/>
      <c r="M49" s="188"/>
      <c r="N49" s="208">
        <f t="shared" si="12"/>
        <v>0</v>
      </c>
      <c r="O49" s="207">
        <v>5000</v>
      </c>
      <c r="P49" s="188">
        <v>1000</v>
      </c>
      <c r="Q49" s="188">
        <v>500</v>
      </c>
      <c r="R49" s="188">
        <v>500</v>
      </c>
      <c r="S49" s="188">
        <f t="shared" si="15"/>
        <v>7000</v>
      </c>
      <c r="T49" s="189">
        <f t="shared" si="13"/>
        <v>7000</v>
      </c>
      <c r="U49" s="214"/>
    </row>
    <row r="50" spans="1:27" s="185" customFormat="1" x14ac:dyDescent="0.25">
      <c r="A50" s="120">
        <v>54116</v>
      </c>
      <c r="B50" s="187" t="s">
        <v>51</v>
      </c>
      <c r="C50" s="188"/>
      <c r="D50" s="188"/>
      <c r="E50" s="188"/>
      <c r="F50" s="188"/>
      <c r="G50" s="198">
        <f t="shared" si="11"/>
        <v>0</v>
      </c>
      <c r="H50" s="207"/>
      <c r="I50" s="188"/>
      <c r="J50" s="188"/>
      <c r="K50" s="188"/>
      <c r="L50" s="188"/>
      <c r="M50" s="188"/>
      <c r="N50" s="208">
        <f t="shared" si="12"/>
        <v>0</v>
      </c>
      <c r="O50" s="207">
        <v>100</v>
      </c>
      <c r="P50" s="188"/>
      <c r="Q50" s="188"/>
      <c r="R50" s="188"/>
      <c r="S50" s="188">
        <f t="shared" si="15"/>
        <v>100</v>
      </c>
      <c r="T50" s="189">
        <f t="shared" si="13"/>
        <v>100</v>
      </c>
      <c r="U50" s="206"/>
    </row>
    <row r="51" spans="1:27" s="185" customFormat="1" x14ac:dyDescent="0.25">
      <c r="A51" s="120">
        <v>54118</v>
      </c>
      <c r="B51" s="187" t="s">
        <v>52</v>
      </c>
      <c r="C51" s="188"/>
      <c r="D51" s="188"/>
      <c r="E51" s="188"/>
      <c r="F51" s="188"/>
      <c r="G51" s="198">
        <f t="shared" si="11"/>
        <v>0</v>
      </c>
      <c r="H51" s="207"/>
      <c r="I51" s="188"/>
      <c r="J51" s="188"/>
      <c r="K51" s="188"/>
      <c r="L51" s="188"/>
      <c r="M51" s="188"/>
      <c r="N51" s="208">
        <f t="shared" si="12"/>
        <v>0</v>
      </c>
      <c r="O51" s="207">
        <v>2000</v>
      </c>
      <c r="P51" s="188"/>
      <c r="Q51" s="188"/>
      <c r="R51" s="188"/>
      <c r="S51" s="188">
        <f t="shared" si="15"/>
        <v>2000</v>
      </c>
      <c r="T51" s="189">
        <f t="shared" si="13"/>
        <v>2000</v>
      </c>
      <c r="U51" s="206"/>
    </row>
    <row r="52" spans="1:27" s="185" customFormat="1" x14ac:dyDescent="0.25">
      <c r="A52" s="120">
        <v>54119</v>
      </c>
      <c r="B52" s="187" t="s">
        <v>53</v>
      </c>
      <c r="C52" s="188"/>
      <c r="D52" s="188"/>
      <c r="E52" s="188"/>
      <c r="F52" s="188"/>
      <c r="G52" s="198">
        <f t="shared" si="11"/>
        <v>0</v>
      </c>
      <c r="H52" s="207"/>
      <c r="I52" s="188"/>
      <c r="J52" s="188"/>
      <c r="K52" s="188"/>
      <c r="L52" s="188"/>
      <c r="M52" s="188"/>
      <c r="N52" s="208">
        <f t="shared" si="12"/>
        <v>0</v>
      </c>
      <c r="O52" s="207">
        <v>2000</v>
      </c>
      <c r="P52" s="188"/>
      <c r="Q52" s="188"/>
      <c r="R52" s="188"/>
      <c r="S52" s="188">
        <f t="shared" si="15"/>
        <v>2000</v>
      </c>
      <c r="T52" s="189">
        <f t="shared" si="13"/>
        <v>2000</v>
      </c>
      <c r="U52" s="206"/>
    </row>
    <row r="53" spans="1:27" s="185" customFormat="1" hidden="1" x14ac:dyDescent="0.25">
      <c r="A53" s="120">
        <v>54121</v>
      </c>
      <c r="B53" s="187" t="s">
        <v>54</v>
      </c>
      <c r="C53" s="188">
        <v>4000</v>
      </c>
      <c r="D53" s="188"/>
      <c r="E53" s="188"/>
      <c r="F53" s="188"/>
      <c r="G53" s="198">
        <f t="shared" si="11"/>
        <v>4000</v>
      </c>
      <c r="H53" s="207"/>
      <c r="I53" s="188"/>
      <c r="J53" s="188"/>
      <c r="K53" s="188"/>
      <c r="L53" s="188"/>
      <c r="M53" s="188"/>
      <c r="N53" s="208">
        <f t="shared" si="12"/>
        <v>0</v>
      </c>
      <c r="O53" s="207"/>
      <c r="P53" s="188"/>
      <c r="Q53" s="188"/>
      <c r="R53" s="188"/>
      <c r="S53" s="188">
        <f t="shared" si="14"/>
        <v>0</v>
      </c>
      <c r="T53" s="189">
        <f t="shared" si="13"/>
        <v>4000</v>
      </c>
      <c r="U53" s="206"/>
    </row>
    <row r="54" spans="1:27" s="185" customFormat="1" x14ac:dyDescent="0.25">
      <c r="A54" s="120">
        <v>54199</v>
      </c>
      <c r="B54" s="187" t="s">
        <v>37</v>
      </c>
      <c r="C54" s="188"/>
      <c r="D54" s="188"/>
      <c r="E54" s="188"/>
      <c r="F54" s="188"/>
      <c r="G54" s="198">
        <f t="shared" si="11"/>
        <v>0</v>
      </c>
      <c r="H54" s="207"/>
      <c r="I54" s="188"/>
      <c r="J54" s="188"/>
      <c r="K54" s="188"/>
      <c r="L54" s="188"/>
      <c r="M54" s="188"/>
      <c r="N54" s="208">
        <f t="shared" si="12"/>
        <v>0</v>
      </c>
      <c r="O54" s="207">
        <v>4000</v>
      </c>
      <c r="P54" s="188">
        <v>1500</v>
      </c>
      <c r="Q54" s="188">
        <v>1000</v>
      </c>
      <c r="R54" s="188">
        <v>500</v>
      </c>
      <c r="S54" s="188">
        <f>SUM(O54:R54)</f>
        <v>7000</v>
      </c>
      <c r="T54" s="189">
        <f t="shared" si="13"/>
        <v>7000</v>
      </c>
      <c r="U54" s="206"/>
    </row>
    <row r="55" spans="1:27" s="185" customFormat="1" x14ac:dyDescent="0.25">
      <c r="A55" s="121">
        <v>542</v>
      </c>
      <c r="B55" s="186" t="s">
        <v>55</v>
      </c>
      <c r="C55" s="182">
        <f t="shared" ref="C55:T55" si="16">SUM(C56:C60)</f>
        <v>110745.44</v>
      </c>
      <c r="D55" s="182">
        <f t="shared" si="16"/>
        <v>0</v>
      </c>
      <c r="E55" s="182">
        <f t="shared" si="16"/>
        <v>0</v>
      </c>
      <c r="F55" s="182">
        <f t="shared" si="16"/>
        <v>0</v>
      </c>
      <c r="G55" s="204">
        <f t="shared" si="16"/>
        <v>110745.44</v>
      </c>
      <c r="H55" s="205">
        <f t="shared" si="16"/>
        <v>0</v>
      </c>
      <c r="I55" s="182">
        <f t="shared" si="16"/>
        <v>0</v>
      </c>
      <c r="J55" s="182">
        <f t="shared" si="16"/>
        <v>0</v>
      </c>
      <c r="K55" s="182">
        <f t="shared" si="16"/>
        <v>0</v>
      </c>
      <c r="L55" s="182">
        <f t="shared" si="16"/>
        <v>0</v>
      </c>
      <c r="M55" s="182">
        <f t="shared" si="16"/>
        <v>0</v>
      </c>
      <c r="N55" s="183">
        <f t="shared" si="16"/>
        <v>0</v>
      </c>
      <c r="O55" s="205">
        <f>SUM(O56:O60)</f>
        <v>24350</v>
      </c>
      <c r="P55" s="182">
        <f t="shared" si="16"/>
        <v>0</v>
      </c>
      <c r="Q55" s="182">
        <f t="shared" si="16"/>
        <v>0</v>
      </c>
      <c r="R55" s="182">
        <f t="shared" si="16"/>
        <v>0</v>
      </c>
      <c r="S55" s="182">
        <f>SUM(S56:S60)</f>
        <v>24350</v>
      </c>
      <c r="T55" s="183">
        <f t="shared" si="16"/>
        <v>135095.44</v>
      </c>
      <c r="U55" s="206"/>
    </row>
    <row r="56" spans="1:27" s="185" customFormat="1" x14ac:dyDescent="0.25">
      <c r="A56" s="120">
        <v>54201</v>
      </c>
      <c r="B56" s="187" t="s">
        <v>56</v>
      </c>
      <c r="C56" s="188">
        <v>49082.94</v>
      </c>
      <c r="D56" s="188"/>
      <c r="E56" s="188"/>
      <c r="F56" s="188"/>
      <c r="G56" s="198">
        <f>C56+D56+E56+F56</f>
        <v>49082.94</v>
      </c>
      <c r="H56" s="207"/>
      <c r="I56" s="188"/>
      <c r="J56" s="188"/>
      <c r="K56" s="188"/>
      <c r="L56" s="188"/>
      <c r="M56" s="188"/>
      <c r="N56" s="208">
        <f>SUM(H56:M56)</f>
        <v>0</v>
      </c>
      <c r="O56" s="207">
        <v>11000</v>
      </c>
      <c r="P56" s="188"/>
      <c r="Q56" s="188"/>
      <c r="R56" s="188"/>
      <c r="S56" s="188">
        <f>SUM(O56:R56)</f>
        <v>11000</v>
      </c>
      <c r="T56" s="189">
        <f>S56+N56+G56</f>
        <v>60082.94</v>
      </c>
      <c r="U56" s="206"/>
      <c r="V56" s="190"/>
    </row>
    <row r="57" spans="1:27" s="185" customFormat="1" x14ac:dyDescent="0.25">
      <c r="A57" s="120">
        <v>54202</v>
      </c>
      <c r="B57" s="187" t="s">
        <v>57</v>
      </c>
      <c r="C57" s="188">
        <f>944.73</f>
        <v>944.73</v>
      </c>
      <c r="D57" s="188"/>
      <c r="E57" s="188"/>
      <c r="F57" s="188"/>
      <c r="G57" s="198">
        <f>C57+D57+E57+F57</f>
        <v>944.73</v>
      </c>
      <c r="H57" s="207"/>
      <c r="I57" s="188"/>
      <c r="J57" s="188"/>
      <c r="K57" s="188"/>
      <c r="L57" s="188"/>
      <c r="M57" s="188"/>
      <c r="N57" s="208">
        <f>SUM(H57:M57)</f>
        <v>0</v>
      </c>
      <c r="O57" s="207">
        <f>11000-6550</f>
        <v>4450</v>
      </c>
      <c r="P57" s="188"/>
      <c r="Q57" s="188"/>
      <c r="R57" s="188"/>
      <c r="S57" s="188">
        <f>SUM(O57:R57)</f>
        <v>4450</v>
      </c>
      <c r="T57" s="189">
        <f>S57+N57+G57</f>
        <v>5394.73</v>
      </c>
      <c r="U57" s="215"/>
      <c r="V57" s="216"/>
      <c r="AA57" s="185">
        <f>Z57*12</f>
        <v>0</v>
      </c>
    </row>
    <row r="58" spans="1:27" s="185" customFormat="1" x14ac:dyDescent="0.25">
      <c r="A58" s="120">
        <v>54203</v>
      </c>
      <c r="B58" s="187" t="s">
        <v>58</v>
      </c>
      <c r="C58" s="188">
        <f>3217.77+4500+3500</f>
        <v>11217.77</v>
      </c>
      <c r="D58" s="188"/>
      <c r="E58" s="188"/>
      <c r="F58" s="188"/>
      <c r="G58" s="198">
        <f>C58+D58+E58+F58</f>
        <v>11217.77</v>
      </c>
      <c r="H58" s="207"/>
      <c r="I58" s="188"/>
      <c r="J58" s="188"/>
      <c r="K58" s="188"/>
      <c r="L58" s="188"/>
      <c r="M58" s="188"/>
      <c r="N58" s="208">
        <f>SUM(H58:M58)</f>
        <v>0</v>
      </c>
      <c r="O58" s="207">
        <v>1800</v>
      </c>
      <c r="P58" s="188"/>
      <c r="Q58" s="188"/>
      <c r="R58" s="188"/>
      <c r="S58" s="188">
        <f>SUM(O58:R58)</f>
        <v>1800</v>
      </c>
      <c r="T58" s="189">
        <f>S58+N58+G58</f>
        <v>13017.77</v>
      </c>
      <c r="U58" s="206"/>
      <c r="V58" s="190"/>
      <c r="AA58" s="185">
        <f>Z58*12</f>
        <v>0</v>
      </c>
    </row>
    <row r="59" spans="1:27" s="185" customFormat="1" x14ac:dyDescent="0.25">
      <c r="A59" s="120">
        <v>54204</v>
      </c>
      <c r="B59" s="187" t="s">
        <v>59</v>
      </c>
      <c r="C59" s="188"/>
      <c r="D59" s="188"/>
      <c r="E59" s="188"/>
      <c r="F59" s="188"/>
      <c r="G59" s="198">
        <f>C59+D59+E59+F59</f>
        <v>0</v>
      </c>
      <c r="H59" s="207"/>
      <c r="I59" s="188"/>
      <c r="J59" s="188"/>
      <c r="K59" s="188"/>
      <c r="L59" s="188"/>
      <c r="M59" s="188"/>
      <c r="N59" s="208">
        <f>SUM(H59:M59)</f>
        <v>0</v>
      </c>
      <c r="O59" s="207">
        <v>100</v>
      </c>
      <c r="P59" s="188"/>
      <c r="Q59" s="188"/>
      <c r="R59" s="188"/>
      <c r="S59" s="188">
        <f>SUM(O59:R59)</f>
        <v>100</v>
      </c>
      <c r="T59" s="189">
        <f>S59+N59+G59</f>
        <v>100</v>
      </c>
      <c r="U59" s="206"/>
      <c r="V59" s="190"/>
      <c r="AA59" s="185">
        <f>Z59*12</f>
        <v>0</v>
      </c>
    </row>
    <row r="60" spans="1:27" s="185" customFormat="1" x14ac:dyDescent="0.25">
      <c r="A60" s="120">
        <v>54205</v>
      </c>
      <c r="B60" s="187" t="s">
        <v>60</v>
      </c>
      <c r="C60" s="188">
        <v>49500</v>
      </c>
      <c r="D60" s="188"/>
      <c r="E60" s="188"/>
      <c r="F60" s="188"/>
      <c r="G60" s="198">
        <f>C60+D60+E60+F60</f>
        <v>49500</v>
      </c>
      <c r="H60" s="207"/>
      <c r="I60" s="188"/>
      <c r="J60" s="188"/>
      <c r="K60" s="188"/>
      <c r="L60" s="188"/>
      <c r="M60" s="188"/>
      <c r="N60" s="208">
        <f>SUM(H60:M60)</f>
        <v>0</v>
      </c>
      <c r="O60" s="207">
        <v>7000</v>
      </c>
      <c r="P60" s="188"/>
      <c r="Q60" s="188"/>
      <c r="R60" s="188"/>
      <c r="S60" s="188">
        <f>SUM(O60:R60)</f>
        <v>7000</v>
      </c>
      <c r="T60" s="189">
        <f>S60+N60+G60</f>
        <v>56500</v>
      </c>
      <c r="U60" s="206"/>
      <c r="V60" s="190"/>
      <c r="AA60" s="185">
        <f>Z60*12</f>
        <v>0</v>
      </c>
    </row>
    <row r="61" spans="1:27" s="185" customFormat="1" x14ac:dyDescent="0.25">
      <c r="A61" s="121">
        <v>543</v>
      </c>
      <c r="B61" s="186" t="s">
        <v>61</v>
      </c>
      <c r="C61" s="182">
        <f t="shared" ref="C61:R61" si="17">SUM(C62:C71)</f>
        <v>0</v>
      </c>
      <c r="D61" s="182">
        <f t="shared" si="17"/>
        <v>0</v>
      </c>
      <c r="E61" s="182">
        <f t="shared" si="17"/>
        <v>0</v>
      </c>
      <c r="F61" s="182">
        <f t="shared" si="17"/>
        <v>0</v>
      </c>
      <c r="G61" s="204">
        <f t="shared" si="17"/>
        <v>0</v>
      </c>
      <c r="H61" s="205">
        <f t="shared" si="17"/>
        <v>0</v>
      </c>
      <c r="I61" s="182">
        <f t="shared" si="17"/>
        <v>0</v>
      </c>
      <c r="J61" s="182">
        <f t="shared" si="17"/>
        <v>0</v>
      </c>
      <c r="K61" s="182">
        <f t="shared" si="17"/>
        <v>0</v>
      </c>
      <c r="L61" s="182">
        <f t="shared" si="17"/>
        <v>0</v>
      </c>
      <c r="M61" s="182">
        <f t="shared" si="17"/>
        <v>0</v>
      </c>
      <c r="N61" s="183">
        <f t="shared" si="17"/>
        <v>0</v>
      </c>
      <c r="O61" s="205">
        <f>SUM(O62:O72)</f>
        <v>60011.880000000005</v>
      </c>
      <c r="P61" s="182">
        <f t="shared" si="17"/>
        <v>0</v>
      </c>
      <c r="Q61" s="182">
        <f t="shared" si="17"/>
        <v>0</v>
      </c>
      <c r="R61" s="182">
        <f t="shared" si="17"/>
        <v>0</v>
      </c>
      <c r="S61" s="182">
        <f>SUM(S62:S72)</f>
        <v>60011.880000000005</v>
      </c>
      <c r="T61" s="183">
        <f>SUM(T62:T71)</f>
        <v>49511.880000000005</v>
      </c>
      <c r="U61" s="206"/>
      <c r="AA61" s="217">
        <f>SUM(AA57:AA60)</f>
        <v>0</v>
      </c>
    </row>
    <row r="62" spans="1:27" s="185" customFormat="1" x14ac:dyDescent="0.25">
      <c r="A62" s="120">
        <v>54301</v>
      </c>
      <c r="B62" s="187" t="s">
        <v>62</v>
      </c>
      <c r="C62" s="188"/>
      <c r="D62" s="188"/>
      <c r="E62" s="188"/>
      <c r="F62" s="188"/>
      <c r="G62" s="198">
        <f t="shared" ref="G62:G71" si="18">C62+D62+E62+F62</f>
        <v>0</v>
      </c>
      <c r="H62" s="207"/>
      <c r="I62" s="188"/>
      <c r="J62" s="188"/>
      <c r="K62" s="188"/>
      <c r="L62" s="188"/>
      <c r="M62" s="188"/>
      <c r="N62" s="208">
        <f t="shared" ref="N62:N71" si="19">SUM(H62:M62)</f>
        <v>0</v>
      </c>
      <c r="O62" s="207">
        <v>3811.88</v>
      </c>
      <c r="P62" s="188"/>
      <c r="Q62" s="188"/>
      <c r="R62" s="188"/>
      <c r="S62" s="188">
        <f t="shared" ref="S62:S72" si="20">SUM(O62:R62)</f>
        <v>3811.88</v>
      </c>
      <c r="T62" s="189">
        <f t="shared" ref="T62:T71" si="21">S62+N62+G62</f>
        <v>3811.88</v>
      </c>
      <c r="U62" s="206"/>
    </row>
    <row r="63" spans="1:27" s="185" customFormat="1" x14ac:dyDescent="0.25">
      <c r="A63" s="218">
        <v>54302</v>
      </c>
      <c r="B63" s="219" t="s">
        <v>63</v>
      </c>
      <c r="C63" s="209"/>
      <c r="D63" s="209"/>
      <c r="E63" s="209"/>
      <c r="F63" s="209"/>
      <c r="G63" s="220">
        <f t="shared" si="18"/>
        <v>0</v>
      </c>
      <c r="H63" s="213"/>
      <c r="I63" s="209"/>
      <c r="J63" s="209"/>
      <c r="K63" s="209"/>
      <c r="L63" s="209"/>
      <c r="M63" s="209"/>
      <c r="N63" s="221">
        <f t="shared" si="19"/>
        <v>0</v>
      </c>
      <c r="O63" s="213">
        <v>100</v>
      </c>
      <c r="P63" s="209"/>
      <c r="Q63" s="209"/>
      <c r="R63" s="209"/>
      <c r="S63" s="209">
        <f t="shared" si="20"/>
        <v>100</v>
      </c>
      <c r="T63" s="189">
        <f t="shared" si="21"/>
        <v>100</v>
      </c>
      <c r="U63" s="206"/>
    </row>
    <row r="64" spans="1:27" s="185" customFormat="1" x14ac:dyDescent="0.25">
      <c r="A64" s="120">
        <v>54303</v>
      </c>
      <c r="B64" s="187" t="s">
        <v>64</v>
      </c>
      <c r="C64" s="188"/>
      <c r="D64" s="188"/>
      <c r="E64" s="188"/>
      <c r="F64" s="188"/>
      <c r="G64" s="198">
        <f t="shared" si="18"/>
        <v>0</v>
      </c>
      <c r="H64" s="207"/>
      <c r="I64" s="188"/>
      <c r="J64" s="188"/>
      <c r="K64" s="188"/>
      <c r="L64" s="188"/>
      <c r="M64" s="188"/>
      <c r="N64" s="208">
        <f t="shared" si="19"/>
        <v>0</v>
      </c>
      <c r="O64" s="207">
        <v>1000</v>
      </c>
      <c r="P64" s="188"/>
      <c r="Q64" s="188"/>
      <c r="R64" s="188"/>
      <c r="S64" s="188">
        <f t="shared" si="20"/>
        <v>1000</v>
      </c>
      <c r="T64" s="189">
        <f t="shared" si="21"/>
        <v>1000</v>
      </c>
      <c r="U64" s="206"/>
    </row>
    <row r="65" spans="1:23" s="185" customFormat="1" x14ac:dyDescent="0.25">
      <c r="A65" s="120">
        <v>54304</v>
      </c>
      <c r="B65" s="187" t="s">
        <v>65</v>
      </c>
      <c r="C65" s="188"/>
      <c r="D65" s="188"/>
      <c r="E65" s="188"/>
      <c r="F65" s="188"/>
      <c r="G65" s="198">
        <f t="shared" si="18"/>
        <v>0</v>
      </c>
      <c r="H65" s="207"/>
      <c r="I65" s="188"/>
      <c r="J65" s="188"/>
      <c r="K65" s="188"/>
      <c r="L65" s="188"/>
      <c r="M65" s="188"/>
      <c r="N65" s="208">
        <f t="shared" si="19"/>
        <v>0</v>
      </c>
      <c r="O65" s="207">
        <v>9000</v>
      </c>
      <c r="P65" s="188"/>
      <c r="Q65" s="188"/>
      <c r="R65" s="188"/>
      <c r="S65" s="188">
        <f t="shared" si="20"/>
        <v>9000</v>
      </c>
      <c r="T65" s="189">
        <f t="shared" si="21"/>
        <v>9000</v>
      </c>
      <c r="U65" s="206"/>
    </row>
    <row r="66" spans="1:23" s="185" customFormat="1" x14ac:dyDescent="0.25">
      <c r="A66" s="120">
        <v>54305</v>
      </c>
      <c r="B66" s="187" t="s">
        <v>66</v>
      </c>
      <c r="C66" s="188"/>
      <c r="D66" s="188"/>
      <c r="E66" s="188"/>
      <c r="F66" s="188"/>
      <c r="G66" s="198">
        <f t="shared" si="18"/>
        <v>0</v>
      </c>
      <c r="H66" s="207"/>
      <c r="I66" s="188"/>
      <c r="J66" s="188"/>
      <c r="K66" s="188"/>
      <c r="L66" s="188"/>
      <c r="M66" s="188"/>
      <c r="N66" s="208">
        <f t="shared" si="19"/>
        <v>0</v>
      </c>
      <c r="O66" s="207">
        <v>5000</v>
      </c>
      <c r="P66" s="188"/>
      <c r="Q66" s="188"/>
      <c r="R66" s="188"/>
      <c r="S66" s="188">
        <f t="shared" si="20"/>
        <v>5000</v>
      </c>
      <c r="T66" s="189">
        <f t="shared" si="21"/>
        <v>5000</v>
      </c>
      <c r="U66" s="206"/>
    </row>
    <row r="67" spans="1:23" s="185" customFormat="1" x14ac:dyDescent="0.25">
      <c r="A67" s="120">
        <v>54307</v>
      </c>
      <c r="B67" s="187" t="s">
        <v>67</v>
      </c>
      <c r="C67" s="188"/>
      <c r="D67" s="188"/>
      <c r="E67" s="188"/>
      <c r="F67" s="188"/>
      <c r="G67" s="198">
        <f t="shared" si="18"/>
        <v>0</v>
      </c>
      <c r="H67" s="207"/>
      <c r="I67" s="188"/>
      <c r="J67" s="188"/>
      <c r="K67" s="188"/>
      <c r="L67" s="188"/>
      <c r="M67" s="188"/>
      <c r="N67" s="208">
        <f t="shared" si="19"/>
        <v>0</v>
      </c>
      <c r="O67" s="207">
        <v>1000</v>
      </c>
      <c r="P67" s="188"/>
      <c r="Q67" s="188"/>
      <c r="R67" s="188"/>
      <c r="S67" s="188">
        <f t="shared" si="20"/>
        <v>1000</v>
      </c>
      <c r="T67" s="189">
        <f t="shared" si="21"/>
        <v>1000</v>
      </c>
      <c r="U67" s="206"/>
    </row>
    <row r="68" spans="1:23" s="185" customFormat="1" x14ac:dyDescent="0.25">
      <c r="A68" s="120">
        <v>54311</v>
      </c>
      <c r="B68" s="187" t="s">
        <v>68</v>
      </c>
      <c r="C68" s="188"/>
      <c r="D68" s="188"/>
      <c r="E68" s="188"/>
      <c r="F68" s="188"/>
      <c r="G68" s="198">
        <f t="shared" si="18"/>
        <v>0</v>
      </c>
      <c r="H68" s="207"/>
      <c r="I68" s="188"/>
      <c r="J68" s="188"/>
      <c r="K68" s="188"/>
      <c r="L68" s="188"/>
      <c r="M68" s="188"/>
      <c r="N68" s="208">
        <f t="shared" si="19"/>
        <v>0</v>
      </c>
      <c r="O68" s="207">
        <v>100</v>
      </c>
      <c r="P68" s="188"/>
      <c r="Q68" s="188"/>
      <c r="R68" s="188"/>
      <c r="S68" s="188">
        <f t="shared" si="20"/>
        <v>100</v>
      </c>
      <c r="T68" s="189">
        <f t="shared" si="21"/>
        <v>100</v>
      </c>
      <c r="U68" s="206"/>
    </row>
    <row r="69" spans="1:23" s="185" customFormat="1" x14ac:dyDescent="0.25">
      <c r="A69" s="120">
        <v>54313</v>
      </c>
      <c r="B69" s="187" t="s">
        <v>69</v>
      </c>
      <c r="C69" s="188"/>
      <c r="D69" s="188"/>
      <c r="E69" s="188"/>
      <c r="F69" s="188"/>
      <c r="G69" s="198">
        <f t="shared" si="18"/>
        <v>0</v>
      </c>
      <c r="H69" s="207"/>
      <c r="I69" s="188"/>
      <c r="J69" s="188"/>
      <c r="K69" s="188"/>
      <c r="L69" s="188"/>
      <c r="M69" s="188"/>
      <c r="N69" s="208">
        <f t="shared" si="19"/>
        <v>0</v>
      </c>
      <c r="O69" s="207">
        <v>2000</v>
      </c>
      <c r="P69" s="188"/>
      <c r="Q69" s="188"/>
      <c r="R69" s="188"/>
      <c r="S69" s="188">
        <f t="shared" si="20"/>
        <v>2000</v>
      </c>
      <c r="T69" s="189">
        <f t="shared" si="21"/>
        <v>2000</v>
      </c>
      <c r="U69" s="206"/>
    </row>
    <row r="70" spans="1:23" s="185" customFormat="1" x14ac:dyDescent="0.25">
      <c r="A70" s="120">
        <v>54314</v>
      </c>
      <c r="B70" s="187" t="s">
        <v>70</v>
      </c>
      <c r="C70" s="188"/>
      <c r="D70" s="188"/>
      <c r="E70" s="188"/>
      <c r="F70" s="188"/>
      <c r="G70" s="198">
        <f t="shared" si="18"/>
        <v>0</v>
      </c>
      <c r="H70" s="207"/>
      <c r="I70" s="188"/>
      <c r="J70" s="188"/>
      <c r="K70" s="188"/>
      <c r="L70" s="188"/>
      <c r="M70" s="188"/>
      <c r="N70" s="208">
        <f t="shared" si="19"/>
        <v>0</v>
      </c>
      <c r="O70" s="207">
        <v>26500</v>
      </c>
      <c r="P70" s="188"/>
      <c r="Q70" s="188"/>
      <c r="R70" s="188"/>
      <c r="S70" s="188">
        <f t="shared" si="20"/>
        <v>26500</v>
      </c>
      <c r="T70" s="189">
        <f t="shared" si="21"/>
        <v>26500</v>
      </c>
      <c r="U70" s="206"/>
      <c r="V70" s="190"/>
      <c r="W70" s="190"/>
    </row>
    <row r="71" spans="1:23" s="185" customFormat="1" x14ac:dyDescent="0.25">
      <c r="A71" s="120">
        <v>54316</v>
      </c>
      <c r="B71" s="187" t="s">
        <v>71</v>
      </c>
      <c r="C71" s="188"/>
      <c r="D71" s="188"/>
      <c r="E71" s="188"/>
      <c r="F71" s="188"/>
      <c r="G71" s="198">
        <f t="shared" si="18"/>
        <v>0</v>
      </c>
      <c r="H71" s="207"/>
      <c r="I71" s="188"/>
      <c r="J71" s="188"/>
      <c r="K71" s="188"/>
      <c r="L71" s="188"/>
      <c r="M71" s="188"/>
      <c r="N71" s="208">
        <f t="shared" si="19"/>
        <v>0</v>
      </c>
      <c r="O71" s="207">
        <v>1000</v>
      </c>
      <c r="P71" s="188"/>
      <c r="Q71" s="188"/>
      <c r="R71" s="188"/>
      <c r="S71" s="188">
        <f t="shared" si="20"/>
        <v>1000</v>
      </c>
      <c r="T71" s="189">
        <f t="shared" si="21"/>
        <v>1000</v>
      </c>
      <c r="U71" s="206"/>
    </row>
    <row r="72" spans="1:23" s="185" customFormat="1" x14ac:dyDescent="0.25">
      <c r="A72" s="120">
        <v>54317</v>
      </c>
      <c r="B72" s="187" t="s">
        <v>211</v>
      </c>
      <c r="C72" s="188"/>
      <c r="D72" s="188"/>
      <c r="E72" s="188"/>
      <c r="F72" s="188"/>
      <c r="G72" s="198"/>
      <c r="H72" s="207"/>
      <c r="I72" s="188"/>
      <c r="J72" s="188"/>
      <c r="K72" s="188"/>
      <c r="L72" s="188"/>
      <c r="M72" s="188"/>
      <c r="N72" s="208"/>
      <c r="O72" s="207">
        <v>10500</v>
      </c>
      <c r="P72" s="188"/>
      <c r="Q72" s="188"/>
      <c r="R72" s="188"/>
      <c r="S72" s="188">
        <f t="shared" si="20"/>
        <v>10500</v>
      </c>
      <c r="T72" s="189"/>
      <c r="U72" s="206"/>
    </row>
    <row r="73" spans="1:23" s="185" customFormat="1" x14ac:dyDescent="0.25">
      <c r="A73" s="121">
        <v>544</v>
      </c>
      <c r="B73" s="186" t="s">
        <v>72</v>
      </c>
      <c r="C73" s="186"/>
      <c r="D73" s="222">
        <f t="shared" ref="D73:T73" si="22">SUM(D74:D76)</f>
        <v>0</v>
      </c>
      <c r="E73" s="222">
        <f t="shared" si="22"/>
        <v>0</v>
      </c>
      <c r="F73" s="222">
        <f t="shared" si="22"/>
        <v>0</v>
      </c>
      <c r="G73" s="223">
        <f t="shared" si="22"/>
        <v>0</v>
      </c>
      <c r="H73" s="224">
        <f t="shared" si="22"/>
        <v>0</v>
      </c>
      <c r="I73" s="222">
        <f t="shared" si="22"/>
        <v>0</v>
      </c>
      <c r="J73" s="222">
        <f t="shared" si="22"/>
        <v>0</v>
      </c>
      <c r="K73" s="222">
        <f t="shared" si="22"/>
        <v>0</v>
      </c>
      <c r="L73" s="222">
        <f t="shared" si="22"/>
        <v>0</v>
      </c>
      <c r="M73" s="222">
        <f t="shared" si="22"/>
        <v>0</v>
      </c>
      <c r="N73" s="225">
        <f t="shared" si="22"/>
        <v>0</v>
      </c>
      <c r="O73" s="205">
        <f>SUM(O74:O76)</f>
        <v>3500</v>
      </c>
      <c r="P73" s="222">
        <f t="shared" si="22"/>
        <v>0</v>
      </c>
      <c r="Q73" s="222">
        <f t="shared" si="22"/>
        <v>0</v>
      </c>
      <c r="R73" s="222">
        <f t="shared" si="22"/>
        <v>0</v>
      </c>
      <c r="S73" s="182">
        <f>SUM(S74:S76)</f>
        <v>3500</v>
      </c>
      <c r="T73" s="225">
        <f t="shared" si="22"/>
        <v>3500</v>
      </c>
      <c r="U73" s="206"/>
    </row>
    <row r="74" spans="1:23" s="185" customFormat="1" x14ac:dyDescent="0.25">
      <c r="A74" s="120">
        <v>54401</v>
      </c>
      <c r="B74" s="187" t="s">
        <v>73</v>
      </c>
      <c r="C74" s="187"/>
      <c r="D74" s="226"/>
      <c r="E74" s="188"/>
      <c r="F74" s="188"/>
      <c r="G74" s="198">
        <f>C74+D74+E74+F74</f>
        <v>0</v>
      </c>
      <c r="H74" s="207"/>
      <c r="I74" s="188"/>
      <c r="J74" s="188"/>
      <c r="K74" s="188"/>
      <c r="L74" s="188"/>
      <c r="M74" s="188"/>
      <c r="N74" s="212"/>
      <c r="O74" s="207">
        <v>1000</v>
      </c>
      <c r="P74" s="188"/>
      <c r="Q74" s="188"/>
      <c r="R74" s="188"/>
      <c r="S74" s="188">
        <f>SUM(O74:R74)</f>
        <v>1000</v>
      </c>
      <c r="T74" s="189">
        <f>S74+N74+G74</f>
        <v>1000</v>
      </c>
      <c r="U74" s="206"/>
    </row>
    <row r="75" spans="1:23" s="185" customFormat="1" x14ac:dyDescent="0.25">
      <c r="A75" s="120">
        <v>54402</v>
      </c>
      <c r="B75" s="187" t="s">
        <v>74</v>
      </c>
      <c r="C75" s="187"/>
      <c r="D75" s="226"/>
      <c r="E75" s="188"/>
      <c r="F75" s="188"/>
      <c r="G75" s="198">
        <f>C75+D75+E75+F75</f>
        <v>0</v>
      </c>
      <c r="H75" s="207"/>
      <c r="I75" s="188"/>
      <c r="J75" s="188"/>
      <c r="K75" s="188"/>
      <c r="L75" s="188"/>
      <c r="M75" s="188"/>
      <c r="N75" s="212"/>
      <c r="O75" s="207">
        <v>1000</v>
      </c>
      <c r="P75" s="188"/>
      <c r="Q75" s="188"/>
      <c r="R75" s="188"/>
      <c r="S75" s="188">
        <f>SUM(O75:R75)</f>
        <v>1000</v>
      </c>
      <c r="T75" s="189">
        <f>S75+N75+G75</f>
        <v>1000</v>
      </c>
      <c r="U75" s="206"/>
    </row>
    <row r="76" spans="1:23" s="185" customFormat="1" x14ac:dyDescent="0.25">
      <c r="A76" s="120">
        <v>54403</v>
      </c>
      <c r="B76" s="187" t="s">
        <v>75</v>
      </c>
      <c r="C76" s="187"/>
      <c r="D76" s="226"/>
      <c r="E76" s="188"/>
      <c r="F76" s="188"/>
      <c r="G76" s="198">
        <f>C76+D76+E76+F76</f>
        <v>0</v>
      </c>
      <c r="H76" s="207"/>
      <c r="I76" s="188"/>
      <c r="J76" s="188"/>
      <c r="K76" s="188"/>
      <c r="L76" s="188"/>
      <c r="M76" s="188"/>
      <c r="N76" s="212"/>
      <c r="O76" s="207">
        <v>1500</v>
      </c>
      <c r="P76" s="188"/>
      <c r="Q76" s="188"/>
      <c r="R76" s="188"/>
      <c r="S76" s="188">
        <f>SUM(O76:R76)</f>
        <v>1500</v>
      </c>
      <c r="T76" s="189">
        <f>S76+N76+G76</f>
        <v>1500</v>
      </c>
      <c r="U76" s="206"/>
    </row>
    <row r="77" spans="1:23" s="185" customFormat="1" x14ac:dyDescent="0.25">
      <c r="A77" s="121">
        <v>545</v>
      </c>
      <c r="B77" s="186" t="s">
        <v>76</v>
      </c>
      <c r="C77" s="186"/>
      <c r="D77" s="182">
        <f t="shared" ref="D77:T77" si="23">SUM(D78:D82)</f>
        <v>0</v>
      </c>
      <c r="E77" s="182">
        <f t="shared" si="23"/>
        <v>0</v>
      </c>
      <c r="F77" s="182">
        <f t="shared" si="23"/>
        <v>0</v>
      </c>
      <c r="G77" s="204">
        <f t="shared" si="23"/>
        <v>0</v>
      </c>
      <c r="H77" s="205">
        <f t="shared" si="23"/>
        <v>0</v>
      </c>
      <c r="I77" s="182">
        <f t="shared" si="23"/>
        <v>0</v>
      </c>
      <c r="J77" s="182">
        <f t="shared" si="23"/>
        <v>0</v>
      </c>
      <c r="K77" s="182">
        <f t="shared" si="23"/>
        <v>0</v>
      </c>
      <c r="L77" s="182">
        <f t="shared" si="23"/>
        <v>0</v>
      </c>
      <c r="M77" s="182">
        <f t="shared" si="23"/>
        <v>0</v>
      </c>
      <c r="N77" s="183">
        <f t="shared" si="23"/>
        <v>0</v>
      </c>
      <c r="O77" s="205">
        <f>SUM(O78:O82)</f>
        <v>4400</v>
      </c>
      <c r="P77" s="182">
        <f t="shared" si="23"/>
        <v>0</v>
      </c>
      <c r="Q77" s="182">
        <f t="shared" si="23"/>
        <v>0</v>
      </c>
      <c r="R77" s="182">
        <f t="shared" si="23"/>
        <v>0</v>
      </c>
      <c r="S77" s="182">
        <f>SUM(S78:S82)</f>
        <v>4400</v>
      </c>
      <c r="T77" s="183">
        <f t="shared" si="23"/>
        <v>4400</v>
      </c>
      <c r="U77" s="206"/>
    </row>
    <row r="78" spans="1:23" s="185" customFormat="1" hidden="1" x14ac:dyDescent="0.25">
      <c r="A78" s="120">
        <v>54502</v>
      </c>
      <c r="B78" s="187" t="s">
        <v>77</v>
      </c>
      <c r="C78" s="187"/>
      <c r="D78" s="226"/>
      <c r="E78" s="188"/>
      <c r="F78" s="188"/>
      <c r="G78" s="198">
        <f>C78+D78+E78+F78</f>
        <v>0</v>
      </c>
      <c r="H78" s="207"/>
      <c r="I78" s="188"/>
      <c r="J78" s="188"/>
      <c r="K78" s="188"/>
      <c r="L78" s="188"/>
      <c r="M78" s="188"/>
      <c r="N78" s="212"/>
      <c r="O78" s="207"/>
      <c r="P78" s="188"/>
      <c r="Q78" s="188"/>
      <c r="R78" s="188"/>
      <c r="S78" s="188">
        <f>SUM(O78:R78)</f>
        <v>0</v>
      </c>
      <c r="T78" s="189">
        <f>S78+N78+G78</f>
        <v>0</v>
      </c>
      <c r="U78" s="206"/>
    </row>
    <row r="79" spans="1:23" s="185" customFormat="1" x14ac:dyDescent="0.25">
      <c r="A79" s="120">
        <v>54503</v>
      </c>
      <c r="B79" s="187" t="s">
        <v>78</v>
      </c>
      <c r="C79" s="187"/>
      <c r="D79" s="226"/>
      <c r="E79" s="188"/>
      <c r="F79" s="188"/>
      <c r="G79" s="198">
        <f>C79+D79+E79+F79</f>
        <v>0</v>
      </c>
      <c r="H79" s="207"/>
      <c r="I79" s="188"/>
      <c r="J79" s="188"/>
      <c r="K79" s="188"/>
      <c r="L79" s="188"/>
      <c r="M79" s="188"/>
      <c r="N79" s="212"/>
      <c r="O79" s="207">
        <v>3000</v>
      </c>
      <c r="P79" s="188"/>
      <c r="Q79" s="188"/>
      <c r="R79" s="188"/>
      <c r="S79" s="188">
        <f>SUM(O79:R79)</f>
        <v>3000</v>
      </c>
      <c r="T79" s="189">
        <f>S79+N79+G79</f>
        <v>3000</v>
      </c>
      <c r="U79" s="206"/>
    </row>
    <row r="80" spans="1:23" s="185" customFormat="1" x14ac:dyDescent="0.25">
      <c r="A80" s="120">
        <v>54504</v>
      </c>
      <c r="B80" s="187" t="s">
        <v>79</v>
      </c>
      <c r="C80" s="187"/>
      <c r="D80" s="226"/>
      <c r="E80" s="188"/>
      <c r="F80" s="188"/>
      <c r="G80" s="198">
        <f>C80+D80+E80+F80</f>
        <v>0</v>
      </c>
      <c r="H80" s="207"/>
      <c r="I80" s="188"/>
      <c r="J80" s="188"/>
      <c r="K80" s="188"/>
      <c r="L80" s="188"/>
      <c r="M80" s="188"/>
      <c r="N80" s="212"/>
      <c r="O80" s="207">
        <v>1000</v>
      </c>
      <c r="P80" s="188"/>
      <c r="Q80" s="188"/>
      <c r="R80" s="188"/>
      <c r="S80" s="188">
        <f>SUM(O80:R80)</f>
        <v>1000</v>
      </c>
      <c r="T80" s="189">
        <f>S80+N80+G80</f>
        <v>1000</v>
      </c>
      <c r="U80" s="206"/>
    </row>
    <row r="81" spans="1:21" s="185" customFormat="1" x14ac:dyDescent="0.25">
      <c r="A81" s="120">
        <v>54505</v>
      </c>
      <c r="B81" s="187" t="s">
        <v>80</v>
      </c>
      <c r="C81" s="187"/>
      <c r="D81" s="226"/>
      <c r="E81" s="188"/>
      <c r="F81" s="188"/>
      <c r="G81" s="198">
        <f>C81+D81+E81+F81</f>
        <v>0</v>
      </c>
      <c r="H81" s="207"/>
      <c r="I81" s="188"/>
      <c r="J81" s="188"/>
      <c r="K81" s="188"/>
      <c r="L81" s="188"/>
      <c r="M81" s="188"/>
      <c r="N81" s="212"/>
      <c r="O81" s="207">
        <v>400</v>
      </c>
      <c r="P81" s="188"/>
      <c r="Q81" s="188"/>
      <c r="R81" s="188"/>
      <c r="S81" s="188">
        <f>SUM(O81:R81)</f>
        <v>400</v>
      </c>
      <c r="T81" s="189">
        <f>S81+N81+G81</f>
        <v>400</v>
      </c>
      <c r="U81" s="206"/>
    </row>
    <row r="82" spans="1:21" s="185" customFormat="1" hidden="1" x14ac:dyDescent="0.25">
      <c r="A82" s="120">
        <v>54599</v>
      </c>
      <c r="B82" s="187" t="s">
        <v>81</v>
      </c>
      <c r="C82" s="187"/>
      <c r="D82" s="226"/>
      <c r="E82" s="188"/>
      <c r="F82" s="188"/>
      <c r="G82" s="198">
        <f>C82+D82+E82+F82</f>
        <v>0</v>
      </c>
      <c r="H82" s="207"/>
      <c r="I82" s="188"/>
      <c r="J82" s="188"/>
      <c r="K82" s="188"/>
      <c r="L82" s="188"/>
      <c r="M82" s="188"/>
      <c r="N82" s="212"/>
      <c r="O82" s="207"/>
      <c r="P82" s="188"/>
      <c r="Q82" s="188"/>
      <c r="R82" s="188"/>
      <c r="S82" s="188">
        <f>SUM(O82:R82)</f>
        <v>0</v>
      </c>
      <c r="T82" s="189">
        <f>S82+N82+G82</f>
        <v>0</v>
      </c>
      <c r="U82" s="206"/>
    </row>
    <row r="83" spans="1:21" s="185" customFormat="1" hidden="1" x14ac:dyDescent="0.25">
      <c r="A83" s="121">
        <v>546</v>
      </c>
      <c r="B83" s="186" t="s">
        <v>82</v>
      </c>
      <c r="C83" s="186"/>
      <c r="D83" s="182">
        <f t="shared" ref="D83:T83" si="24">D84</f>
        <v>0</v>
      </c>
      <c r="E83" s="182">
        <f t="shared" si="24"/>
        <v>0</v>
      </c>
      <c r="F83" s="182">
        <f t="shared" si="24"/>
        <v>0</v>
      </c>
      <c r="G83" s="204">
        <f t="shared" si="24"/>
        <v>0</v>
      </c>
      <c r="H83" s="205">
        <f t="shared" si="24"/>
        <v>0</v>
      </c>
      <c r="I83" s="182">
        <f t="shared" si="24"/>
        <v>0</v>
      </c>
      <c r="J83" s="182">
        <f t="shared" si="24"/>
        <v>0</v>
      </c>
      <c r="K83" s="182">
        <f t="shared" si="24"/>
        <v>0</v>
      </c>
      <c r="L83" s="182">
        <f t="shared" si="24"/>
        <v>0</v>
      </c>
      <c r="M83" s="182">
        <f t="shared" si="24"/>
        <v>0</v>
      </c>
      <c r="N83" s="183">
        <f t="shared" si="24"/>
        <v>0</v>
      </c>
      <c r="O83" s="205">
        <f t="shared" si="24"/>
        <v>0</v>
      </c>
      <c r="P83" s="182">
        <f t="shared" si="24"/>
        <v>0</v>
      </c>
      <c r="Q83" s="182">
        <f t="shared" si="24"/>
        <v>0</v>
      </c>
      <c r="R83" s="182">
        <f t="shared" si="24"/>
        <v>0</v>
      </c>
      <c r="S83" s="182">
        <f t="shared" si="24"/>
        <v>0</v>
      </c>
      <c r="T83" s="183">
        <f t="shared" si="24"/>
        <v>0</v>
      </c>
      <c r="U83" s="206"/>
    </row>
    <row r="84" spans="1:21" s="185" customFormat="1" hidden="1" x14ac:dyDescent="0.25">
      <c r="A84" s="120">
        <v>54602</v>
      </c>
      <c r="B84" s="187" t="s">
        <v>83</v>
      </c>
      <c r="C84" s="187"/>
      <c r="D84" s="188"/>
      <c r="E84" s="188"/>
      <c r="F84" s="188"/>
      <c r="G84" s="198">
        <f>C84+D84+E84+F84</f>
        <v>0</v>
      </c>
      <c r="H84" s="207"/>
      <c r="I84" s="188"/>
      <c r="J84" s="188"/>
      <c r="K84" s="188"/>
      <c r="L84" s="188"/>
      <c r="M84" s="188"/>
      <c r="N84" s="212"/>
      <c r="O84" s="207"/>
      <c r="P84" s="188"/>
      <c r="Q84" s="188"/>
      <c r="R84" s="188"/>
      <c r="S84" s="188">
        <f>SUM(O84:R84)</f>
        <v>0</v>
      </c>
      <c r="T84" s="189">
        <f>S84+N84+G84</f>
        <v>0</v>
      </c>
      <c r="U84" s="206"/>
    </row>
    <row r="85" spans="1:21" s="185" customFormat="1" x14ac:dyDescent="0.25">
      <c r="A85" s="121">
        <v>55</v>
      </c>
      <c r="B85" s="186" t="s">
        <v>84</v>
      </c>
      <c r="C85" s="186"/>
      <c r="D85" s="182">
        <f t="shared" ref="D85:T85" si="25">D86+D89+D92</f>
        <v>0</v>
      </c>
      <c r="E85" s="182">
        <f t="shared" si="25"/>
        <v>0</v>
      </c>
      <c r="F85" s="182">
        <f t="shared" si="25"/>
        <v>0</v>
      </c>
      <c r="G85" s="204">
        <f t="shared" si="25"/>
        <v>0</v>
      </c>
      <c r="H85" s="205">
        <f t="shared" si="25"/>
        <v>0</v>
      </c>
      <c r="I85" s="182">
        <f t="shared" si="25"/>
        <v>0</v>
      </c>
      <c r="J85" s="182">
        <f t="shared" si="25"/>
        <v>0</v>
      </c>
      <c r="K85" s="182">
        <f t="shared" si="25"/>
        <v>0</v>
      </c>
      <c r="L85" s="182">
        <f t="shared" si="25"/>
        <v>0</v>
      </c>
      <c r="M85" s="182">
        <f t="shared" si="25"/>
        <v>0</v>
      </c>
      <c r="N85" s="183">
        <f t="shared" si="25"/>
        <v>0</v>
      </c>
      <c r="O85" s="205">
        <f>O86+O89+O92</f>
        <v>4500</v>
      </c>
      <c r="P85" s="182">
        <f t="shared" si="25"/>
        <v>0</v>
      </c>
      <c r="Q85" s="182">
        <f t="shared" si="25"/>
        <v>0</v>
      </c>
      <c r="R85" s="182">
        <f t="shared" si="25"/>
        <v>0</v>
      </c>
      <c r="S85" s="182">
        <f t="shared" si="25"/>
        <v>4500</v>
      </c>
      <c r="T85" s="183">
        <f t="shared" si="25"/>
        <v>4500</v>
      </c>
      <c r="U85" s="206"/>
    </row>
    <row r="86" spans="1:21" s="185" customFormat="1" x14ac:dyDescent="0.25">
      <c r="A86" s="121">
        <v>553</v>
      </c>
      <c r="B86" s="186" t="s">
        <v>85</v>
      </c>
      <c r="C86" s="186"/>
      <c r="D86" s="182">
        <f t="shared" ref="D86:T86" si="26">SUM(D87:D88)</f>
        <v>0</v>
      </c>
      <c r="E86" s="182">
        <f t="shared" si="26"/>
        <v>0</v>
      </c>
      <c r="F86" s="182">
        <f t="shared" si="26"/>
        <v>0</v>
      </c>
      <c r="G86" s="204">
        <f t="shared" si="26"/>
        <v>0</v>
      </c>
      <c r="H86" s="205">
        <f t="shared" si="26"/>
        <v>0</v>
      </c>
      <c r="I86" s="182">
        <f t="shared" si="26"/>
        <v>0</v>
      </c>
      <c r="J86" s="182">
        <f t="shared" si="26"/>
        <v>0</v>
      </c>
      <c r="K86" s="182">
        <f t="shared" si="26"/>
        <v>0</v>
      </c>
      <c r="L86" s="182">
        <f t="shared" si="26"/>
        <v>0</v>
      </c>
      <c r="M86" s="182">
        <f t="shared" si="26"/>
        <v>0</v>
      </c>
      <c r="N86" s="183">
        <f t="shared" si="26"/>
        <v>0</v>
      </c>
      <c r="O86" s="205">
        <f t="shared" si="26"/>
        <v>0</v>
      </c>
      <c r="P86" s="182">
        <f t="shared" si="26"/>
        <v>0</v>
      </c>
      <c r="Q86" s="182">
        <f t="shared" si="26"/>
        <v>0</v>
      </c>
      <c r="R86" s="182">
        <f t="shared" si="26"/>
        <v>0</v>
      </c>
      <c r="S86" s="182">
        <f t="shared" si="26"/>
        <v>0</v>
      </c>
      <c r="T86" s="183">
        <f t="shared" si="26"/>
        <v>0</v>
      </c>
      <c r="U86" s="206"/>
    </row>
    <row r="87" spans="1:21" s="185" customFormat="1" hidden="1" x14ac:dyDescent="0.25">
      <c r="A87" s="120">
        <v>55302</v>
      </c>
      <c r="B87" s="187" t="s">
        <v>86</v>
      </c>
      <c r="C87" s="187"/>
      <c r="D87" s="188"/>
      <c r="E87" s="188"/>
      <c r="F87" s="188"/>
      <c r="G87" s="198">
        <f>C87+D87+E87+F87</f>
        <v>0</v>
      </c>
      <c r="H87" s="207"/>
      <c r="I87" s="188"/>
      <c r="J87" s="188"/>
      <c r="K87" s="188"/>
      <c r="L87" s="188"/>
      <c r="M87" s="188"/>
      <c r="N87" s="212"/>
      <c r="O87" s="207"/>
      <c r="P87" s="188"/>
      <c r="Q87" s="188"/>
      <c r="R87" s="188"/>
      <c r="S87" s="188">
        <f>SUM(O87:R87)</f>
        <v>0</v>
      </c>
      <c r="T87" s="189">
        <f>S87+N87+G87</f>
        <v>0</v>
      </c>
      <c r="U87" s="206"/>
    </row>
    <row r="88" spans="1:21" s="185" customFormat="1" hidden="1" x14ac:dyDescent="0.25">
      <c r="A88" s="120">
        <v>55304</v>
      </c>
      <c r="B88" s="187" t="s">
        <v>87</v>
      </c>
      <c r="C88" s="187"/>
      <c r="D88" s="188"/>
      <c r="E88" s="188"/>
      <c r="F88" s="188"/>
      <c r="G88" s="198">
        <f>C88+D88+E88+F88</f>
        <v>0</v>
      </c>
      <c r="H88" s="207"/>
      <c r="I88" s="188"/>
      <c r="J88" s="188"/>
      <c r="K88" s="188"/>
      <c r="L88" s="188"/>
      <c r="M88" s="188"/>
      <c r="N88" s="212"/>
      <c r="O88" s="207"/>
      <c r="P88" s="188"/>
      <c r="Q88" s="188"/>
      <c r="R88" s="188"/>
      <c r="S88" s="188">
        <f>SUM(O88:R88)</f>
        <v>0</v>
      </c>
      <c r="T88" s="189">
        <f>S88+N88+G88</f>
        <v>0</v>
      </c>
      <c r="U88" s="206"/>
    </row>
    <row r="89" spans="1:21" s="185" customFormat="1" x14ac:dyDescent="0.25">
      <c r="A89" s="121">
        <v>556</v>
      </c>
      <c r="B89" s="186" t="s">
        <v>88</v>
      </c>
      <c r="C89" s="186"/>
      <c r="D89" s="182">
        <f t="shared" ref="D89:T89" si="27">SUM(D90:D91)</f>
        <v>0</v>
      </c>
      <c r="E89" s="182">
        <f t="shared" si="27"/>
        <v>0</v>
      </c>
      <c r="F89" s="182">
        <f t="shared" si="27"/>
        <v>0</v>
      </c>
      <c r="G89" s="204">
        <f t="shared" si="27"/>
        <v>0</v>
      </c>
      <c r="H89" s="205">
        <f t="shared" si="27"/>
        <v>0</v>
      </c>
      <c r="I89" s="182">
        <f t="shared" si="27"/>
        <v>0</v>
      </c>
      <c r="J89" s="182">
        <f t="shared" si="27"/>
        <v>0</v>
      </c>
      <c r="K89" s="182">
        <f t="shared" si="27"/>
        <v>0</v>
      </c>
      <c r="L89" s="182">
        <f t="shared" si="27"/>
        <v>0</v>
      </c>
      <c r="M89" s="182">
        <f t="shared" si="27"/>
        <v>0</v>
      </c>
      <c r="N89" s="183">
        <f t="shared" si="27"/>
        <v>0</v>
      </c>
      <c r="O89" s="205">
        <f t="shared" si="27"/>
        <v>4500</v>
      </c>
      <c r="P89" s="182">
        <f t="shared" si="27"/>
        <v>0</v>
      </c>
      <c r="Q89" s="182">
        <f t="shared" si="27"/>
        <v>0</v>
      </c>
      <c r="R89" s="182">
        <f t="shared" si="27"/>
        <v>0</v>
      </c>
      <c r="S89" s="182">
        <f t="shared" si="27"/>
        <v>4500</v>
      </c>
      <c r="T89" s="183">
        <f t="shared" si="27"/>
        <v>4500</v>
      </c>
      <c r="U89" s="206"/>
    </row>
    <row r="90" spans="1:21" s="185" customFormat="1" x14ac:dyDescent="0.25">
      <c r="A90" s="120">
        <v>55602</v>
      </c>
      <c r="B90" s="187" t="s">
        <v>89</v>
      </c>
      <c r="C90" s="187"/>
      <c r="D90" s="188"/>
      <c r="E90" s="188"/>
      <c r="F90" s="188"/>
      <c r="G90" s="198">
        <f>C90+D90+E90+F90</f>
        <v>0</v>
      </c>
      <c r="H90" s="207"/>
      <c r="I90" s="188"/>
      <c r="J90" s="188"/>
      <c r="K90" s="188"/>
      <c r="L90" s="188"/>
      <c r="M90" s="188"/>
      <c r="N90" s="212"/>
      <c r="O90" s="207">
        <v>4500</v>
      </c>
      <c r="P90" s="188"/>
      <c r="Q90" s="188"/>
      <c r="R90" s="188"/>
      <c r="S90" s="188">
        <f>SUM(O90:R90)</f>
        <v>4500</v>
      </c>
      <c r="T90" s="189">
        <f>S90+N90+G90</f>
        <v>4500</v>
      </c>
      <c r="U90" s="206"/>
    </row>
    <row r="91" spans="1:21" s="185" customFormat="1" hidden="1" x14ac:dyDescent="0.25">
      <c r="A91" s="120">
        <v>55603</v>
      </c>
      <c r="B91" s="187" t="s">
        <v>90</v>
      </c>
      <c r="C91" s="187"/>
      <c r="D91" s="188"/>
      <c r="E91" s="188"/>
      <c r="F91" s="188"/>
      <c r="G91" s="198">
        <f>C91+D91+E91+F91</f>
        <v>0</v>
      </c>
      <c r="H91" s="207"/>
      <c r="I91" s="188"/>
      <c r="J91" s="188"/>
      <c r="K91" s="188"/>
      <c r="L91" s="188"/>
      <c r="M91" s="188"/>
      <c r="N91" s="212"/>
      <c r="O91" s="207"/>
      <c r="P91" s="188"/>
      <c r="Q91" s="188"/>
      <c r="R91" s="188"/>
      <c r="S91" s="188">
        <f>SUM(O91:R91)</f>
        <v>0</v>
      </c>
      <c r="T91" s="189">
        <f>S91+N91+G91</f>
        <v>0</v>
      </c>
      <c r="U91" s="206"/>
    </row>
    <row r="92" spans="1:21" s="185" customFormat="1" x14ac:dyDescent="0.25">
      <c r="A92" s="121">
        <v>557</v>
      </c>
      <c r="B92" s="186" t="s">
        <v>91</v>
      </c>
      <c r="C92" s="186"/>
      <c r="D92" s="182">
        <f t="shared" ref="D92:T92" si="28">SUM(D93:D94)</f>
        <v>0</v>
      </c>
      <c r="E92" s="182">
        <f t="shared" si="28"/>
        <v>0</v>
      </c>
      <c r="F92" s="182">
        <f t="shared" si="28"/>
        <v>0</v>
      </c>
      <c r="G92" s="204">
        <f t="shared" si="28"/>
        <v>0</v>
      </c>
      <c r="H92" s="205">
        <f t="shared" si="28"/>
        <v>0</v>
      </c>
      <c r="I92" s="182">
        <f t="shared" si="28"/>
        <v>0</v>
      </c>
      <c r="J92" s="182">
        <f t="shared" si="28"/>
        <v>0</v>
      </c>
      <c r="K92" s="182">
        <f t="shared" si="28"/>
        <v>0</v>
      </c>
      <c r="L92" s="182">
        <f t="shared" si="28"/>
        <v>0</v>
      </c>
      <c r="M92" s="182">
        <f t="shared" si="28"/>
        <v>0</v>
      </c>
      <c r="N92" s="183">
        <f t="shared" si="28"/>
        <v>0</v>
      </c>
      <c r="O92" s="205">
        <f t="shared" si="28"/>
        <v>0</v>
      </c>
      <c r="P92" s="182">
        <f t="shared" si="28"/>
        <v>0</v>
      </c>
      <c r="Q92" s="182">
        <f t="shared" si="28"/>
        <v>0</v>
      </c>
      <c r="R92" s="182">
        <f t="shared" si="28"/>
        <v>0</v>
      </c>
      <c r="S92" s="182">
        <f t="shared" si="28"/>
        <v>0</v>
      </c>
      <c r="T92" s="183">
        <f t="shared" si="28"/>
        <v>0</v>
      </c>
      <c r="U92" s="206"/>
    </row>
    <row r="93" spans="1:21" s="185" customFormat="1" hidden="1" x14ac:dyDescent="0.25">
      <c r="A93" s="120">
        <v>55703</v>
      </c>
      <c r="B93" s="187" t="s">
        <v>92</v>
      </c>
      <c r="C93" s="187"/>
      <c r="D93" s="188"/>
      <c r="E93" s="188"/>
      <c r="F93" s="188"/>
      <c r="G93" s="198">
        <f>C93+D93+E93+F93</f>
        <v>0</v>
      </c>
      <c r="H93" s="207"/>
      <c r="I93" s="188"/>
      <c r="J93" s="188"/>
      <c r="K93" s="188"/>
      <c r="L93" s="188"/>
      <c r="M93" s="188"/>
      <c r="N93" s="212"/>
      <c r="O93" s="207"/>
      <c r="P93" s="188"/>
      <c r="Q93" s="188"/>
      <c r="R93" s="188"/>
      <c r="S93" s="188">
        <f>SUM(O93:R93)</f>
        <v>0</v>
      </c>
      <c r="T93" s="189">
        <f>S93+N93+G93</f>
        <v>0</v>
      </c>
      <c r="U93" s="206"/>
    </row>
    <row r="94" spans="1:21" s="185" customFormat="1" hidden="1" x14ac:dyDescent="0.25">
      <c r="A94" s="120">
        <v>55799</v>
      </c>
      <c r="B94" s="187" t="s">
        <v>93</v>
      </c>
      <c r="C94" s="187"/>
      <c r="D94" s="188"/>
      <c r="E94" s="188"/>
      <c r="F94" s="188"/>
      <c r="G94" s="198">
        <f>C94+D94+E94+F94</f>
        <v>0</v>
      </c>
      <c r="H94" s="207"/>
      <c r="I94" s="188"/>
      <c r="J94" s="188"/>
      <c r="K94" s="188"/>
      <c r="L94" s="188"/>
      <c r="M94" s="188"/>
      <c r="N94" s="212"/>
      <c r="O94" s="207"/>
      <c r="P94" s="188"/>
      <c r="Q94" s="188"/>
      <c r="R94" s="188"/>
      <c r="S94" s="188">
        <f>SUM(O94:R94)</f>
        <v>0</v>
      </c>
      <c r="T94" s="189">
        <f>S94+N94+G94</f>
        <v>0</v>
      </c>
      <c r="U94" s="206"/>
    </row>
    <row r="95" spans="1:21" s="185" customFormat="1" x14ac:dyDescent="0.25">
      <c r="A95" s="121">
        <v>56</v>
      </c>
      <c r="B95" s="186" t="s">
        <v>94</v>
      </c>
      <c r="C95" s="186"/>
      <c r="D95" s="182">
        <f t="shared" ref="D95:F96" si="29">D96</f>
        <v>6000</v>
      </c>
      <c r="E95" s="182">
        <f t="shared" si="29"/>
        <v>0</v>
      </c>
      <c r="F95" s="182">
        <f t="shared" si="29"/>
        <v>0</v>
      </c>
      <c r="G95" s="182">
        <f>SUM(D95:F95)</f>
        <v>6000</v>
      </c>
      <c r="H95" s="205"/>
      <c r="I95" s="182"/>
      <c r="J95" s="182"/>
      <c r="K95" s="182"/>
      <c r="L95" s="182"/>
      <c r="M95" s="182"/>
      <c r="N95" s="183"/>
      <c r="O95" s="205">
        <f>O96+O98</f>
        <v>28450.760000000002</v>
      </c>
      <c r="P95" s="205">
        <f t="shared" ref="P95:T95" si="30">P96+P98</f>
        <v>120.24</v>
      </c>
      <c r="Q95" s="205">
        <f t="shared" si="30"/>
        <v>24</v>
      </c>
      <c r="R95" s="205">
        <f t="shared" si="30"/>
        <v>256.2</v>
      </c>
      <c r="S95" s="182">
        <f t="shared" si="30"/>
        <v>28851.200000000001</v>
      </c>
      <c r="T95" s="183">
        <f t="shared" si="30"/>
        <v>8851.2000000000007</v>
      </c>
      <c r="U95" s="206"/>
    </row>
    <row r="96" spans="1:21" s="185" customFormat="1" x14ac:dyDescent="0.25">
      <c r="A96" s="121">
        <v>562</v>
      </c>
      <c r="B96" s="186" t="s">
        <v>95</v>
      </c>
      <c r="C96" s="186"/>
      <c r="D96" s="182">
        <f t="shared" si="29"/>
        <v>6000</v>
      </c>
      <c r="E96" s="182">
        <f t="shared" si="29"/>
        <v>0</v>
      </c>
      <c r="F96" s="182">
        <f t="shared" si="29"/>
        <v>0</v>
      </c>
      <c r="G96" s="204">
        <f t="shared" ref="G96:T96" si="31">G97</f>
        <v>6000</v>
      </c>
      <c r="H96" s="205">
        <f t="shared" si="31"/>
        <v>0</v>
      </c>
      <c r="I96" s="182">
        <f t="shared" si="31"/>
        <v>0</v>
      </c>
      <c r="J96" s="182">
        <f t="shared" si="31"/>
        <v>0</v>
      </c>
      <c r="K96" s="182">
        <f t="shared" si="31"/>
        <v>0</v>
      </c>
      <c r="L96" s="182">
        <f t="shared" si="31"/>
        <v>0</v>
      </c>
      <c r="M96" s="182">
        <f t="shared" si="31"/>
        <v>0</v>
      </c>
      <c r="N96" s="183">
        <f t="shared" si="31"/>
        <v>0</v>
      </c>
      <c r="O96" s="205">
        <f t="shared" si="31"/>
        <v>2450.7600000000002</v>
      </c>
      <c r="P96" s="182">
        <f t="shared" si="31"/>
        <v>120.24</v>
      </c>
      <c r="Q96" s="182">
        <f t="shared" si="31"/>
        <v>24</v>
      </c>
      <c r="R96" s="182">
        <f t="shared" si="31"/>
        <v>256.2</v>
      </c>
      <c r="S96" s="182">
        <f t="shared" si="31"/>
        <v>2851.2</v>
      </c>
      <c r="T96" s="183">
        <f t="shared" si="31"/>
        <v>8851.2000000000007</v>
      </c>
      <c r="U96" s="206"/>
    </row>
    <row r="97" spans="1:24" s="185" customFormat="1" x14ac:dyDescent="0.25">
      <c r="A97" s="120">
        <v>56201</v>
      </c>
      <c r="B97" s="187" t="s">
        <v>96</v>
      </c>
      <c r="C97" s="187"/>
      <c r="D97" s="188">
        <f>500*12</f>
        <v>6000</v>
      </c>
      <c r="E97" s="188"/>
      <c r="F97" s="188"/>
      <c r="G97" s="198">
        <f>C97+D97+E97+F97</f>
        <v>6000</v>
      </c>
      <c r="H97" s="207"/>
      <c r="I97" s="188"/>
      <c r="J97" s="188"/>
      <c r="K97" s="188"/>
      <c r="L97" s="188"/>
      <c r="M97" s="188"/>
      <c r="N97" s="212"/>
      <c r="O97" s="207">
        <f>(4.23*12)+2400</f>
        <v>2450.7600000000002</v>
      </c>
      <c r="P97" s="188">
        <f>10.02*12</f>
        <v>120.24</v>
      </c>
      <c r="Q97" s="188">
        <f>2*12</f>
        <v>24</v>
      </c>
      <c r="R97" s="188">
        <f>(9.91*12)+(11.44*12)</f>
        <v>256.2</v>
      </c>
      <c r="S97" s="188">
        <f>SUM(O97:R97)</f>
        <v>2851.2</v>
      </c>
      <c r="T97" s="189">
        <f>S97+N97+G97</f>
        <v>8851.2000000000007</v>
      </c>
      <c r="U97" s="206"/>
    </row>
    <row r="98" spans="1:24" s="185" customFormat="1" x14ac:dyDescent="0.25">
      <c r="A98" s="121">
        <v>563</v>
      </c>
      <c r="B98" s="186" t="s">
        <v>97</v>
      </c>
      <c r="C98" s="186"/>
      <c r="D98" s="182">
        <f t="shared" ref="D98:T98" si="32">SUM(D99:D102)</f>
        <v>0</v>
      </c>
      <c r="E98" s="182">
        <f t="shared" si="32"/>
        <v>0</v>
      </c>
      <c r="F98" s="182">
        <f t="shared" si="32"/>
        <v>0</v>
      </c>
      <c r="G98" s="204">
        <f t="shared" si="32"/>
        <v>0</v>
      </c>
      <c r="H98" s="205">
        <f t="shared" si="32"/>
        <v>0</v>
      </c>
      <c r="I98" s="182">
        <f t="shared" si="32"/>
        <v>0</v>
      </c>
      <c r="J98" s="182">
        <f t="shared" si="32"/>
        <v>0</v>
      </c>
      <c r="K98" s="182">
        <f t="shared" si="32"/>
        <v>0</v>
      </c>
      <c r="L98" s="182">
        <f t="shared" si="32"/>
        <v>0</v>
      </c>
      <c r="M98" s="182">
        <f t="shared" si="32"/>
        <v>0</v>
      </c>
      <c r="N98" s="183">
        <f t="shared" si="32"/>
        <v>0</v>
      </c>
      <c r="O98" s="205">
        <f>SUM(O99:O102)</f>
        <v>26000</v>
      </c>
      <c r="P98" s="182">
        <f t="shared" si="32"/>
        <v>0</v>
      </c>
      <c r="Q98" s="182">
        <f t="shared" si="32"/>
        <v>0</v>
      </c>
      <c r="R98" s="182">
        <f t="shared" si="32"/>
        <v>0</v>
      </c>
      <c r="S98" s="182">
        <f>SUM(S99:S102)</f>
        <v>26000</v>
      </c>
      <c r="T98" s="183">
        <f t="shared" si="32"/>
        <v>0</v>
      </c>
      <c r="U98" s="206"/>
    </row>
    <row r="99" spans="1:24" s="185" customFormat="1" x14ac:dyDescent="0.25">
      <c r="A99" s="120">
        <v>56301</v>
      </c>
      <c r="B99" s="187" t="s">
        <v>98</v>
      </c>
      <c r="C99" s="187"/>
      <c r="D99" s="188"/>
      <c r="E99" s="188"/>
      <c r="F99" s="188"/>
      <c r="G99" s="198">
        <f>C99+D99+E99+F99</f>
        <v>0</v>
      </c>
      <c r="H99" s="207"/>
      <c r="I99" s="188"/>
      <c r="J99" s="188"/>
      <c r="K99" s="188"/>
      <c r="L99" s="188"/>
      <c r="M99" s="188"/>
      <c r="N99" s="212"/>
      <c r="O99" s="207"/>
      <c r="P99" s="188"/>
      <c r="Q99" s="188"/>
      <c r="R99" s="188"/>
      <c r="S99" s="188">
        <f>SUM(O99:R99)</f>
        <v>0</v>
      </c>
      <c r="T99" s="189">
        <f>S99+N99+G99</f>
        <v>0</v>
      </c>
      <c r="U99" s="206"/>
    </row>
    <row r="100" spans="1:24" s="185" customFormat="1" x14ac:dyDescent="0.25">
      <c r="A100" s="120">
        <v>56303</v>
      </c>
      <c r="B100" s="187" t="s">
        <v>99</v>
      </c>
      <c r="C100" s="187"/>
      <c r="D100" s="188"/>
      <c r="E100" s="188"/>
      <c r="F100" s="188"/>
      <c r="G100" s="198">
        <f>C100+D100+E100+F100</f>
        <v>0</v>
      </c>
      <c r="H100" s="207"/>
      <c r="I100" s="188"/>
      <c r="J100" s="188"/>
      <c r="K100" s="188"/>
      <c r="L100" s="188"/>
      <c r="M100" s="188"/>
      <c r="N100" s="212"/>
      <c r="O100" s="207">
        <v>0</v>
      </c>
      <c r="P100" s="188"/>
      <c r="Q100" s="188"/>
      <c r="R100" s="188"/>
      <c r="S100" s="188">
        <f>SUM(O100:R100)</f>
        <v>0</v>
      </c>
      <c r="T100" s="189">
        <f>S100+N100+G100</f>
        <v>0</v>
      </c>
      <c r="U100" s="206"/>
    </row>
    <row r="101" spans="1:24" s="185" customFormat="1" x14ac:dyDescent="0.25">
      <c r="A101" s="120">
        <v>56304</v>
      </c>
      <c r="B101" s="187" t="s">
        <v>210</v>
      </c>
      <c r="C101" s="187"/>
      <c r="D101" s="188"/>
      <c r="E101" s="188"/>
      <c r="F101" s="188"/>
      <c r="G101" s="198"/>
      <c r="H101" s="207"/>
      <c r="I101" s="188"/>
      <c r="J101" s="188"/>
      <c r="K101" s="188"/>
      <c r="L101" s="188"/>
      <c r="M101" s="188"/>
      <c r="N101" s="212"/>
      <c r="O101" s="207">
        <v>26000</v>
      </c>
      <c r="P101" s="188"/>
      <c r="Q101" s="188"/>
      <c r="R101" s="188"/>
      <c r="S101" s="188">
        <f>SUM(O101:R101)</f>
        <v>26000</v>
      </c>
      <c r="T101" s="189"/>
      <c r="U101" s="206"/>
      <c r="V101" s="190"/>
      <c r="W101" s="190"/>
      <c r="X101" s="190"/>
    </row>
    <row r="102" spans="1:24" s="185" customFormat="1" x14ac:dyDescent="0.25">
      <c r="A102" s="120">
        <v>56305</v>
      </c>
      <c r="B102" s="187" t="s">
        <v>100</v>
      </c>
      <c r="C102" s="187"/>
      <c r="D102" s="188"/>
      <c r="E102" s="188"/>
      <c r="F102" s="188"/>
      <c r="G102" s="198">
        <f>C102+D102+E102+F102</f>
        <v>0</v>
      </c>
      <c r="H102" s="207"/>
      <c r="I102" s="188"/>
      <c r="J102" s="188"/>
      <c r="K102" s="188"/>
      <c r="L102" s="188"/>
      <c r="M102" s="188"/>
      <c r="N102" s="212"/>
      <c r="O102" s="207"/>
      <c r="P102" s="188"/>
      <c r="Q102" s="188"/>
      <c r="R102" s="188"/>
      <c r="S102" s="188">
        <f>SUM(O102:R102)</f>
        <v>0</v>
      </c>
      <c r="T102" s="189">
        <f>S102+N102+G102</f>
        <v>0</v>
      </c>
      <c r="U102" s="206"/>
    </row>
    <row r="103" spans="1:24" s="185" customFormat="1" x14ac:dyDescent="0.25">
      <c r="A103" s="121">
        <v>61</v>
      </c>
      <c r="B103" s="186" t="s">
        <v>101</v>
      </c>
      <c r="C103" s="186"/>
      <c r="D103" s="182">
        <f t="shared" ref="D103:T103" si="33">D104+D108+D110+D112</f>
        <v>0</v>
      </c>
      <c r="E103" s="182">
        <f t="shared" si="33"/>
        <v>0</v>
      </c>
      <c r="F103" s="182">
        <f t="shared" si="33"/>
        <v>0</v>
      </c>
      <c r="G103" s="204">
        <f t="shared" si="33"/>
        <v>0</v>
      </c>
      <c r="H103" s="205">
        <f t="shared" si="33"/>
        <v>32000</v>
      </c>
      <c r="I103" s="182">
        <f t="shared" si="33"/>
        <v>1043365.44</v>
      </c>
      <c r="J103" s="182">
        <f t="shared" si="33"/>
        <v>0</v>
      </c>
      <c r="K103" s="182">
        <f t="shared" si="33"/>
        <v>85000</v>
      </c>
      <c r="L103" s="182">
        <f t="shared" si="33"/>
        <v>0</v>
      </c>
      <c r="M103" s="182">
        <f t="shared" si="33"/>
        <v>0</v>
      </c>
      <c r="N103" s="183">
        <f t="shared" si="33"/>
        <v>1160365.44</v>
      </c>
      <c r="O103" s="205">
        <f t="shared" si="33"/>
        <v>2000</v>
      </c>
      <c r="P103" s="182">
        <f t="shared" si="33"/>
        <v>0</v>
      </c>
      <c r="Q103" s="182">
        <f t="shared" si="33"/>
        <v>0</v>
      </c>
      <c r="R103" s="182">
        <f t="shared" si="33"/>
        <v>0</v>
      </c>
      <c r="S103" s="182">
        <f t="shared" si="33"/>
        <v>2000</v>
      </c>
      <c r="T103" s="183">
        <f t="shared" si="33"/>
        <v>865878.44</v>
      </c>
      <c r="U103" s="206"/>
    </row>
    <row r="104" spans="1:24" s="185" customFormat="1" x14ac:dyDescent="0.25">
      <c r="A104" s="121">
        <v>611</v>
      </c>
      <c r="B104" s="186" t="s">
        <v>102</v>
      </c>
      <c r="C104" s="186"/>
      <c r="D104" s="182">
        <f t="shared" ref="D104:T104" si="34">SUM(D105:D107)</f>
        <v>0</v>
      </c>
      <c r="E104" s="182">
        <f t="shared" si="34"/>
        <v>0</v>
      </c>
      <c r="F104" s="182">
        <f t="shared" si="34"/>
        <v>0</v>
      </c>
      <c r="G104" s="204">
        <f t="shared" si="34"/>
        <v>0</v>
      </c>
      <c r="H104" s="205">
        <f t="shared" si="34"/>
        <v>0</v>
      </c>
      <c r="I104" s="182">
        <f t="shared" si="34"/>
        <v>17000</v>
      </c>
      <c r="J104" s="182">
        <f t="shared" si="34"/>
        <v>0</v>
      </c>
      <c r="K104" s="182">
        <f t="shared" si="34"/>
        <v>0</v>
      </c>
      <c r="L104" s="182">
        <f t="shared" si="34"/>
        <v>0</v>
      </c>
      <c r="M104" s="182">
        <f t="shared" si="34"/>
        <v>0</v>
      </c>
      <c r="N104" s="183">
        <f t="shared" si="34"/>
        <v>17000</v>
      </c>
      <c r="O104" s="205">
        <f t="shared" si="34"/>
        <v>2000</v>
      </c>
      <c r="P104" s="182">
        <f t="shared" si="34"/>
        <v>0</v>
      </c>
      <c r="Q104" s="182">
        <f t="shared" si="34"/>
        <v>0</v>
      </c>
      <c r="R104" s="182">
        <f t="shared" si="34"/>
        <v>0</v>
      </c>
      <c r="S104" s="182">
        <f t="shared" si="34"/>
        <v>2000</v>
      </c>
      <c r="T104" s="183">
        <f t="shared" si="34"/>
        <v>19000</v>
      </c>
      <c r="U104" s="206"/>
    </row>
    <row r="105" spans="1:24" s="185" customFormat="1" hidden="1" x14ac:dyDescent="0.25">
      <c r="A105" s="120">
        <v>61102</v>
      </c>
      <c r="B105" s="187" t="s">
        <v>103</v>
      </c>
      <c r="C105" s="187"/>
      <c r="D105" s="188"/>
      <c r="E105" s="188"/>
      <c r="F105" s="188"/>
      <c r="G105" s="198">
        <f>C105+D105+E105+F105</f>
        <v>0</v>
      </c>
      <c r="H105" s="207"/>
      <c r="I105" s="188">
        <v>17000</v>
      </c>
      <c r="J105" s="188"/>
      <c r="K105" s="188"/>
      <c r="L105" s="188"/>
      <c r="M105" s="188"/>
      <c r="N105" s="212">
        <f>SUM(H105:M105)</f>
        <v>17000</v>
      </c>
      <c r="O105" s="207"/>
      <c r="P105" s="188"/>
      <c r="Q105" s="188"/>
      <c r="R105" s="188"/>
      <c r="S105" s="188">
        <f>SUM(O105:R105)</f>
        <v>0</v>
      </c>
      <c r="T105" s="189">
        <f>S105+N105+G105</f>
        <v>17000</v>
      </c>
      <c r="U105" s="206"/>
    </row>
    <row r="106" spans="1:24" s="185" customFormat="1" x14ac:dyDescent="0.25">
      <c r="A106" s="120">
        <v>61104</v>
      </c>
      <c r="B106" s="187" t="s">
        <v>104</v>
      </c>
      <c r="C106" s="187"/>
      <c r="D106" s="188"/>
      <c r="E106" s="188"/>
      <c r="F106" s="188"/>
      <c r="G106" s="198">
        <f>C106+D106+E106+F106</f>
        <v>0</v>
      </c>
      <c r="H106" s="207"/>
      <c r="I106" s="188"/>
      <c r="J106" s="188"/>
      <c r="K106" s="188"/>
      <c r="L106" s="188"/>
      <c r="M106" s="188"/>
      <c r="N106" s="212">
        <f>SUM(H106:M106)</f>
        <v>0</v>
      </c>
      <c r="O106" s="207">
        <v>2000</v>
      </c>
      <c r="P106" s="188"/>
      <c r="Q106" s="188"/>
      <c r="R106" s="188"/>
      <c r="S106" s="188">
        <f>SUM(O106:R106)</f>
        <v>2000</v>
      </c>
      <c r="T106" s="189">
        <f>S106+N106+G106</f>
        <v>2000</v>
      </c>
      <c r="U106" s="206"/>
    </row>
    <row r="107" spans="1:24" s="185" customFormat="1" hidden="1" x14ac:dyDescent="0.25">
      <c r="A107" s="120">
        <v>61199</v>
      </c>
      <c r="B107" s="187" t="s">
        <v>105</v>
      </c>
      <c r="C107" s="187"/>
      <c r="D107" s="188"/>
      <c r="E107" s="188"/>
      <c r="F107" s="188"/>
      <c r="G107" s="198">
        <f>C107+D107+E107+F107</f>
        <v>0</v>
      </c>
      <c r="H107" s="207"/>
      <c r="I107" s="188"/>
      <c r="J107" s="188"/>
      <c r="K107" s="188"/>
      <c r="L107" s="188"/>
      <c r="M107" s="188"/>
      <c r="N107" s="212">
        <f>SUM(H107:M107)</f>
        <v>0</v>
      </c>
      <c r="O107" s="207"/>
      <c r="P107" s="188"/>
      <c r="Q107" s="188"/>
      <c r="R107" s="188"/>
      <c r="S107" s="188">
        <f>SUM(O107:R107)</f>
        <v>0</v>
      </c>
      <c r="T107" s="189">
        <f>S107+N107+G107</f>
        <v>0</v>
      </c>
      <c r="U107" s="206"/>
    </row>
    <row r="108" spans="1:24" s="185" customFormat="1" hidden="1" x14ac:dyDescent="0.25">
      <c r="A108" s="121">
        <v>612</v>
      </c>
      <c r="B108" s="186" t="s">
        <v>106</v>
      </c>
      <c r="C108" s="186"/>
      <c r="D108" s="182">
        <f t="shared" ref="D108:T108" si="35">D109</f>
        <v>0</v>
      </c>
      <c r="E108" s="182">
        <f t="shared" si="35"/>
        <v>0</v>
      </c>
      <c r="F108" s="182">
        <f t="shared" si="35"/>
        <v>0</v>
      </c>
      <c r="G108" s="204">
        <f t="shared" si="35"/>
        <v>0</v>
      </c>
      <c r="H108" s="205">
        <f t="shared" si="35"/>
        <v>0</v>
      </c>
      <c r="I108" s="182">
        <f t="shared" si="35"/>
        <v>35000</v>
      </c>
      <c r="J108" s="182">
        <f t="shared" si="35"/>
        <v>0</v>
      </c>
      <c r="K108" s="182">
        <f t="shared" si="35"/>
        <v>0</v>
      </c>
      <c r="L108" s="182">
        <f t="shared" si="35"/>
        <v>0</v>
      </c>
      <c r="M108" s="182">
        <f t="shared" si="35"/>
        <v>0</v>
      </c>
      <c r="N108" s="183">
        <f t="shared" si="35"/>
        <v>35000</v>
      </c>
      <c r="O108" s="205">
        <f t="shared" si="35"/>
        <v>0</v>
      </c>
      <c r="P108" s="182">
        <f t="shared" si="35"/>
        <v>0</v>
      </c>
      <c r="Q108" s="182">
        <f t="shared" si="35"/>
        <v>0</v>
      </c>
      <c r="R108" s="182">
        <f t="shared" si="35"/>
        <v>0</v>
      </c>
      <c r="S108" s="182">
        <f t="shared" si="35"/>
        <v>0</v>
      </c>
      <c r="T108" s="183">
        <f t="shared" si="35"/>
        <v>35000</v>
      </c>
      <c r="U108" s="206"/>
    </row>
    <row r="109" spans="1:24" s="185" customFormat="1" hidden="1" x14ac:dyDescent="0.25">
      <c r="A109" s="120">
        <v>61201</v>
      </c>
      <c r="B109" s="187" t="s">
        <v>107</v>
      </c>
      <c r="C109" s="187"/>
      <c r="D109" s="188"/>
      <c r="E109" s="188"/>
      <c r="F109" s="188"/>
      <c r="G109" s="198">
        <f>C109+D109+E109+F109</f>
        <v>0</v>
      </c>
      <c r="H109" s="207"/>
      <c r="I109" s="188">
        <v>35000</v>
      </c>
      <c r="J109" s="188"/>
      <c r="K109" s="188"/>
      <c r="L109" s="188"/>
      <c r="M109" s="188"/>
      <c r="N109" s="212">
        <f>SUM(H109:M109)</f>
        <v>35000</v>
      </c>
      <c r="O109" s="207"/>
      <c r="P109" s="188"/>
      <c r="Q109" s="188"/>
      <c r="R109" s="188"/>
      <c r="S109" s="188">
        <f>SUM(O109:R109)</f>
        <v>0</v>
      </c>
      <c r="T109" s="189">
        <f>S109+N109+G109</f>
        <v>35000</v>
      </c>
      <c r="U109" s="206"/>
    </row>
    <row r="110" spans="1:24" s="185" customFormat="1" hidden="1" x14ac:dyDescent="0.25">
      <c r="A110" s="120">
        <v>615</v>
      </c>
      <c r="B110" s="186" t="s">
        <v>108</v>
      </c>
      <c r="C110" s="186"/>
      <c r="D110" s="182">
        <f t="shared" ref="D110:T110" si="36">D111</f>
        <v>0</v>
      </c>
      <c r="E110" s="182">
        <f t="shared" si="36"/>
        <v>0</v>
      </c>
      <c r="F110" s="182">
        <f t="shared" si="36"/>
        <v>0</v>
      </c>
      <c r="G110" s="204">
        <f t="shared" si="36"/>
        <v>0</v>
      </c>
      <c r="H110" s="205">
        <f t="shared" si="36"/>
        <v>32000</v>
      </c>
      <c r="I110" s="182">
        <f t="shared" si="36"/>
        <v>0</v>
      </c>
      <c r="J110" s="182">
        <f t="shared" si="36"/>
        <v>0</v>
      </c>
      <c r="K110" s="182">
        <f t="shared" si="36"/>
        <v>0</v>
      </c>
      <c r="L110" s="182">
        <f t="shared" si="36"/>
        <v>0</v>
      </c>
      <c r="M110" s="182">
        <f t="shared" si="36"/>
        <v>0</v>
      </c>
      <c r="N110" s="183">
        <f t="shared" si="36"/>
        <v>32000</v>
      </c>
      <c r="O110" s="205">
        <f t="shared" si="36"/>
        <v>0</v>
      </c>
      <c r="P110" s="182">
        <f t="shared" si="36"/>
        <v>0</v>
      </c>
      <c r="Q110" s="182">
        <f t="shared" si="36"/>
        <v>0</v>
      </c>
      <c r="R110" s="182">
        <f t="shared" si="36"/>
        <v>0</v>
      </c>
      <c r="S110" s="182">
        <f t="shared" si="36"/>
        <v>0</v>
      </c>
      <c r="T110" s="183">
        <f t="shared" si="36"/>
        <v>32000</v>
      </c>
      <c r="U110" s="206"/>
    </row>
    <row r="111" spans="1:24" s="185" customFormat="1" hidden="1" x14ac:dyDescent="0.25">
      <c r="A111" s="120">
        <v>61599</v>
      </c>
      <c r="B111" s="187" t="s">
        <v>109</v>
      </c>
      <c r="C111" s="187"/>
      <c r="D111" s="188"/>
      <c r="E111" s="188"/>
      <c r="F111" s="188"/>
      <c r="G111" s="198">
        <f>C111+D111+E111+F111</f>
        <v>0</v>
      </c>
      <c r="H111" s="207">
        <v>32000</v>
      </c>
      <c r="I111" s="188"/>
      <c r="J111" s="188"/>
      <c r="K111" s="188"/>
      <c r="L111" s="188"/>
      <c r="M111" s="188"/>
      <c r="N111" s="212">
        <f>SUM(H111:M111)</f>
        <v>32000</v>
      </c>
      <c r="O111" s="207"/>
      <c r="P111" s="188"/>
      <c r="Q111" s="188"/>
      <c r="R111" s="188"/>
      <c r="S111" s="188">
        <f>SUM(O111:R111)</f>
        <v>0</v>
      </c>
      <c r="T111" s="189">
        <f>S111+N111+G111</f>
        <v>32000</v>
      </c>
      <c r="U111" s="206"/>
    </row>
    <row r="112" spans="1:24" s="185" customFormat="1" hidden="1" x14ac:dyDescent="0.25">
      <c r="A112" s="121">
        <v>616</v>
      </c>
      <c r="B112" s="186" t="s">
        <v>110</v>
      </c>
      <c r="C112" s="186"/>
      <c r="D112" s="182">
        <f>SUM(D113:D117)</f>
        <v>0</v>
      </c>
      <c r="E112" s="182">
        <f>SUM(E113:E117)</f>
        <v>0</v>
      </c>
      <c r="F112" s="182">
        <f>SUM(F113:F117)</f>
        <v>0</v>
      </c>
      <c r="G112" s="204">
        <f>SUM(G113:G117)</f>
        <v>0</v>
      </c>
      <c r="H112" s="205">
        <f>SUM(H113:H117)</f>
        <v>0</v>
      </c>
      <c r="I112" s="182">
        <f t="shared" ref="I112:N112" si="37">SUM(I113:I119)</f>
        <v>991365.44</v>
      </c>
      <c r="J112" s="182">
        <f t="shared" si="37"/>
        <v>0</v>
      </c>
      <c r="K112" s="182">
        <f t="shared" si="37"/>
        <v>85000</v>
      </c>
      <c r="L112" s="182">
        <f t="shared" si="37"/>
        <v>0</v>
      </c>
      <c r="M112" s="182">
        <f t="shared" si="37"/>
        <v>0</v>
      </c>
      <c r="N112" s="183">
        <f t="shared" si="37"/>
        <v>1076365.44</v>
      </c>
      <c r="O112" s="205">
        <f t="shared" ref="O112:T112" si="38">SUM(O113:O117)</f>
        <v>0</v>
      </c>
      <c r="P112" s="182">
        <f t="shared" si="38"/>
        <v>0</v>
      </c>
      <c r="Q112" s="182">
        <f t="shared" si="38"/>
        <v>0</v>
      </c>
      <c r="R112" s="182">
        <f t="shared" si="38"/>
        <v>0</v>
      </c>
      <c r="S112" s="182">
        <f t="shared" si="38"/>
        <v>0</v>
      </c>
      <c r="T112" s="183">
        <f t="shared" si="38"/>
        <v>779878.44</v>
      </c>
      <c r="U112" s="206"/>
    </row>
    <row r="113" spans="1:21" s="185" customFormat="1" hidden="1" x14ac:dyDescent="0.25">
      <c r="A113" s="120">
        <v>61601</v>
      </c>
      <c r="B113" s="187" t="s">
        <v>111</v>
      </c>
      <c r="C113" s="187"/>
      <c r="D113" s="188"/>
      <c r="E113" s="188"/>
      <c r="F113" s="188"/>
      <c r="G113" s="198">
        <f t="shared" ref="G113:G119" si="39">C113+D113+E113+F113</f>
        <v>0</v>
      </c>
      <c r="H113" s="207"/>
      <c r="I113" s="188">
        <v>264891.59000000003</v>
      </c>
      <c r="J113" s="188"/>
      <c r="K113" s="188"/>
      <c r="L113" s="188"/>
      <c r="M113" s="188"/>
      <c r="N113" s="212">
        <f t="shared" ref="N113:N119" si="40">SUM(H113:M113)</f>
        <v>264891.59000000003</v>
      </c>
      <c r="O113" s="207"/>
      <c r="P113" s="188"/>
      <c r="Q113" s="188"/>
      <c r="R113" s="188"/>
      <c r="S113" s="188">
        <f t="shared" ref="S113:S119" si="41">SUM(O113:R113)</f>
        <v>0</v>
      </c>
      <c r="T113" s="189">
        <f t="shared" ref="T113:T119" si="42">S113+N113+G113</f>
        <v>264891.59000000003</v>
      </c>
      <c r="U113" s="206"/>
    </row>
    <row r="114" spans="1:21" s="185" customFormat="1" hidden="1" x14ac:dyDescent="0.25">
      <c r="A114" s="120">
        <v>61603</v>
      </c>
      <c r="B114" s="187" t="s">
        <v>112</v>
      </c>
      <c r="C114" s="187"/>
      <c r="D114" s="188"/>
      <c r="E114" s="188"/>
      <c r="F114" s="188"/>
      <c r="G114" s="198">
        <f t="shared" si="39"/>
        <v>0</v>
      </c>
      <c r="H114" s="207"/>
      <c r="I114" s="188">
        <v>363986.85</v>
      </c>
      <c r="J114" s="188"/>
      <c r="K114" s="188"/>
      <c r="L114" s="188"/>
      <c r="M114" s="188"/>
      <c r="N114" s="212">
        <f t="shared" si="40"/>
        <v>363986.85</v>
      </c>
      <c r="O114" s="207"/>
      <c r="P114" s="188"/>
      <c r="Q114" s="188"/>
      <c r="R114" s="188"/>
      <c r="S114" s="188">
        <f t="shared" si="41"/>
        <v>0</v>
      </c>
      <c r="T114" s="189">
        <f t="shared" si="42"/>
        <v>363986.85</v>
      </c>
      <c r="U114" s="206"/>
    </row>
    <row r="115" spans="1:21" s="185" customFormat="1" hidden="1" x14ac:dyDescent="0.25">
      <c r="A115" s="120">
        <v>61606</v>
      </c>
      <c r="B115" s="187" t="s">
        <v>113</v>
      </c>
      <c r="C115" s="187"/>
      <c r="D115" s="188"/>
      <c r="E115" s="188"/>
      <c r="F115" s="188"/>
      <c r="G115" s="198">
        <f t="shared" si="39"/>
        <v>0</v>
      </c>
      <c r="H115" s="207"/>
      <c r="I115" s="188">
        <v>33000</v>
      </c>
      <c r="J115" s="188"/>
      <c r="K115" s="188"/>
      <c r="L115" s="188"/>
      <c r="M115" s="188"/>
      <c r="N115" s="212">
        <f t="shared" si="40"/>
        <v>33000</v>
      </c>
      <c r="O115" s="207"/>
      <c r="P115" s="188"/>
      <c r="Q115" s="188"/>
      <c r="R115" s="188"/>
      <c r="S115" s="188">
        <f t="shared" si="41"/>
        <v>0</v>
      </c>
      <c r="T115" s="189">
        <f t="shared" si="42"/>
        <v>33000</v>
      </c>
      <c r="U115" s="206"/>
    </row>
    <row r="116" spans="1:21" s="185" customFormat="1" hidden="1" x14ac:dyDescent="0.25">
      <c r="A116" s="120">
        <v>61608</v>
      </c>
      <c r="B116" s="187" t="s">
        <v>114</v>
      </c>
      <c r="C116" s="187"/>
      <c r="D116" s="188"/>
      <c r="E116" s="188"/>
      <c r="F116" s="188"/>
      <c r="G116" s="198">
        <f t="shared" si="39"/>
        <v>0</v>
      </c>
      <c r="H116" s="207"/>
      <c r="I116" s="188"/>
      <c r="J116" s="188"/>
      <c r="K116" s="188"/>
      <c r="L116" s="188"/>
      <c r="M116" s="188"/>
      <c r="N116" s="212">
        <f t="shared" si="40"/>
        <v>0</v>
      </c>
      <c r="O116" s="207"/>
      <c r="P116" s="188"/>
      <c r="Q116" s="188"/>
      <c r="R116" s="188"/>
      <c r="S116" s="188">
        <f t="shared" si="41"/>
        <v>0</v>
      </c>
      <c r="T116" s="189">
        <f t="shared" si="42"/>
        <v>0</v>
      </c>
      <c r="U116" s="206"/>
    </row>
    <row r="117" spans="1:21" s="185" customFormat="1" hidden="1" x14ac:dyDescent="0.25">
      <c r="A117" s="120">
        <v>61609</v>
      </c>
      <c r="B117" s="187" t="s">
        <v>115</v>
      </c>
      <c r="C117" s="187"/>
      <c r="D117" s="188"/>
      <c r="E117" s="188"/>
      <c r="F117" s="188"/>
      <c r="G117" s="198">
        <f t="shared" si="39"/>
        <v>0</v>
      </c>
      <c r="H117" s="207"/>
      <c r="I117" s="188">
        <v>33000</v>
      </c>
      <c r="J117" s="188"/>
      <c r="K117" s="188">
        <v>85000</v>
      </c>
      <c r="L117" s="188"/>
      <c r="M117" s="188"/>
      <c r="N117" s="212">
        <f t="shared" si="40"/>
        <v>118000</v>
      </c>
      <c r="O117" s="207"/>
      <c r="P117" s="188"/>
      <c r="Q117" s="188"/>
      <c r="R117" s="188"/>
      <c r="S117" s="188">
        <f t="shared" si="41"/>
        <v>0</v>
      </c>
      <c r="T117" s="189">
        <f t="shared" si="42"/>
        <v>118000</v>
      </c>
      <c r="U117" s="206"/>
    </row>
    <row r="118" spans="1:21" s="185" customFormat="1" hidden="1" x14ac:dyDescent="0.25">
      <c r="A118" s="120">
        <v>61610</v>
      </c>
      <c r="B118" s="187" t="s">
        <v>116</v>
      </c>
      <c r="C118" s="187"/>
      <c r="D118" s="188"/>
      <c r="E118" s="188"/>
      <c r="F118" s="188"/>
      <c r="G118" s="198">
        <f t="shared" si="39"/>
        <v>0</v>
      </c>
      <c r="H118" s="207"/>
      <c r="I118" s="188">
        <v>286487</v>
      </c>
      <c r="J118" s="188"/>
      <c r="K118" s="188"/>
      <c r="L118" s="188"/>
      <c r="M118" s="188"/>
      <c r="N118" s="212">
        <f t="shared" si="40"/>
        <v>286487</v>
      </c>
      <c r="O118" s="207"/>
      <c r="P118" s="188"/>
      <c r="Q118" s="188"/>
      <c r="R118" s="188"/>
      <c r="S118" s="188">
        <f t="shared" si="41"/>
        <v>0</v>
      </c>
      <c r="T118" s="189">
        <f t="shared" si="42"/>
        <v>286487</v>
      </c>
      <c r="U118" s="206"/>
    </row>
    <row r="119" spans="1:21" s="185" customFormat="1" hidden="1" x14ac:dyDescent="0.25">
      <c r="A119" s="120">
        <v>61611</v>
      </c>
      <c r="B119" s="187" t="s">
        <v>117</v>
      </c>
      <c r="C119" s="187"/>
      <c r="D119" s="188"/>
      <c r="E119" s="188"/>
      <c r="F119" s="188"/>
      <c r="G119" s="198">
        <f t="shared" si="39"/>
        <v>0</v>
      </c>
      <c r="H119" s="207"/>
      <c r="I119" s="188">
        <v>10000</v>
      </c>
      <c r="J119" s="188"/>
      <c r="K119" s="188"/>
      <c r="L119" s="188"/>
      <c r="M119" s="188"/>
      <c r="N119" s="212">
        <f t="shared" si="40"/>
        <v>10000</v>
      </c>
      <c r="O119" s="207"/>
      <c r="P119" s="188"/>
      <c r="Q119" s="188"/>
      <c r="R119" s="188"/>
      <c r="S119" s="188">
        <f t="shared" si="41"/>
        <v>0</v>
      </c>
      <c r="T119" s="189">
        <f t="shared" si="42"/>
        <v>10000</v>
      </c>
      <c r="U119" s="206"/>
    </row>
    <row r="120" spans="1:21" s="185" customFormat="1" hidden="1" x14ac:dyDescent="0.25">
      <c r="A120" s="121">
        <v>71</v>
      </c>
      <c r="B120" s="186" t="s">
        <v>118</v>
      </c>
      <c r="C120" s="186"/>
      <c r="D120" s="182">
        <f t="shared" ref="D120:M121" si="43">D121</f>
        <v>0</v>
      </c>
      <c r="E120" s="182">
        <f t="shared" si="43"/>
        <v>0</v>
      </c>
      <c r="F120" s="182">
        <f t="shared" si="43"/>
        <v>0</v>
      </c>
      <c r="G120" s="204">
        <f t="shared" si="43"/>
        <v>0</v>
      </c>
      <c r="H120" s="205">
        <f t="shared" si="43"/>
        <v>0</v>
      </c>
      <c r="I120" s="182">
        <f t="shared" si="43"/>
        <v>0</v>
      </c>
      <c r="J120" s="182">
        <f t="shared" si="43"/>
        <v>0</v>
      </c>
      <c r="K120" s="182">
        <f t="shared" si="43"/>
        <v>0</v>
      </c>
      <c r="L120" s="182">
        <f t="shared" si="43"/>
        <v>0</v>
      </c>
      <c r="M120" s="182">
        <f t="shared" si="43"/>
        <v>365780.4</v>
      </c>
      <c r="N120" s="183">
        <f t="shared" ref="N120:T121" si="44">N121</f>
        <v>365780.4</v>
      </c>
      <c r="O120" s="205">
        <f t="shared" si="44"/>
        <v>0</v>
      </c>
      <c r="P120" s="182">
        <f t="shared" si="44"/>
        <v>0</v>
      </c>
      <c r="Q120" s="182">
        <f t="shared" si="44"/>
        <v>0</v>
      </c>
      <c r="R120" s="182">
        <f t="shared" si="44"/>
        <v>0</v>
      </c>
      <c r="S120" s="182">
        <f t="shared" si="44"/>
        <v>0</v>
      </c>
      <c r="T120" s="183">
        <f t="shared" si="44"/>
        <v>365780.4</v>
      </c>
      <c r="U120" s="206"/>
    </row>
    <row r="121" spans="1:21" s="185" customFormat="1" hidden="1" x14ac:dyDescent="0.25">
      <c r="A121" s="121">
        <v>713</v>
      </c>
      <c r="B121" s="186" t="s">
        <v>119</v>
      </c>
      <c r="C121" s="186"/>
      <c r="D121" s="182">
        <f t="shared" si="43"/>
        <v>0</v>
      </c>
      <c r="E121" s="182">
        <f t="shared" si="43"/>
        <v>0</v>
      </c>
      <c r="F121" s="182">
        <f t="shared" si="43"/>
        <v>0</v>
      </c>
      <c r="G121" s="204">
        <f t="shared" si="43"/>
        <v>0</v>
      </c>
      <c r="H121" s="205">
        <f t="shared" si="43"/>
        <v>0</v>
      </c>
      <c r="I121" s="182">
        <f t="shared" si="43"/>
        <v>0</v>
      </c>
      <c r="J121" s="182">
        <f t="shared" si="43"/>
        <v>0</v>
      </c>
      <c r="K121" s="182">
        <f t="shared" si="43"/>
        <v>0</v>
      </c>
      <c r="L121" s="182">
        <f t="shared" si="43"/>
        <v>0</v>
      </c>
      <c r="M121" s="182">
        <f t="shared" si="43"/>
        <v>365780.4</v>
      </c>
      <c r="N121" s="183">
        <f t="shared" si="44"/>
        <v>365780.4</v>
      </c>
      <c r="O121" s="205">
        <f t="shared" si="44"/>
        <v>0</v>
      </c>
      <c r="P121" s="182">
        <f t="shared" si="44"/>
        <v>0</v>
      </c>
      <c r="Q121" s="182">
        <f t="shared" si="44"/>
        <v>0</v>
      </c>
      <c r="R121" s="182">
        <f t="shared" si="44"/>
        <v>0</v>
      </c>
      <c r="S121" s="182">
        <f t="shared" si="44"/>
        <v>0</v>
      </c>
      <c r="T121" s="183">
        <f t="shared" si="44"/>
        <v>365780.4</v>
      </c>
      <c r="U121" s="206"/>
    </row>
    <row r="122" spans="1:21" s="185" customFormat="1" hidden="1" x14ac:dyDescent="0.25">
      <c r="A122" s="120">
        <v>71304</v>
      </c>
      <c r="B122" s="187" t="s">
        <v>87</v>
      </c>
      <c r="C122" s="187"/>
      <c r="D122" s="188"/>
      <c r="E122" s="188"/>
      <c r="F122" s="188"/>
      <c r="G122" s="198">
        <f>C122+D122+E122+F122</f>
        <v>0</v>
      </c>
      <c r="H122" s="207"/>
      <c r="I122" s="188"/>
      <c r="J122" s="188"/>
      <c r="K122" s="188"/>
      <c r="L122" s="188"/>
      <c r="M122" s="227">
        <v>365780.4</v>
      </c>
      <c r="N122" s="212">
        <f>SUM(H122:M122)</f>
        <v>365780.4</v>
      </c>
      <c r="O122" s="207"/>
      <c r="P122" s="188"/>
      <c r="Q122" s="188"/>
      <c r="R122" s="188"/>
      <c r="S122" s="188">
        <f>SUM(O122:R122)</f>
        <v>0</v>
      </c>
      <c r="T122" s="189">
        <f>S122+N122+G122</f>
        <v>365780.4</v>
      </c>
      <c r="U122" s="206"/>
    </row>
    <row r="123" spans="1:21" s="185" customFormat="1" x14ac:dyDescent="0.25">
      <c r="A123" s="121">
        <v>72</v>
      </c>
      <c r="B123" s="186" t="s">
        <v>120</v>
      </c>
      <c r="C123" s="186"/>
      <c r="D123" s="182">
        <f t="shared" ref="D123:M124" si="45">D124</f>
        <v>0</v>
      </c>
      <c r="E123" s="182">
        <f t="shared" si="45"/>
        <v>0</v>
      </c>
      <c r="F123" s="182">
        <f t="shared" si="45"/>
        <v>0</v>
      </c>
      <c r="G123" s="204">
        <f t="shared" si="45"/>
        <v>0</v>
      </c>
      <c r="H123" s="205">
        <f t="shared" si="45"/>
        <v>0</v>
      </c>
      <c r="I123" s="182">
        <f t="shared" si="45"/>
        <v>0</v>
      </c>
      <c r="J123" s="182">
        <f t="shared" si="45"/>
        <v>0</v>
      </c>
      <c r="K123" s="182">
        <f t="shared" si="45"/>
        <v>0</v>
      </c>
      <c r="L123" s="182">
        <f t="shared" si="45"/>
        <v>0</v>
      </c>
      <c r="M123" s="182">
        <f t="shared" si="45"/>
        <v>0</v>
      </c>
      <c r="N123" s="183">
        <f t="shared" ref="N123:T124" si="46">N124</f>
        <v>0</v>
      </c>
      <c r="O123" s="205">
        <f t="shared" si="46"/>
        <v>0</v>
      </c>
      <c r="P123" s="182">
        <f t="shared" si="46"/>
        <v>0</v>
      </c>
      <c r="Q123" s="182">
        <f t="shared" si="46"/>
        <v>0</v>
      </c>
      <c r="R123" s="182">
        <f t="shared" si="46"/>
        <v>0</v>
      </c>
      <c r="S123" s="182">
        <f t="shared" si="46"/>
        <v>0</v>
      </c>
      <c r="T123" s="183">
        <f t="shared" si="46"/>
        <v>0</v>
      </c>
      <c r="U123" s="206"/>
    </row>
    <row r="124" spans="1:21" s="185" customFormat="1" x14ac:dyDescent="0.25">
      <c r="A124" s="121">
        <v>721</v>
      </c>
      <c r="B124" s="186" t="s">
        <v>121</v>
      </c>
      <c r="C124" s="186"/>
      <c r="D124" s="182">
        <f t="shared" si="45"/>
        <v>0</v>
      </c>
      <c r="E124" s="182">
        <f t="shared" si="45"/>
        <v>0</v>
      </c>
      <c r="F124" s="182">
        <f t="shared" si="45"/>
        <v>0</v>
      </c>
      <c r="G124" s="204">
        <f t="shared" si="45"/>
        <v>0</v>
      </c>
      <c r="H124" s="205">
        <f t="shared" si="45"/>
        <v>0</v>
      </c>
      <c r="I124" s="182">
        <f t="shared" si="45"/>
        <v>0</v>
      </c>
      <c r="J124" s="182">
        <f t="shared" si="45"/>
        <v>0</v>
      </c>
      <c r="K124" s="182">
        <f t="shared" si="45"/>
        <v>0</v>
      </c>
      <c r="L124" s="182">
        <f t="shared" si="45"/>
        <v>0</v>
      </c>
      <c r="M124" s="182">
        <f t="shared" si="45"/>
        <v>0</v>
      </c>
      <c r="N124" s="183">
        <f t="shared" si="46"/>
        <v>0</v>
      </c>
      <c r="O124" s="205">
        <f t="shared" si="46"/>
        <v>0</v>
      </c>
      <c r="P124" s="182">
        <f t="shared" si="46"/>
        <v>0</v>
      </c>
      <c r="Q124" s="182">
        <f t="shared" si="46"/>
        <v>0</v>
      </c>
      <c r="R124" s="182">
        <f t="shared" si="46"/>
        <v>0</v>
      </c>
      <c r="S124" s="182">
        <f t="shared" si="46"/>
        <v>0</v>
      </c>
      <c r="T124" s="183">
        <f t="shared" si="46"/>
        <v>0</v>
      </c>
      <c r="U124" s="206"/>
    </row>
    <row r="125" spans="1:21" s="185" customFormat="1" x14ac:dyDescent="0.25">
      <c r="A125" s="120">
        <v>72101</v>
      </c>
      <c r="B125" s="187" t="s">
        <v>121</v>
      </c>
      <c r="C125" s="187"/>
      <c r="D125" s="188"/>
      <c r="E125" s="188"/>
      <c r="F125" s="188"/>
      <c r="G125" s="198">
        <f>C125+D125+E125+F125</f>
        <v>0</v>
      </c>
      <c r="H125" s="207"/>
      <c r="I125" s="188"/>
      <c r="J125" s="188"/>
      <c r="K125" s="188"/>
      <c r="L125" s="188"/>
      <c r="M125" s="188"/>
      <c r="N125" s="212">
        <f>SUM(H125:M125)</f>
        <v>0</v>
      </c>
      <c r="O125" s="207"/>
      <c r="P125" s="188"/>
      <c r="Q125" s="188"/>
      <c r="R125" s="188"/>
      <c r="S125" s="188">
        <f>SUM(O125:R125)</f>
        <v>0</v>
      </c>
      <c r="T125" s="189">
        <f>S125+N125+G125</f>
        <v>0</v>
      </c>
      <c r="U125" s="206"/>
    </row>
    <row r="126" spans="1:21" s="185" customFormat="1" x14ac:dyDescent="0.25">
      <c r="A126" s="121" t="s">
        <v>122</v>
      </c>
      <c r="B126" s="186" t="s">
        <v>123</v>
      </c>
      <c r="C126" s="182">
        <f t="shared" ref="C126:T126" si="47">C9+C35+C85+C95+C103+C120+C123</f>
        <v>244505.59</v>
      </c>
      <c r="D126" s="182">
        <f t="shared" si="47"/>
        <v>110071</v>
      </c>
      <c r="E126" s="182">
        <f t="shared" si="47"/>
        <v>39543</v>
      </c>
      <c r="F126" s="182">
        <f t="shared" si="47"/>
        <v>114595.69</v>
      </c>
      <c r="G126" s="182">
        <f t="shared" si="47"/>
        <v>508715.27999999997</v>
      </c>
      <c r="H126" s="182">
        <f t="shared" si="47"/>
        <v>32000</v>
      </c>
      <c r="I126" s="182">
        <f t="shared" si="47"/>
        <v>1043365.44</v>
      </c>
      <c r="J126" s="182">
        <f t="shared" si="47"/>
        <v>0</v>
      </c>
      <c r="K126" s="182">
        <f t="shared" si="47"/>
        <v>85000</v>
      </c>
      <c r="L126" s="182">
        <f t="shared" si="47"/>
        <v>0</v>
      </c>
      <c r="M126" s="182">
        <f t="shared" si="47"/>
        <v>365780.4</v>
      </c>
      <c r="N126" s="182">
        <f t="shared" si="47"/>
        <v>1526145.8399999999</v>
      </c>
      <c r="O126" s="182">
        <f t="shared" si="47"/>
        <v>289869.92</v>
      </c>
      <c r="P126" s="182">
        <f t="shared" si="47"/>
        <v>56585.589999999989</v>
      </c>
      <c r="Q126" s="182">
        <f t="shared" si="47"/>
        <v>15284</v>
      </c>
      <c r="R126" s="182">
        <f t="shared" si="47"/>
        <v>72324.28</v>
      </c>
      <c r="S126" s="182">
        <f>S9+S35+S85+S95+S103+S120+S123</f>
        <v>434063.79</v>
      </c>
      <c r="T126" s="182">
        <f t="shared" si="47"/>
        <v>1868581.1400000001</v>
      </c>
      <c r="U126" s="206"/>
    </row>
    <row r="127" spans="1:21" s="185" customFormat="1" x14ac:dyDescent="0.25">
      <c r="A127" s="121" t="s">
        <v>122</v>
      </c>
      <c r="B127" s="186" t="s">
        <v>124</v>
      </c>
      <c r="C127" s="182">
        <f t="shared" ref="C127:L128" si="48">C126</f>
        <v>244505.59</v>
      </c>
      <c r="D127" s="182">
        <f t="shared" si="48"/>
        <v>110071</v>
      </c>
      <c r="E127" s="182">
        <f t="shared" si="48"/>
        <v>39543</v>
      </c>
      <c r="F127" s="182">
        <f t="shared" si="48"/>
        <v>114595.69</v>
      </c>
      <c r="G127" s="204">
        <f t="shared" si="48"/>
        <v>508715.27999999997</v>
      </c>
      <c r="H127" s="205">
        <f t="shared" si="48"/>
        <v>32000</v>
      </c>
      <c r="I127" s="182">
        <f t="shared" si="48"/>
        <v>1043365.44</v>
      </c>
      <c r="J127" s="182">
        <f t="shared" si="48"/>
        <v>0</v>
      </c>
      <c r="K127" s="182">
        <f t="shared" si="48"/>
        <v>85000</v>
      </c>
      <c r="L127" s="182">
        <f t="shared" si="48"/>
        <v>0</v>
      </c>
      <c r="M127" s="182">
        <f t="shared" ref="M127:T128" si="49">M126</f>
        <v>365780.4</v>
      </c>
      <c r="N127" s="183">
        <f t="shared" si="49"/>
        <v>1526145.8399999999</v>
      </c>
      <c r="O127" s="205">
        <f t="shared" si="49"/>
        <v>289869.92</v>
      </c>
      <c r="P127" s="182">
        <f t="shared" si="49"/>
        <v>56585.589999999989</v>
      </c>
      <c r="Q127" s="182">
        <f t="shared" si="49"/>
        <v>15284</v>
      </c>
      <c r="R127" s="182">
        <f t="shared" si="49"/>
        <v>72324.28</v>
      </c>
      <c r="S127" s="182">
        <f>S126</f>
        <v>434063.79</v>
      </c>
      <c r="T127" s="183">
        <f t="shared" si="49"/>
        <v>1868581.1400000001</v>
      </c>
      <c r="U127" s="206"/>
    </row>
    <row r="128" spans="1:21" s="185" customFormat="1" ht="15.75" thickBot="1" x14ac:dyDescent="0.3">
      <c r="A128" s="228" t="s">
        <v>125</v>
      </c>
      <c r="B128" s="229"/>
      <c r="C128" s="182">
        <f t="shared" si="48"/>
        <v>244505.59</v>
      </c>
      <c r="D128" s="182">
        <f t="shared" si="48"/>
        <v>110071</v>
      </c>
      <c r="E128" s="182">
        <f t="shared" si="48"/>
        <v>39543</v>
      </c>
      <c r="F128" s="182">
        <f t="shared" si="48"/>
        <v>114595.69</v>
      </c>
      <c r="G128" s="204">
        <f t="shared" si="48"/>
        <v>508715.27999999997</v>
      </c>
      <c r="H128" s="230">
        <f t="shared" si="48"/>
        <v>32000</v>
      </c>
      <c r="I128" s="231">
        <f t="shared" si="48"/>
        <v>1043365.44</v>
      </c>
      <c r="J128" s="231">
        <f t="shared" si="48"/>
        <v>0</v>
      </c>
      <c r="K128" s="231">
        <f t="shared" si="48"/>
        <v>85000</v>
      </c>
      <c r="L128" s="231">
        <f t="shared" si="48"/>
        <v>0</v>
      </c>
      <c r="M128" s="231">
        <f t="shared" si="49"/>
        <v>365780.4</v>
      </c>
      <c r="N128" s="232">
        <f t="shared" si="49"/>
        <v>1526145.8399999999</v>
      </c>
      <c r="O128" s="230">
        <f t="shared" si="49"/>
        <v>289869.92</v>
      </c>
      <c r="P128" s="231">
        <f t="shared" si="49"/>
        <v>56585.589999999989</v>
      </c>
      <c r="Q128" s="231">
        <f t="shared" si="49"/>
        <v>15284</v>
      </c>
      <c r="R128" s="231">
        <f t="shared" si="49"/>
        <v>72324.28</v>
      </c>
      <c r="S128" s="231">
        <f>S127</f>
        <v>434063.79</v>
      </c>
      <c r="T128" s="232">
        <f t="shared" si="49"/>
        <v>1868581.1400000001</v>
      </c>
      <c r="U128" s="206"/>
    </row>
    <row r="129" spans="18:21" hidden="1" x14ac:dyDescent="0.25"/>
    <row r="130" spans="18:21" hidden="1" x14ac:dyDescent="0.25"/>
    <row r="131" spans="18:21" hidden="1" x14ac:dyDescent="0.25">
      <c r="R131" s="92"/>
      <c r="S131">
        <v>434063.79</v>
      </c>
      <c r="T131" s="91">
        <v>317393.84000000003</v>
      </c>
      <c r="U131" s="85"/>
    </row>
    <row r="132" spans="18:21" hidden="1" x14ac:dyDescent="0.25">
      <c r="S132" s="90">
        <f>S131-S126</f>
        <v>0</v>
      </c>
    </row>
    <row r="133" spans="18:21" hidden="1" x14ac:dyDescent="0.25"/>
    <row r="134" spans="18:21" hidden="1" x14ac:dyDescent="0.25"/>
    <row r="135" spans="18:21" hidden="1" x14ac:dyDescent="0.25"/>
    <row r="136" spans="18:21" hidden="1" x14ac:dyDescent="0.25"/>
    <row r="137" spans="18:21" hidden="1" x14ac:dyDescent="0.25"/>
    <row r="138" spans="18:21" hidden="1" x14ac:dyDescent="0.25"/>
    <row r="139" spans="18:21" hidden="1" x14ac:dyDescent="0.25"/>
    <row r="140" spans="18:21" hidden="1" x14ac:dyDescent="0.25"/>
    <row r="141" spans="18:21" hidden="1" x14ac:dyDescent="0.25"/>
    <row r="142" spans="18:21" hidden="1" x14ac:dyDescent="0.25"/>
    <row r="143" spans="18:21" hidden="1" x14ac:dyDescent="0.25"/>
    <row r="144" spans="18:21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4" spans="19:19" x14ac:dyDescent="0.25">
      <c r="S194" s="88"/>
    </row>
  </sheetData>
  <mergeCells count="11">
    <mergeCell ref="A1:T1"/>
    <mergeCell ref="A2:T2"/>
    <mergeCell ref="O4:S4"/>
    <mergeCell ref="C5:G5"/>
    <mergeCell ref="H5:N5"/>
    <mergeCell ref="O5:S5"/>
    <mergeCell ref="C6:G6"/>
    <mergeCell ref="O6:S6"/>
    <mergeCell ref="C7:G7"/>
    <mergeCell ref="O7:S7"/>
    <mergeCell ref="A3:T3"/>
  </mergeCells>
  <pageMargins left="0.51181102362204722" right="0.51181102362204722" top="0.55118110236220474" bottom="0.55118110236220474" header="0.31496062992125984" footer="0.31496062992125984"/>
  <pageSetup scale="110" orientation="landscape" horizont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opLeftCell="A3" zoomScale="170" zoomScaleNormal="170" workbookViewId="0">
      <selection activeCell="A3" sqref="A3:G3"/>
    </sheetView>
  </sheetViews>
  <sheetFormatPr baseColWidth="10" defaultColWidth="14" defaultRowHeight="15" x14ac:dyDescent="0.25"/>
  <cols>
    <col min="1" max="1" width="8.7109375" customWidth="1"/>
    <col min="2" max="2" width="37.28515625" customWidth="1"/>
    <col min="3" max="3" width="13" customWidth="1"/>
    <col min="4" max="4" width="13.42578125" customWidth="1"/>
    <col min="5" max="5" width="12.140625" customWidth="1"/>
    <col min="6" max="6" width="14" customWidth="1"/>
    <col min="7" max="7" width="13.85546875" customWidth="1"/>
    <col min="8" max="9" width="14" customWidth="1"/>
    <col min="10" max="10" width="16.28515625" customWidth="1"/>
  </cols>
  <sheetData>
    <row r="1" spans="1:12" ht="23.25" hidden="1" x14ac:dyDescent="0.35">
      <c r="A1" s="166" t="s">
        <v>6</v>
      </c>
      <c r="B1" s="166"/>
      <c r="C1" s="166"/>
      <c r="D1" s="166"/>
      <c r="E1" s="166"/>
      <c r="F1" s="166"/>
      <c r="G1" s="166"/>
      <c r="H1" s="3"/>
      <c r="I1" s="3"/>
      <c r="J1" s="3"/>
    </row>
    <row r="2" spans="1:12" ht="23.25" hidden="1" x14ac:dyDescent="0.35">
      <c r="A2" s="166" t="s">
        <v>208</v>
      </c>
      <c r="B2" s="166"/>
      <c r="C2" s="166"/>
      <c r="D2" s="166"/>
      <c r="E2" s="166"/>
      <c r="F2" s="166"/>
      <c r="G2" s="166"/>
      <c r="H2" s="3"/>
      <c r="I2" s="3"/>
      <c r="J2" s="3"/>
    </row>
    <row r="3" spans="1:12" ht="24" thickBot="1" x14ac:dyDescent="0.4">
      <c r="A3" s="166" t="s">
        <v>209</v>
      </c>
      <c r="B3" s="166"/>
      <c r="C3" s="166"/>
      <c r="D3" s="166"/>
      <c r="E3" s="166"/>
      <c r="F3" s="166"/>
      <c r="G3" s="166"/>
      <c r="H3" s="3"/>
      <c r="I3" s="3"/>
      <c r="J3" s="3"/>
    </row>
    <row r="4" spans="1:12" ht="15.75" thickBot="1" x14ac:dyDescent="0.3">
      <c r="A4" s="48"/>
      <c r="B4" s="49"/>
      <c r="C4" s="167" t="s">
        <v>7</v>
      </c>
      <c r="D4" s="168"/>
      <c r="E4" s="168"/>
      <c r="F4" s="168"/>
      <c r="G4" s="169"/>
      <c r="H4" s="50"/>
      <c r="I4" s="50"/>
      <c r="J4" s="50"/>
    </row>
    <row r="5" spans="1:12" x14ac:dyDescent="0.25">
      <c r="A5" s="51"/>
      <c r="B5" s="52"/>
      <c r="C5" s="170" t="s">
        <v>8</v>
      </c>
      <c r="D5" s="170"/>
      <c r="E5" s="170"/>
      <c r="F5" s="170"/>
      <c r="G5" s="171"/>
      <c r="H5" s="50"/>
      <c r="I5" s="50"/>
      <c r="J5" s="50"/>
    </row>
    <row r="6" spans="1:12" x14ac:dyDescent="0.25">
      <c r="A6" s="53" t="s">
        <v>9</v>
      </c>
      <c r="B6" s="54" t="s">
        <v>10</v>
      </c>
      <c r="C6" s="172" t="s">
        <v>11</v>
      </c>
      <c r="D6" s="172"/>
      <c r="E6" s="172"/>
      <c r="F6" s="172"/>
      <c r="G6" s="173"/>
      <c r="H6" s="50"/>
      <c r="I6" s="50"/>
      <c r="J6" s="50"/>
    </row>
    <row r="7" spans="1:12" x14ac:dyDescent="0.25">
      <c r="A7" s="51"/>
      <c r="B7" s="52"/>
      <c r="C7" s="164" t="s">
        <v>12</v>
      </c>
      <c r="D7" s="164"/>
      <c r="E7" s="164"/>
      <c r="F7" s="164"/>
      <c r="G7" s="165"/>
      <c r="H7" s="50"/>
      <c r="I7" s="50"/>
      <c r="J7" s="50"/>
    </row>
    <row r="8" spans="1:12" ht="25.5" thickBot="1" x14ac:dyDescent="0.3">
      <c r="A8" s="55"/>
      <c r="B8" s="56"/>
      <c r="C8" s="57" t="s">
        <v>13</v>
      </c>
      <c r="D8" s="58" t="s">
        <v>14</v>
      </c>
      <c r="E8" s="58" t="s">
        <v>15</v>
      </c>
      <c r="F8" s="58" t="s">
        <v>16</v>
      </c>
      <c r="G8" s="59" t="s">
        <v>127</v>
      </c>
      <c r="H8" s="60"/>
      <c r="I8" s="60"/>
      <c r="J8" s="60"/>
    </row>
    <row r="9" spans="1:12" s="185" customFormat="1" x14ac:dyDescent="0.25">
      <c r="A9" s="199">
        <v>51</v>
      </c>
      <c r="B9" s="200" t="s">
        <v>17</v>
      </c>
      <c r="C9" s="201">
        <f>C10+C14+C18+C21+C27+C30+C24</f>
        <v>102788</v>
      </c>
      <c r="D9" s="201">
        <f>D10+D14+D18+D21+D27+D30+D24</f>
        <v>102243.67</v>
      </c>
      <c r="E9" s="201">
        <f>E10+E14+E18+E21+E27+E30+E24</f>
        <v>20400</v>
      </c>
      <c r="F9" s="201">
        <f>F10+F14+F18+F21+F27+F30+F24</f>
        <v>110474.8</v>
      </c>
      <c r="G9" s="202">
        <f>G10+G14+G18+G21+G27+G30+G24</f>
        <v>335906.47000000003</v>
      </c>
      <c r="H9" s="184"/>
      <c r="I9" s="184"/>
    </row>
    <row r="10" spans="1:12" s="185" customFormat="1" x14ac:dyDescent="0.25">
      <c r="A10" s="75">
        <v>511</v>
      </c>
      <c r="B10" s="186" t="s">
        <v>18</v>
      </c>
      <c r="C10" s="182">
        <f>C11+C12+C13</f>
        <v>102588</v>
      </c>
      <c r="D10" s="182">
        <f>D11+D12+D13</f>
        <v>102243.67</v>
      </c>
      <c r="E10" s="182">
        <f>E11+E12+E13</f>
        <v>20400</v>
      </c>
      <c r="F10" s="182">
        <f>F11+F12+F13</f>
        <v>110474.8</v>
      </c>
      <c r="G10" s="183">
        <f>G11+G12+G13</f>
        <v>335706.47000000003</v>
      </c>
      <c r="H10" s="184"/>
      <c r="I10" s="184"/>
      <c r="J10" s="184"/>
    </row>
    <row r="11" spans="1:12" s="185" customFormat="1" x14ac:dyDescent="0.25">
      <c r="A11" s="74">
        <v>51101</v>
      </c>
      <c r="B11" s="187" t="s">
        <v>19</v>
      </c>
      <c r="C11" s="188">
        <v>38025</v>
      </c>
      <c r="D11" s="188">
        <v>90215.01</v>
      </c>
      <c r="E11" s="188">
        <v>18000</v>
      </c>
      <c r="F11" s="188">
        <f>89190</f>
        <v>89190</v>
      </c>
      <c r="G11" s="189">
        <f>C11+D11+E11+F11</f>
        <v>235430.01</v>
      </c>
      <c r="H11" s="191"/>
      <c r="I11" s="191"/>
      <c r="J11" s="191"/>
      <c r="K11" s="192"/>
      <c r="L11" s="193"/>
    </row>
    <row r="12" spans="1:12" s="185" customFormat="1" x14ac:dyDescent="0.25">
      <c r="A12" s="74">
        <v>51103</v>
      </c>
      <c r="B12" s="187" t="s">
        <v>20</v>
      </c>
      <c r="C12" s="188">
        <v>4563</v>
      </c>
      <c r="D12" s="188">
        <v>12028.66</v>
      </c>
      <c r="E12" s="188">
        <v>2400</v>
      </c>
      <c r="F12" s="188">
        <f>9406+11878.8</f>
        <v>21284.799999999999</v>
      </c>
      <c r="G12" s="189">
        <f>C12+D12+E12+F12</f>
        <v>40276.46</v>
      </c>
      <c r="H12" s="191"/>
      <c r="I12" s="191"/>
      <c r="J12" s="191"/>
    </row>
    <row r="13" spans="1:12" s="185" customFormat="1" x14ac:dyDescent="0.25">
      <c r="A13" s="74">
        <v>51105</v>
      </c>
      <c r="B13" s="187" t="s">
        <v>21</v>
      </c>
      <c r="C13" s="188">
        <v>60000</v>
      </c>
      <c r="D13" s="188"/>
      <c r="E13" s="188"/>
      <c r="F13" s="188"/>
      <c r="G13" s="189">
        <f>C13+D13+E13+F13</f>
        <v>60000</v>
      </c>
      <c r="H13" s="191"/>
      <c r="I13" s="191"/>
      <c r="J13" s="191"/>
      <c r="K13" s="190"/>
    </row>
    <row r="14" spans="1:12" x14ac:dyDescent="0.25">
      <c r="A14" s="61">
        <v>512</v>
      </c>
      <c r="B14" s="62" t="s">
        <v>22</v>
      </c>
      <c r="C14" s="63">
        <f>C15+C16+C17</f>
        <v>100</v>
      </c>
      <c r="D14" s="63">
        <f>D15+D16+D17</f>
        <v>0</v>
      </c>
      <c r="E14" s="63">
        <f>E15+E16+E17</f>
        <v>0</v>
      </c>
      <c r="F14" s="63">
        <f>F15+F16+F17</f>
        <v>0</v>
      </c>
      <c r="G14" s="66">
        <f>G15+G16+G17</f>
        <v>100</v>
      </c>
      <c r="H14" s="67"/>
      <c r="I14" s="67"/>
      <c r="J14" s="67"/>
    </row>
    <row r="15" spans="1:12" x14ac:dyDescent="0.25">
      <c r="A15" s="68">
        <v>51201</v>
      </c>
      <c r="B15" s="69" t="s">
        <v>19</v>
      </c>
      <c r="C15" s="70">
        <v>100</v>
      </c>
      <c r="D15" s="70"/>
      <c r="E15" s="70"/>
      <c r="F15" s="70"/>
      <c r="G15" s="71">
        <f>C15+D15+E15+F15</f>
        <v>100</v>
      </c>
      <c r="H15" s="65"/>
      <c r="I15" s="65"/>
      <c r="J15" s="65"/>
    </row>
    <row r="16" spans="1:12" ht="15" hidden="1" customHeight="1" x14ac:dyDescent="0.25">
      <c r="A16" s="68">
        <v>51202</v>
      </c>
      <c r="B16" s="69" t="s">
        <v>23</v>
      </c>
      <c r="C16" s="70"/>
      <c r="D16" s="70"/>
      <c r="E16" s="70"/>
      <c r="F16" s="70"/>
      <c r="G16" s="71">
        <f t="shared" ref="G16:G81" si="0">C16+D16+E16+F16</f>
        <v>0</v>
      </c>
      <c r="H16" s="65"/>
      <c r="I16" s="65"/>
      <c r="J16" s="65"/>
    </row>
    <row r="17" spans="1:10" ht="15" hidden="1" customHeight="1" x14ac:dyDescent="0.25">
      <c r="A17" s="68">
        <v>51203</v>
      </c>
      <c r="B17" s="69" t="s">
        <v>20</v>
      </c>
      <c r="C17" s="70"/>
      <c r="D17" s="70"/>
      <c r="E17" s="70"/>
      <c r="F17" s="70"/>
      <c r="G17" s="71">
        <f t="shared" si="0"/>
        <v>0</v>
      </c>
      <c r="H17" s="65"/>
      <c r="I17" s="65"/>
      <c r="J17" s="65"/>
    </row>
    <row r="18" spans="1:10" ht="15" hidden="1" customHeight="1" x14ac:dyDescent="0.25">
      <c r="A18" s="61">
        <v>514</v>
      </c>
      <c r="B18" s="62" t="s">
        <v>24</v>
      </c>
      <c r="C18" s="63">
        <f>C19+C20</f>
        <v>0</v>
      </c>
      <c r="D18" s="63">
        <f t="shared" ref="D18:G18" si="1">D19+D20</f>
        <v>0</v>
      </c>
      <c r="E18" s="63">
        <f t="shared" si="1"/>
        <v>0</v>
      </c>
      <c r="F18" s="63">
        <f t="shared" si="1"/>
        <v>0</v>
      </c>
      <c r="G18" s="66">
        <f t="shared" si="1"/>
        <v>0</v>
      </c>
      <c r="H18" s="67"/>
      <c r="I18" s="67"/>
      <c r="J18" s="67"/>
    </row>
    <row r="19" spans="1:10" ht="15" hidden="1" customHeight="1" x14ac:dyDescent="0.25">
      <c r="A19" s="68">
        <v>51401</v>
      </c>
      <c r="B19" s="69" t="s">
        <v>25</v>
      </c>
      <c r="C19" s="70">
        <v>0</v>
      </c>
      <c r="D19" s="70">
        <v>0</v>
      </c>
      <c r="E19" s="70">
        <v>0</v>
      </c>
      <c r="F19" s="70">
        <v>0</v>
      </c>
      <c r="G19" s="71">
        <f t="shared" si="0"/>
        <v>0</v>
      </c>
      <c r="H19" s="65"/>
      <c r="I19" s="65"/>
      <c r="J19" s="65"/>
    </row>
    <row r="20" spans="1:10" ht="15" hidden="1" customHeight="1" x14ac:dyDescent="0.25">
      <c r="A20" s="68">
        <v>51402</v>
      </c>
      <c r="B20" s="69" t="s">
        <v>26</v>
      </c>
      <c r="C20" s="70"/>
      <c r="D20" s="70"/>
      <c r="E20" s="70"/>
      <c r="F20" s="70"/>
      <c r="G20" s="71">
        <f t="shared" si="0"/>
        <v>0</v>
      </c>
      <c r="H20" s="65"/>
      <c r="I20" s="65"/>
      <c r="J20" s="65"/>
    </row>
    <row r="21" spans="1:10" ht="15" hidden="1" customHeight="1" x14ac:dyDescent="0.25">
      <c r="A21" s="61">
        <v>515</v>
      </c>
      <c r="B21" s="62" t="s">
        <v>27</v>
      </c>
      <c r="C21" s="63">
        <f>C22+C23</f>
        <v>0</v>
      </c>
      <c r="D21" s="63">
        <f t="shared" ref="D21:G21" si="2">D22+D23</f>
        <v>0</v>
      </c>
      <c r="E21" s="63">
        <f t="shared" si="2"/>
        <v>0</v>
      </c>
      <c r="F21" s="63">
        <f t="shared" si="2"/>
        <v>0</v>
      </c>
      <c r="G21" s="66">
        <f t="shared" si="2"/>
        <v>0</v>
      </c>
      <c r="H21" s="67"/>
      <c r="I21" s="67"/>
      <c r="J21" s="67"/>
    </row>
    <row r="22" spans="1:10" ht="15" hidden="1" customHeight="1" x14ac:dyDescent="0.25">
      <c r="A22" s="68">
        <v>51501</v>
      </c>
      <c r="B22" s="69" t="s">
        <v>25</v>
      </c>
      <c r="C22" s="70"/>
      <c r="D22" s="70"/>
      <c r="E22" s="70"/>
      <c r="F22" s="70"/>
      <c r="G22" s="71">
        <f t="shared" si="0"/>
        <v>0</v>
      </c>
      <c r="H22" s="65"/>
      <c r="I22" s="65"/>
      <c r="J22" s="65"/>
    </row>
    <row r="23" spans="1:10" ht="15" hidden="1" customHeight="1" x14ac:dyDescent="0.25">
      <c r="A23" s="68">
        <v>51502</v>
      </c>
      <c r="B23" s="69" t="s">
        <v>26</v>
      </c>
      <c r="C23" s="70"/>
      <c r="D23" s="70"/>
      <c r="E23" s="70"/>
      <c r="F23" s="70"/>
      <c r="G23" s="71">
        <f t="shared" si="0"/>
        <v>0</v>
      </c>
      <c r="H23" s="65"/>
      <c r="I23" s="65"/>
      <c r="J23" s="65"/>
    </row>
    <row r="24" spans="1:10" ht="15" hidden="1" customHeight="1" x14ac:dyDescent="0.25">
      <c r="A24" s="61">
        <v>517</v>
      </c>
      <c r="B24" s="62" t="s">
        <v>28</v>
      </c>
      <c r="C24" s="63">
        <f>C25+C26</f>
        <v>0</v>
      </c>
      <c r="D24" s="63">
        <f>D25+D26</f>
        <v>0</v>
      </c>
      <c r="E24" s="63">
        <f t="shared" ref="E24:G24" si="3">E25+E26</f>
        <v>0</v>
      </c>
      <c r="F24" s="63">
        <f t="shared" si="3"/>
        <v>0</v>
      </c>
      <c r="G24" s="66">
        <f t="shared" si="3"/>
        <v>0</v>
      </c>
      <c r="H24" s="67"/>
      <c r="I24" s="67"/>
      <c r="J24" s="67"/>
    </row>
    <row r="25" spans="1:10" ht="15" hidden="1" customHeight="1" x14ac:dyDescent="0.25">
      <c r="A25" s="68">
        <v>51701</v>
      </c>
      <c r="B25" s="69" t="s">
        <v>29</v>
      </c>
      <c r="C25" s="70"/>
      <c r="D25" s="70">
        <v>0</v>
      </c>
      <c r="E25" s="70">
        <v>0</v>
      </c>
      <c r="F25" s="70">
        <v>0</v>
      </c>
      <c r="G25" s="72">
        <v>0</v>
      </c>
      <c r="H25" s="73"/>
      <c r="I25" s="73"/>
      <c r="J25" s="73"/>
    </row>
    <row r="26" spans="1:10" ht="15" hidden="1" customHeight="1" x14ac:dyDescent="0.25">
      <c r="A26" s="68">
        <v>51702</v>
      </c>
      <c r="B26" s="69" t="s">
        <v>30</v>
      </c>
      <c r="C26" s="70"/>
      <c r="D26" s="70"/>
      <c r="E26" s="70"/>
      <c r="F26" s="70"/>
      <c r="G26" s="72">
        <v>0</v>
      </c>
      <c r="H26" s="73"/>
      <c r="I26" s="73"/>
      <c r="J26" s="73"/>
    </row>
    <row r="27" spans="1:10" ht="15" hidden="1" customHeight="1" x14ac:dyDescent="0.25">
      <c r="A27" s="61">
        <v>516</v>
      </c>
      <c r="B27" s="62" t="s">
        <v>31</v>
      </c>
      <c r="C27" s="63">
        <f>C28+C29</f>
        <v>0</v>
      </c>
      <c r="D27" s="63">
        <f t="shared" ref="D27:G27" si="4">D28+D29</f>
        <v>0</v>
      </c>
      <c r="E27" s="63">
        <f t="shared" si="4"/>
        <v>0</v>
      </c>
      <c r="F27" s="63">
        <f t="shared" si="4"/>
        <v>0</v>
      </c>
      <c r="G27" s="66">
        <f t="shared" si="4"/>
        <v>0</v>
      </c>
      <c r="H27" s="67"/>
      <c r="I27" s="67"/>
      <c r="J27" s="67"/>
    </row>
    <row r="28" spans="1:10" ht="15" hidden="1" customHeight="1" x14ac:dyDescent="0.25">
      <c r="A28" s="68">
        <v>51601</v>
      </c>
      <c r="B28" s="69" t="s">
        <v>32</v>
      </c>
      <c r="C28" s="70"/>
      <c r="D28" s="70"/>
      <c r="E28" s="70"/>
      <c r="F28" s="70"/>
      <c r="G28" s="71">
        <f t="shared" si="0"/>
        <v>0</v>
      </c>
      <c r="H28" s="65"/>
      <c r="I28" s="65"/>
      <c r="J28" s="65"/>
    </row>
    <row r="29" spans="1:10" ht="15" hidden="1" customHeight="1" x14ac:dyDescent="0.25">
      <c r="A29" s="68">
        <v>51602</v>
      </c>
      <c r="B29" s="69" t="s">
        <v>33</v>
      </c>
      <c r="C29" s="70"/>
      <c r="D29" s="70"/>
      <c r="E29" s="70"/>
      <c r="F29" s="70"/>
      <c r="G29" s="71">
        <f t="shared" si="0"/>
        <v>0</v>
      </c>
      <c r="H29" s="65"/>
      <c r="I29" s="65"/>
      <c r="J29" s="65"/>
    </row>
    <row r="30" spans="1:10" x14ac:dyDescent="0.25">
      <c r="A30" s="61">
        <v>519</v>
      </c>
      <c r="B30" s="62" t="s">
        <v>34</v>
      </c>
      <c r="C30" s="63">
        <f>C31</f>
        <v>100</v>
      </c>
      <c r="D30" s="63">
        <f t="shared" ref="D30:F30" si="5">D31</f>
        <v>0</v>
      </c>
      <c r="E30" s="63">
        <f t="shared" si="5"/>
        <v>0</v>
      </c>
      <c r="F30" s="63">
        <f t="shared" si="5"/>
        <v>0</v>
      </c>
      <c r="G30" s="66">
        <f>G31</f>
        <v>100</v>
      </c>
      <c r="H30" s="67"/>
      <c r="I30" s="67"/>
      <c r="J30" s="67"/>
    </row>
    <row r="31" spans="1:10" x14ac:dyDescent="0.25">
      <c r="A31" s="68">
        <v>51901</v>
      </c>
      <c r="B31" s="69" t="s">
        <v>35</v>
      </c>
      <c r="C31" s="70">
        <v>100</v>
      </c>
      <c r="D31" s="70"/>
      <c r="E31" s="70"/>
      <c r="F31" s="70"/>
      <c r="G31" s="71">
        <f>C31+D31+E31+F31</f>
        <v>100</v>
      </c>
      <c r="H31" s="65"/>
      <c r="I31" s="65"/>
      <c r="J31" s="65"/>
    </row>
    <row r="32" spans="1:10" x14ac:dyDescent="0.25">
      <c r="A32" s="61">
        <v>54</v>
      </c>
      <c r="B32" s="62" t="s">
        <v>36</v>
      </c>
      <c r="C32" s="63">
        <f>C33+C53+C59</f>
        <v>189822.05</v>
      </c>
      <c r="D32" s="63">
        <f>D33+D53+D59</f>
        <v>2196.4</v>
      </c>
      <c r="E32" s="63">
        <f>E33+E53+E59</f>
        <v>1000</v>
      </c>
      <c r="F32" s="63">
        <f>F33+F53+F59</f>
        <v>2500</v>
      </c>
      <c r="G32" s="66">
        <f>G33+G53+G59+G70+G80+G74</f>
        <v>195518.45</v>
      </c>
      <c r="H32" s="67"/>
      <c r="I32" s="67"/>
      <c r="J32" s="67"/>
    </row>
    <row r="33" spans="1:12" x14ac:dyDescent="0.25">
      <c r="A33" s="61">
        <v>541</v>
      </c>
      <c r="B33" s="62" t="s">
        <v>37</v>
      </c>
      <c r="C33" s="63">
        <f>SUM(C34:C52)</f>
        <v>39572.050000000003</v>
      </c>
      <c r="D33" s="63">
        <f>SUM(D34:D52)</f>
        <v>2196.4</v>
      </c>
      <c r="E33" s="63">
        <f>SUM(E34:E52)</f>
        <v>1000</v>
      </c>
      <c r="F33" s="63">
        <f>SUM(F34:F52)</f>
        <v>2500</v>
      </c>
      <c r="G33" s="66">
        <f>SUM(G34:G52)</f>
        <v>45268.450000000004</v>
      </c>
      <c r="H33" s="67"/>
      <c r="I33" s="67"/>
      <c r="J33" s="67"/>
    </row>
    <row r="34" spans="1:12" x14ac:dyDescent="0.25">
      <c r="A34" s="68">
        <v>54101</v>
      </c>
      <c r="B34" s="69" t="s">
        <v>38</v>
      </c>
      <c r="C34" s="70"/>
      <c r="D34" s="70"/>
      <c r="E34" s="70"/>
      <c r="F34" s="70"/>
      <c r="G34" s="71">
        <f t="shared" si="0"/>
        <v>0</v>
      </c>
      <c r="H34" s="65"/>
      <c r="I34" s="65"/>
      <c r="J34" s="65"/>
    </row>
    <row r="35" spans="1:12" x14ac:dyDescent="0.25">
      <c r="A35" s="68">
        <v>54103</v>
      </c>
      <c r="B35" s="69" t="s">
        <v>39</v>
      </c>
      <c r="C35" s="70"/>
      <c r="D35" s="70"/>
      <c r="E35" s="70"/>
      <c r="F35" s="70"/>
      <c r="G35" s="71">
        <f t="shared" si="0"/>
        <v>0</v>
      </c>
      <c r="H35" s="65"/>
      <c r="I35" s="65"/>
      <c r="J35" s="65"/>
    </row>
    <row r="36" spans="1:12" x14ac:dyDescent="0.25">
      <c r="A36" s="74">
        <v>54104</v>
      </c>
      <c r="B36" s="187" t="s">
        <v>40</v>
      </c>
      <c r="C36" s="188">
        <v>1915.69</v>
      </c>
      <c r="D36" s="188"/>
      <c r="E36" s="188"/>
      <c r="F36" s="188"/>
      <c r="G36" s="189">
        <f>C36+D36+E36+F36</f>
        <v>1915.69</v>
      </c>
      <c r="H36" s="191"/>
      <c r="I36" s="191"/>
      <c r="J36" s="191"/>
      <c r="K36" s="193"/>
      <c r="L36" s="194"/>
    </row>
    <row r="37" spans="1:12" x14ac:dyDescent="0.25">
      <c r="A37" s="74">
        <v>54105</v>
      </c>
      <c r="B37" s="187" t="s">
        <v>41</v>
      </c>
      <c r="C37" s="188">
        <v>6000</v>
      </c>
      <c r="D37" s="188"/>
      <c r="E37" s="188"/>
      <c r="F37" s="188"/>
      <c r="G37" s="189">
        <f>C37+D37+E37+F37</f>
        <v>6000</v>
      </c>
      <c r="H37" s="191"/>
      <c r="I37" s="191"/>
      <c r="J37" s="191"/>
      <c r="K37" s="193"/>
      <c r="L37" s="194"/>
    </row>
    <row r="38" spans="1:12" x14ac:dyDescent="0.25">
      <c r="A38" s="74">
        <v>54106</v>
      </c>
      <c r="B38" s="187" t="s">
        <v>42</v>
      </c>
      <c r="C38" s="188"/>
      <c r="D38" s="188"/>
      <c r="E38" s="188"/>
      <c r="F38" s="188"/>
      <c r="G38" s="189">
        <f t="shared" si="0"/>
        <v>0</v>
      </c>
      <c r="H38" s="191"/>
      <c r="I38" s="191"/>
      <c r="J38" s="191"/>
      <c r="K38" s="193"/>
      <c r="L38" s="194"/>
    </row>
    <row r="39" spans="1:12" x14ac:dyDescent="0.25">
      <c r="A39" s="74">
        <v>54107</v>
      </c>
      <c r="B39" s="187" t="s">
        <v>43</v>
      </c>
      <c r="C39" s="188"/>
      <c r="D39" s="188"/>
      <c r="E39" s="188"/>
      <c r="F39" s="188"/>
      <c r="G39" s="189">
        <f t="shared" si="0"/>
        <v>0</v>
      </c>
      <c r="H39" s="191"/>
      <c r="I39" s="191"/>
      <c r="J39" s="191"/>
      <c r="K39" s="193"/>
      <c r="L39" s="194"/>
    </row>
    <row r="40" spans="1:12" x14ac:dyDescent="0.25">
      <c r="A40" s="74">
        <v>54108</v>
      </c>
      <c r="B40" s="187" t="s">
        <v>44</v>
      </c>
      <c r="C40" s="188"/>
      <c r="D40" s="188"/>
      <c r="E40" s="188"/>
      <c r="F40" s="188"/>
      <c r="G40" s="189">
        <f t="shared" si="0"/>
        <v>0</v>
      </c>
      <c r="H40" s="191"/>
      <c r="I40" s="191"/>
      <c r="J40" s="191"/>
      <c r="K40" s="193"/>
      <c r="L40" s="194"/>
    </row>
    <row r="41" spans="1:12" x14ac:dyDescent="0.25">
      <c r="A41" s="74">
        <v>54109</v>
      </c>
      <c r="B41" s="187" t="s">
        <v>45</v>
      </c>
      <c r="C41" s="188">
        <v>1000</v>
      </c>
      <c r="D41" s="188"/>
      <c r="E41" s="188"/>
      <c r="F41" s="188"/>
      <c r="G41" s="189">
        <f>C41+D41+E41+F41</f>
        <v>1000</v>
      </c>
      <c r="H41" s="191"/>
      <c r="I41" s="191"/>
      <c r="J41" s="191"/>
      <c r="K41" s="193"/>
      <c r="L41" s="194"/>
    </row>
    <row r="42" spans="1:12" x14ac:dyDescent="0.25">
      <c r="A42" s="74">
        <v>54110</v>
      </c>
      <c r="B42" s="187" t="s">
        <v>46</v>
      </c>
      <c r="C42" s="188">
        <v>6000</v>
      </c>
      <c r="D42" s="188">
        <v>1000</v>
      </c>
      <c r="E42" s="188">
        <v>1000</v>
      </c>
      <c r="F42" s="188">
        <v>2500</v>
      </c>
      <c r="G42" s="189">
        <f>C42+D42+E42+F42</f>
        <v>10500</v>
      </c>
      <c r="H42" s="191"/>
      <c r="I42" s="191"/>
      <c r="J42" s="191"/>
      <c r="K42" s="193"/>
      <c r="L42" s="194"/>
    </row>
    <row r="43" spans="1:12" x14ac:dyDescent="0.25">
      <c r="A43" s="74">
        <v>54111</v>
      </c>
      <c r="B43" s="187" t="s">
        <v>47</v>
      </c>
      <c r="C43" s="188"/>
      <c r="D43" s="188"/>
      <c r="E43" s="188"/>
      <c r="F43" s="188"/>
      <c r="G43" s="189">
        <f t="shared" si="0"/>
        <v>0</v>
      </c>
      <c r="H43" s="191"/>
      <c r="I43" s="191"/>
      <c r="J43" s="191"/>
      <c r="K43" s="193"/>
      <c r="L43" s="194"/>
    </row>
    <row r="44" spans="1:12" x14ac:dyDescent="0.25">
      <c r="A44" s="74">
        <v>54112</v>
      </c>
      <c r="B44" s="187" t="s">
        <v>48</v>
      </c>
      <c r="C44" s="188"/>
      <c r="D44" s="188"/>
      <c r="E44" s="188"/>
      <c r="F44" s="188"/>
      <c r="G44" s="189">
        <f t="shared" si="0"/>
        <v>0</v>
      </c>
      <c r="H44" s="191"/>
      <c r="I44" s="191"/>
      <c r="J44" s="191"/>
      <c r="K44" s="193"/>
      <c r="L44" s="194"/>
    </row>
    <row r="45" spans="1:12" x14ac:dyDescent="0.25">
      <c r="A45" s="74">
        <v>54114</v>
      </c>
      <c r="B45" s="187" t="s">
        <v>49</v>
      </c>
      <c r="C45" s="188">
        <v>5000</v>
      </c>
      <c r="D45" s="188">
        <v>1196.4000000000001</v>
      </c>
      <c r="E45" s="188"/>
      <c r="F45" s="188"/>
      <c r="G45" s="189">
        <f>C45+D45+E45+F45</f>
        <v>6196.4</v>
      </c>
      <c r="H45" s="191"/>
      <c r="I45" s="191"/>
      <c r="J45" s="191"/>
      <c r="K45" s="193"/>
      <c r="L45" s="194"/>
    </row>
    <row r="46" spans="1:12" x14ac:dyDescent="0.25">
      <c r="A46" s="74">
        <v>54115</v>
      </c>
      <c r="B46" s="187" t="s">
        <v>50</v>
      </c>
      <c r="C46" s="188">
        <v>8000</v>
      </c>
      <c r="D46" s="188"/>
      <c r="E46" s="188"/>
      <c r="F46" s="188"/>
      <c r="G46" s="189">
        <f>C46+D46+E46+F46</f>
        <v>8000</v>
      </c>
      <c r="H46" s="191"/>
      <c r="I46" s="191"/>
      <c r="J46" s="191"/>
      <c r="K46" s="193"/>
      <c r="L46" s="194"/>
    </row>
    <row r="47" spans="1:12" x14ac:dyDescent="0.25">
      <c r="A47" s="74">
        <v>54116</v>
      </c>
      <c r="B47" s="187" t="s">
        <v>51</v>
      </c>
      <c r="C47" s="188"/>
      <c r="D47" s="188"/>
      <c r="E47" s="188"/>
      <c r="F47" s="188"/>
      <c r="G47" s="189">
        <f t="shared" si="0"/>
        <v>0</v>
      </c>
      <c r="H47" s="191"/>
      <c r="I47" s="191"/>
      <c r="J47" s="191"/>
      <c r="K47" s="193"/>
      <c r="L47" s="194"/>
    </row>
    <row r="48" spans="1:12" x14ac:dyDescent="0.25">
      <c r="A48" s="74">
        <v>54118</v>
      </c>
      <c r="B48" s="187" t="s">
        <v>52</v>
      </c>
      <c r="C48" s="188">
        <v>2000</v>
      </c>
      <c r="D48" s="188"/>
      <c r="E48" s="188"/>
      <c r="F48" s="188"/>
      <c r="G48" s="189">
        <f t="shared" si="0"/>
        <v>2000</v>
      </c>
      <c r="H48" s="191"/>
      <c r="I48" s="191"/>
      <c r="J48" s="191"/>
      <c r="K48" s="193"/>
      <c r="L48" s="194"/>
    </row>
    <row r="49" spans="1:13" x14ac:dyDescent="0.25">
      <c r="A49" s="74">
        <v>54119</v>
      </c>
      <c r="B49" s="187" t="s">
        <v>53</v>
      </c>
      <c r="C49" s="188"/>
      <c r="D49" s="188"/>
      <c r="E49" s="188"/>
      <c r="F49" s="188"/>
      <c r="G49" s="189">
        <f t="shared" si="0"/>
        <v>0</v>
      </c>
      <c r="H49" s="191"/>
      <c r="I49" s="191"/>
      <c r="J49" s="191"/>
      <c r="K49" s="193"/>
      <c r="L49" s="194"/>
    </row>
    <row r="50" spans="1:13" ht="15" hidden="1" customHeight="1" x14ac:dyDescent="0.25">
      <c r="A50" s="74">
        <v>54120</v>
      </c>
      <c r="B50" s="187"/>
      <c r="C50" s="188"/>
      <c r="D50" s="188"/>
      <c r="E50" s="188"/>
      <c r="F50" s="188"/>
      <c r="G50" s="189"/>
      <c r="H50" s="191"/>
      <c r="I50" s="191"/>
      <c r="J50" s="191"/>
      <c r="K50" s="193"/>
      <c r="L50" s="194"/>
    </row>
    <row r="51" spans="1:13" x14ac:dyDescent="0.25">
      <c r="A51" s="74">
        <v>54121</v>
      </c>
      <c r="B51" s="187" t="s">
        <v>54</v>
      </c>
      <c r="C51" s="188">
        <v>5000</v>
      </c>
      <c r="D51" s="188"/>
      <c r="E51" s="188"/>
      <c r="F51" s="188"/>
      <c r="G51" s="189">
        <f>C51+D51+E51+F51</f>
        <v>5000</v>
      </c>
      <c r="H51" s="191"/>
      <c r="I51" s="191"/>
      <c r="J51" s="191"/>
      <c r="K51" s="193"/>
      <c r="L51" s="194"/>
    </row>
    <row r="52" spans="1:13" x14ac:dyDescent="0.25">
      <c r="A52" s="74">
        <v>54199</v>
      </c>
      <c r="B52" s="187" t="s">
        <v>37</v>
      </c>
      <c r="C52" s="188">
        <v>4656.3599999999997</v>
      </c>
      <c r="D52" s="188"/>
      <c r="E52" s="188"/>
      <c r="F52" s="188"/>
      <c r="G52" s="189">
        <f t="shared" si="0"/>
        <v>4656.3599999999997</v>
      </c>
      <c r="H52" s="191"/>
      <c r="I52" s="191"/>
      <c r="J52" s="191"/>
      <c r="K52" s="193"/>
      <c r="L52" s="194"/>
    </row>
    <row r="53" spans="1:13" x14ac:dyDescent="0.25">
      <c r="A53" s="75">
        <v>542</v>
      </c>
      <c r="B53" s="186" t="s">
        <v>55</v>
      </c>
      <c r="C53" s="182">
        <f>SUM(C54:C58)</f>
        <v>150250</v>
      </c>
      <c r="D53" s="182">
        <f t="shared" ref="D53:F53" si="6">SUM(D54:D58)</f>
        <v>0</v>
      </c>
      <c r="E53" s="182">
        <f t="shared" si="6"/>
        <v>0</v>
      </c>
      <c r="F53" s="182">
        <f t="shared" si="6"/>
        <v>0</v>
      </c>
      <c r="G53" s="183">
        <f>SUM(G54:G58)</f>
        <v>150250</v>
      </c>
      <c r="H53" s="184"/>
      <c r="I53" s="184"/>
      <c r="J53" s="184"/>
      <c r="K53" s="193"/>
      <c r="L53" s="194"/>
    </row>
    <row r="54" spans="1:13" x14ac:dyDescent="0.25">
      <c r="A54" s="74">
        <v>54201</v>
      </c>
      <c r="B54" s="187" t="s">
        <v>56</v>
      </c>
      <c r="C54" s="188">
        <f>49000+11000</f>
        <v>60000</v>
      </c>
      <c r="D54" s="188"/>
      <c r="E54" s="188"/>
      <c r="F54" s="188"/>
      <c r="G54" s="189">
        <f t="shared" si="0"/>
        <v>60000</v>
      </c>
      <c r="H54" s="191"/>
      <c r="I54" s="191"/>
      <c r="J54" s="195"/>
      <c r="K54" s="193"/>
      <c r="L54" s="194"/>
    </row>
    <row r="55" spans="1:13" x14ac:dyDescent="0.25">
      <c r="A55" s="74">
        <v>54202</v>
      </c>
      <c r="B55" s="187" t="s">
        <v>57</v>
      </c>
      <c r="C55" s="188">
        <f>6550+1300</f>
        <v>7850</v>
      </c>
      <c r="D55" s="188"/>
      <c r="E55" s="188"/>
      <c r="F55" s="188"/>
      <c r="G55" s="189">
        <f t="shared" si="0"/>
        <v>7850</v>
      </c>
      <c r="H55" s="191"/>
      <c r="I55" s="191"/>
      <c r="J55" s="191"/>
      <c r="K55" s="193"/>
      <c r="L55" s="193"/>
      <c r="M55" s="64"/>
    </row>
    <row r="56" spans="1:13" x14ac:dyDescent="0.25">
      <c r="A56" s="74">
        <v>54203</v>
      </c>
      <c r="B56" s="187" t="s">
        <v>58</v>
      </c>
      <c r="C56" s="188">
        <v>5400</v>
      </c>
      <c r="D56" s="188"/>
      <c r="E56" s="188"/>
      <c r="F56" s="188"/>
      <c r="G56" s="189">
        <f t="shared" si="0"/>
        <v>5400</v>
      </c>
      <c r="H56" s="191"/>
      <c r="I56" s="191"/>
      <c r="J56" s="191"/>
      <c r="K56" s="193"/>
      <c r="L56" s="194"/>
    </row>
    <row r="57" spans="1:13" ht="15" hidden="1" customHeight="1" x14ac:dyDescent="0.25">
      <c r="A57" s="74">
        <v>54204</v>
      </c>
      <c r="B57" s="187" t="s">
        <v>59</v>
      </c>
      <c r="C57" s="188"/>
      <c r="D57" s="188"/>
      <c r="E57" s="188"/>
      <c r="F57" s="188"/>
      <c r="G57" s="189">
        <f t="shared" si="0"/>
        <v>0</v>
      </c>
      <c r="H57" s="191"/>
      <c r="I57" s="191"/>
      <c r="J57" s="191"/>
      <c r="K57" s="193"/>
      <c r="L57" s="194"/>
    </row>
    <row r="58" spans="1:13" x14ac:dyDescent="0.25">
      <c r="A58" s="74">
        <v>54205</v>
      </c>
      <c r="B58" s="187" t="s">
        <v>60</v>
      </c>
      <c r="C58" s="188">
        <v>77000</v>
      </c>
      <c r="D58" s="188"/>
      <c r="E58" s="188"/>
      <c r="F58" s="188"/>
      <c r="G58" s="189">
        <f>C58+D58+E58+F58</f>
        <v>77000</v>
      </c>
      <c r="H58" s="191"/>
      <c r="I58" s="191"/>
      <c r="J58" s="191"/>
      <c r="K58" s="193"/>
      <c r="L58" s="194"/>
    </row>
    <row r="59" spans="1:13" ht="15" hidden="1" customHeight="1" x14ac:dyDescent="0.25">
      <c r="A59" s="75">
        <v>543</v>
      </c>
      <c r="B59" s="62" t="s">
        <v>61</v>
      </c>
      <c r="C59" s="63">
        <f>SUM(C60:C69)</f>
        <v>0</v>
      </c>
      <c r="D59" s="63">
        <f t="shared" ref="D59:F59" si="7">SUM(D60:D69)</f>
        <v>0</v>
      </c>
      <c r="E59" s="63">
        <f t="shared" si="7"/>
        <v>0</v>
      </c>
      <c r="F59" s="63">
        <f t="shared" si="7"/>
        <v>0</v>
      </c>
      <c r="G59" s="66">
        <f>SUM(G60:G69)</f>
        <v>0</v>
      </c>
      <c r="H59" s="184"/>
      <c r="I59" s="184"/>
      <c r="J59" s="184"/>
      <c r="K59" s="193"/>
      <c r="L59" s="194"/>
    </row>
    <row r="60" spans="1:13" ht="15" hidden="1" customHeight="1" x14ac:dyDescent="0.25">
      <c r="A60" s="74">
        <v>54301</v>
      </c>
      <c r="B60" s="69" t="s">
        <v>62</v>
      </c>
      <c r="C60" s="70"/>
      <c r="D60" s="70"/>
      <c r="E60" s="70"/>
      <c r="F60" s="70"/>
      <c r="G60" s="71">
        <f t="shared" si="0"/>
        <v>0</v>
      </c>
      <c r="H60" s="191"/>
      <c r="I60" s="191"/>
      <c r="J60" s="191"/>
      <c r="K60" s="193"/>
      <c r="L60" s="194"/>
    </row>
    <row r="61" spans="1:13" ht="15" hidden="1" customHeight="1" x14ac:dyDescent="0.25">
      <c r="A61" s="74">
        <v>54302</v>
      </c>
      <c r="B61" s="69" t="s">
        <v>63</v>
      </c>
      <c r="C61" s="70"/>
      <c r="D61" s="70"/>
      <c r="E61" s="70"/>
      <c r="F61" s="70"/>
      <c r="G61" s="71">
        <f t="shared" si="0"/>
        <v>0</v>
      </c>
      <c r="H61" s="191"/>
      <c r="I61" s="191"/>
      <c r="J61" s="191"/>
      <c r="K61" s="193"/>
      <c r="L61" s="194"/>
    </row>
    <row r="62" spans="1:13" ht="15" hidden="1" customHeight="1" x14ac:dyDescent="0.25">
      <c r="A62" s="74">
        <v>54303</v>
      </c>
      <c r="B62" s="69" t="s">
        <v>64</v>
      </c>
      <c r="C62" s="70"/>
      <c r="D62" s="70"/>
      <c r="E62" s="70"/>
      <c r="F62" s="70"/>
      <c r="G62" s="71">
        <f t="shared" si="0"/>
        <v>0</v>
      </c>
      <c r="H62" s="191"/>
      <c r="I62" s="191"/>
      <c r="J62" s="191"/>
      <c r="K62" s="193"/>
      <c r="L62" s="194"/>
    </row>
    <row r="63" spans="1:13" ht="15" hidden="1" customHeight="1" x14ac:dyDescent="0.25">
      <c r="A63" s="74">
        <v>54304</v>
      </c>
      <c r="B63" s="69" t="s">
        <v>65</v>
      </c>
      <c r="C63" s="70"/>
      <c r="D63" s="70"/>
      <c r="E63" s="70"/>
      <c r="F63" s="70"/>
      <c r="G63" s="71">
        <f t="shared" si="0"/>
        <v>0</v>
      </c>
      <c r="H63" s="191"/>
      <c r="I63" s="191"/>
      <c r="J63" s="191"/>
      <c r="K63" s="193"/>
      <c r="L63" s="194"/>
    </row>
    <row r="64" spans="1:13" ht="15" hidden="1" customHeight="1" x14ac:dyDescent="0.25">
      <c r="A64" s="74">
        <v>54305</v>
      </c>
      <c r="B64" s="69" t="s">
        <v>66</v>
      </c>
      <c r="C64" s="70"/>
      <c r="D64" s="70"/>
      <c r="E64" s="70"/>
      <c r="F64" s="70"/>
      <c r="G64" s="71">
        <f t="shared" si="0"/>
        <v>0</v>
      </c>
      <c r="H64" s="191"/>
      <c r="I64" s="191"/>
      <c r="J64" s="191"/>
      <c r="K64" s="193"/>
      <c r="L64" s="194"/>
    </row>
    <row r="65" spans="1:12" ht="15" hidden="1" customHeight="1" x14ac:dyDescent="0.25">
      <c r="A65" s="74">
        <v>54307</v>
      </c>
      <c r="B65" s="69" t="s">
        <v>67</v>
      </c>
      <c r="C65" s="70"/>
      <c r="D65" s="70"/>
      <c r="E65" s="70"/>
      <c r="F65" s="70"/>
      <c r="G65" s="71">
        <f t="shared" si="0"/>
        <v>0</v>
      </c>
      <c r="H65" s="191"/>
      <c r="I65" s="191"/>
      <c r="J65" s="191"/>
      <c r="K65" s="193"/>
      <c r="L65" s="194"/>
    </row>
    <row r="66" spans="1:12" ht="15" hidden="1" customHeight="1" x14ac:dyDescent="0.25">
      <c r="A66" s="74">
        <v>54311</v>
      </c>
      <c r="B66" s="69" t="s">
        <v>68</v>
      </c>
      <c r="C66" s="70"/>
      <c r="D66" s="70"/>
      <c r="E66" s="70"/>
      <c r="F66" s="70"/>
      <c r="G66" s="71">
        <f t="shared" si="0"/>
        <v>0</v>
      </c>
      <c r="H66" s="191"/>
      <c r="I66" s="191"/>
      <c r="J66" s="191"/>
      <c r="K66" s="193"/>
      <c r="L66" s="194"/>
    </row>
    <row r="67" spans="1:12" ht="15" hidden="1" customHeight="1" x14ac:dyDescent="0.25">
      <c r="A67" s="74">
        <v>54313</v>
      </c>
      <c r="B67" s="69" t="s">
        <v>69</v>
      </c>
      <c r="C67" s="70"/>
      <c r="D67" s="70"/>
      <c r="E67" s="70"/>
      <c r="F67" s="70"/>
      <c r="G67" s="71">
        <f t="shared" si="0"/>
        <v>0</v>
      </c>
      <c r="H67" s="191"/>
      <c r="I67" s="191"/>
      <c r="J67" s="191"/>
      <c r="K67" s="193"/>
      <c r="L67" s="194"/>
    </row>
    <row r="68" spans="1:12" ht="15" hidden="1" customHeight="1" x14ac:dyDescent="0.25">
      <c r="A68" s="74">
        <v>54314</v>
      </c>
      <c r="B68" s="69" t="s">
        <v>70</v>
      </c>
      <c r="C68" s="70"/>
      <c r="D68" s="70"/>
      <c r="E68" s="70"/>
      <c r="F68" s="70"/>
      <c r="G68" s="71">
        <f t="shared" si="0"/>
        <v>0</v>
      </c>
      <c r="H68" s="191"/>
      <c r="I68" s="191"/>
      <c r="J68" s="191"/>
      <c r="K68" s="193"/>
      <c r="L68" s="194"/>
    </row>
    <row r="69" spans="1:12" ht="15" hidden="1" customHeight="1" x14ac:dyDescent="0.25">
      <c r="A69" s="74">
        <v>54316</v>
      </c>
      <c r="B69" s="69" t="s">
        <v>71</v>
      </c>
      <c r="C69" s="70"/>
      <c r="D69" s="70"/>
      <c r="E69" s="70"/>
      <c r="F69" s="70"/>
      <c r="G69" s="71">
        <f t="shared" si="0"/>
        <v>0</v>
      </c>
      <c r="H69" s="191"/>
      <c r="I69" s="191"/>
      <c r="J69" s="191"/>
      <c r="K69" s="193"/>
      <c r="L69" s="194"/>
    </row>
    <row r="70" spans="1:12" ht="15" hidden="1" customHeight="1" x14ac:dyDescent="0.25">
      <c r="A70" s="75">
        <v>544</v>
      </c>
      <c r="B70" s="62" t="s">
        <v>72</v>
      </c>
      <c r="C70" s="62"/>
      <c r="D70" s="76">
        <f t="shared" ref="D70:F70" si="8">SUM(D71:D73)</f>
        <v>0</v>
      </c>
      <c r="E70" s="76">
        <f t="shared" si="8"/>
        <v>0</v>
      </c>
      <c r="F70" s="76">
        <f t="shared" si="8"/>
        <v>0</v>
      </c>
      <c r="G70" s="77">
        <f>SUM(G71:G73)</f>
        <v>0</v>
      </c>
      <c r="H70" s="196"/>
      <c r="I70" s="196"/>
      <c r="J70" s="196"/>
      <c r="K70" s="193"/>
      <c r="L70" s="194"/>
    </row>
    <row r="71" spans="1:12" ht="15" hidden="1" customHeight="1" x14ac:dyDescent="0.25">
      <c r="A71" s="74">
        <v>54401</v>
      </c>
      <c r="B71" s="69" t="s">
        <v>73</v>
      </c>
      <c r="C71" s="69"/>
      <c r="D71" s="78"/>
      <c r="E71" s="70"/>
      <c r="F71" s="70"/>
      <c r="G71" s="71">
        <f t="shared" si="0"/>
        <v>0</v>
      </c>
      <c r="H71" s="191"/>
      <c r="I71" s="191"/>
      <c r="J71" s="191"/>
      <c r="K71" s="193"/>
      <c r="L71" s="194"/>
    </row>
    <row r="72" spans="1:12" ht="15" hidden="1" customHeight="1" x14ac:dyDescent="0.25">
      <c r="A72" s="74">
        <v>54402</v>
      </c>
      <c r="B72" s="69" t="s">
        <v>74</v>
      </c>
      <c r="C72" s="69"/>
      <c r="D72" s="78"/>
      <c r="E72" s="70"/>
      <c r="F72" s="70"/>
      <c r="G72" s="71">
        <f t="shared" si="0"/>
        <v>0</v>
      </c>
      <c r="H72" s="191"/>
      <c r="I72" s="191"/>
      <c r="J72" s="191"/>
      <c r="K72" s="193"/>
      <c r="L72" s="194"/>
    </row>
    <row r="73" spans="1:12" ht="15" hidden="1" customHeight="1" x14ac:dyDescent="0.25">
      <c r="A73" s="74">
        <v>54403</v>
      </c>
      <c r="B73" s="69" t="s">
        <v>75</v>
      </c>
      <c r="C73" s="69"/>
      <c r="D73" s="78"/>
      <c r="E73" s="70"/>
      <c r="F73" s="70"/>
      <c r="G73" s="71">
        <f t="shared" si="0"/>
        <v>0</v>
      </c>
      <c r="H73" s="191"/>
      <c r="I73" s="191"/>
      <c r="J73" s="191"/>
      <c r="K73" s="193"/>
      <c r="L73" s="194"/>
    </row>
    <row r="74" spans="1:12" ht="15" hidden="1" customHeight="1" x14ac:dyDescent="0.25">
      <c r="A74" s="75">
        <v>545</v>
      </c>
      <c r="B74" s="62" t="s">
        <v>76</v>
      </c>
      <c r="C74" s="62"/>
      <c r="D74" s="63">
        <f>SUM(D75:D79)</f>
        <v>0</v>
      </c>
      <c r="E74" s="63">
        <f>SUM(E75:E79)</f>
        <v>0</v>
      </c>
      <c r="F74" s="63">
        <f t="shared" ref="F74:G74" si="9">SUM(F75:F79)</f>
        <v>0</v>
      </c>
      <c r="G74" s="66">
        <f t="shared" si="9"/>
        <v>0</v>
      </c>
      <c r="H74" s="184"/>
      <c r="I74" s="184"/>
      <c r="J74" s="184"/>
      <c r="K74" s="193"/>
      <c r="L74" s="194"/>
    </row>
    <row r="75" spans="1:12" ht="15" hidden="1" customHeight="1" x14ac:dyDescent="0.25">
      <c r="A75" s="74">
        <v>54502</v>
      </c>
      <c r="B75" s="69" t="s">
        <v>77</v>
      </c>
      <c r="C75" s="69"/>
      <c r="D75" s="78"/>
      <c r="E75" s="70"/>
      <c r="F75" s="70"/>
      <c r="G75" s="71">
        <f t="shared" si="0"/>
        <v>0</v>
      </c>
      <c r="H75" s="191"/>
      <c r="I75" s="191"/>
      <c r="J75" s="191"/>
      <c r="K75" s="193"/>
      <c r="L75" s="194"/>
    </row>
    <row r="76" spans="1:12" ht="15" hidden="1" customHeight="1" x14ac:dyDescent="0.25">
      <c r="A76" s="74">
        <v>54503</v>
      </c>
      <c r="B76" s="69" t="s">
        <v>78</v>
      </c>
      <c r="C76" s="69"/>
      <c r="D76" s="78"/>
      <c r="E76" s="70"/>
      <c r="F76" s="70"/>
      <c r="G76" s="71">
        <f t="shared" si="0"/>
        <v>0</v>
      </c>
      <c r="H76" s="191"/>
      <c r="I76" s="191"/>
      <c r="J76" s="191"/>
      <c r="K76" s="193"/>
      <c r="L76" s="194"/>
    </row>
    <row r="77" spans="1:12" ht="15" hidden="1" customHeight="1" x14ac:dyDescent="0.25">
      <c r="A77" s="74">
        <v>54504</v>
      </c>
      <c r="B77" s="69" t="s">
        <v>79</v>
      </c>
      <c r="C77" s="69"/>
      <c r="D77" s="78"/>
      <c r="E77" s="70"/>
      <c r="F77" s="70"/>
      <c r="G77" s="71">
        <f t="shared" si="0"/>
        <v>0</v>
      </c>
      <c r="H77" s="191"/>
      <c r="I77" s="191"/>
      <c r="J77" s="191"/>
      <c r="K77" s="193"/>
      <c r="L77" s="194"/>
    </row>
    <row r="78" spans="1:12" ht="15" hidden="1" customHeight="1" x14ac:dyDescent="0.25">
      <c r="A78" s="74">
        <v>54505</v>
      </c>
      <c r="B78" s="69" t="s">
        <v>80</v>
      </c>
      <c r="C78" s="69"/>
      <c r="D78" s="78"/>
      <c r="E78" s="70"/>
      <c r="F78" s="70"/>
      <c r="G78" s="71">
        <f t="shared" si="0"/>
        <v>0</v>
      </c>
      <c r="H78" s="191"/>
      <c r="I78" s="191"/>
      <c r="J78" s="191"/>
      <c r="K78" s="193"/>
      <c r="L78" s="194"/>
    </row>
    <row r="79" spans="1:12" ht="15" hidden="1" customHeight="1" x14ac:dyDescent="0.25">
      <c r="A79" s="74">
        <v>54599</v>
      </c>
      <c r="B79" s="69" t="s">
        <v>81</v>
      </c>
      <c r="C79" s="69"/>
      <c r="D79" s="78"/>
      <c r="E79" s="70"/>
      <c r="F79" s="70"/>
      <c r="G79" s="71">
        <f t="shared" si="0"/>
        <v>0</v>
      </c>
      <c r="H79" s="191"/>
      <c r="I79" s="191"/>
      <c r="J79" s="191"/>
      <c r="K79" s="193"/>
      <c r="L79" s="194"/>
    </row>
    <row r="80" spans="1:12" ht="15" hidden="1" customHeight="1" x14ac:dyDescent="0.25">
      <c r="A80" s="75">
        <v>546</v>
      </c>
      <c r="B80" s="62" t="s">
        <v>82</v>
      </c>
      <c r="C80" s="62"/>
      <c r="D80" s="63">
        <f>D81</f>
        <v>0</v>
      </c>
      <c r="E80" s="63">
        <f>E81</f>
        <v>0</v>
      </c>
      <c r="F80" s="63">
        <f t="shared" ref="F80:G80" si="10">F81</f>
        <v>0</v>
      </c>
      <c r="G80" s="66">
        <f t="shared" si="10"/>
        <v>0</v>
      </c>
      <c r="H80" s="184"/>
      <c r="I80" s="184"/>
      <c r="J80" s="184"/>
      <c r="K80" s="193"/>
      <c r="L80" s="194"/>
    </row>
    <row r="81" spans="1:12" ht="15" hidden="1" customHeight="1" x14ac:dyDescent="0.25">
      <c r="A81" s="74">
        <v>54602</v>
      </c>
      <c r="B81" s="69" t="s">
        <v>83</v>
      </c>
      <c r="C81" s="69"/>
      <c r="D81" s="70"/>
      <c r="E81" s="70"/>
      <c r="F81" s="70"/>
      <c r="G81" s="71">
        <f t="shared" si="0"/>
        <v>0</v>
      </c>
      <c r="H81" s="191"/>
      <c r="I81" s="191"/>
      <c r="J81" s="191"/>
      <c r="K81" s="193"/>
      <c r="L81" s="194"/>
    </row>
    <row r="82" spans="1:12" ht="15" hidden="1" customHeight="1" x14ac:dyDescent="0.25">
      <c r="A82" s="75">
        <v>55</v>
      </c>
      <c r="B82" s="62" t="s">
        <v>84</v>
      </c>
      <c r="C82" s="62"/>
      <c r="D82" s="63">
        <f>D83+D86+D89</f>
        <v>0</v>
      </c>
      <c r="E82" s="63">
        <f>E83+E86+E89</f>
        <v>0</v>
      </c>
      <c r="F82" s="63">
        <f t="shared" ref="F82:G82" si="11">F83+F86+F89</f>
        <v>0</v>
      </c>
      <c r="G82" s="66">
        <f t="shared" si="11"/>
        <v>0</v>
      </c>
      <c r="H82" s="184"/>
      <c r="I82" s="184"/>
      <c r="J82" s="184"/>
      <c r="K82" s="193"/>
      <c r="L82" s="194"/>
    </row>
    <row r="83" spans="1:12" ht="15" hidden="1" customHeight="1" x14ac:dyDescent="0.25">
      <c r="A83" s="75">
        <v>553</v>
      </c>
      <c r="B83" s="62" t="s">
        <v>85</v>
      </c>
      <c r="C83" s="62"/>
      <c r="D83" s="63">
        <f>SUM(D84:D85)</f>
        <v>0</v>
      </c>
      <c r="E83" s="63">
        <f>SUM(E84:E85)</f>
        <v>0</v>
      </c>
      <c r="F83" s="63">
        <f t="shared" ref="F83:G83" si="12">SUM(F84:F85)</f>
        <v>0</v>
      </c>
      <c r="G83" s="66">
        <f t="shared" si="12"/>
        <v>0</v>
      </c>
      <c r="H83" s="184"/>
      <c r="I83" s="184"/>
      <c r="J83" s="184"/>
      <c r="K83" s="193"/>
      <c r="L83" s="194"/>
    </row>
    <row r="84" spans="1:12" ht="15" hidden="1" customHeight="1" x14ac:dyDescent="0.25">
      <c r="A84" s="74">
        <v>55302</v>
      </c>
      <c r="B84" s="69" t="s">
        <v>86</v>
      </c>
      <c r="C84" s="69"/>
      <c r="D84" s="70"/>
      <c r="E84" s="70"/>
      <c r="F84" s="70"/>
      <c r="G84" s="71">
        <f t="shared" ref="G84:G85" si="13">C84+D84+E84+F84</f>
        <v>0</v>
      </c>
      <c r="H84" s="191"/>
      <c r="I84" s="191"/>
      <c r="J84" s="191"/>
      <c r="K84" s="193"/>
      <c r="L84" s="194"/>
    </row>
    <row r="85" spans="1:12" ht="15" hidden="1" customHeight="1" x14ac:dyDescent="0.25">
      <c r="A85" s="74">
        <v>55304</v>
      </c>
      <c r="B85" s="69" t="s">
        <v>87</v>
      </c>
      <c r="C85" s="69"/>
      <c r="D85" s="70"/>
      <c r="E85" s="70"/>
      <c r="F85" s="70"/>
      <c r="G85" s="71">
        <f t="shared" si="13"/>
        <v>0</v>
      </c>
      <c r="H85" s="191"/>
      <c r="I85" s="191"/>
      <c r="J85" s="191"/>
      <c r="K85" s="193"/>
      <c r="L85" s="194"/>
    </row>
    <row r="86" spans="1:12" ht="15" hidden="1" customHeight="1" x14ac:dyDescent="0.25">
      <c r="A86" s="75">
        <v>556</v>
      </c>
      <c r="B86" s="62" t="s">
        <v>88</v>
      </c>
      <c r="C86" s="62"/>
      <c r="D86" s="63">
        <f>SUM(D87:D88)</f>
        <v>0</v>
      </c>
      <c r="E86" s="63">
        <f>SUM(E87:E88)</f>
        <v>0</v>
      </c>
      <c r="F86" s="63">
        <f t="shared" ref="F86:G86" si="14">SUM(F87:F88)</f>
        <v>0</v>
      </c>
      <c r="G86" s="66">
        <f t="shared" si="14"/>
        <v>0</v>
      </c>
      <c r="H86" s="184"/>
      <c r="I86" s="184"/>
      <c r="J86" s="184"/>
      <c r="K86" s="193"/>
      <c r="L86" s="194"/>
    </row>
    <row r="87" spans="1:12" ht="15" hidden="1" customHeight="1" x14ac:dyDescent="0.25">
      <c r="A87" s="74">
        <v>55602</v>
      </c>
      <c r="B87" s="69" t="s">
        <v>89</v>
      </c>
      <c r="C87" s="69"/>
      <c r="D87" s="70"/>
      <c r="E87" s="70"/>
      <c r="F87" s="70"/>
      <c r="G87" s="71">
        <f t="shared" ref="G87:G88" si="15">C87+D87+E87+F87</f>
        <v>0</v>
      </c>
      <c r="H87" s="191"/>
      <c r="I87" s="191"/>
      <c r="J87" s="191"/>
      <c r="K87" s="193"/>
      <c r="L87" s="194"/>
    </row>
    <row r="88" spans="1:12" ht="15" hidden="1" customHeight="1" x14ac:dyDescent="0.25">
      <c r="A88" s="74">
        <v>55603</v>
      </c>
      <c r="B88" s="69" t="s">
        <v>90</v>
      </c>
      <c r="C88" s="69"/>
      <c r="D88" s="70"/>
      <c r="E88" s="70"/>
      <c r="F88" s="70"/>
      <c r="G88" s="71">
        <f t="shared" si="15"/>
        <v>0</v>
      </c>
      <c r="H88" s="191"/>
      <c r="I88" s="191"/>
      <c r="J88" s="191"/>
      <c r="K88" s="193"/>
      <c r="L88" s="194"/>
    </row>
    <row r="89" spans="1:12" ht="15" hidden="1" customHeight="1" x14ac:dyDescent="0.25">
      <c r="A89" s="75">
        <v>557</v>
      </c>
      <c r="B89" s="62" t="s">
        <v>91</v>
      </c>
      <c r="C89" s="62"/>
      <c r="D89" s="63">
        <f>SUM(D90:D91)</f>
        <v>0</v>
      </c>
      <c r="E89" s="63">
        <f>SUM(E90:E91)</f>
        <v>0</v>
      </c>
      <c r="F89" s="63">
        <f t="shared" ref="F89:G89" si="16">SUM(F90:F91)</f>
        <v>0</v>
      </c>
      <c r="G89" s="66">
        <f t="shared" si="16"/>
        <v>0</v>
      </c>
      <c r="H89" s="184"/>
      <c r="I89" s="184"/>
      <c r="J89" s="184"/>
      <c r="K89" s="193"/>
      <c r="L89" s="194"/>
    </row>
    <row r="90" spans="1:12" ht="15" hidden="1" customHeight="1" x14ac:dyDescent="0.25">
      <c r="A90" s="74">
        <v>55703</v>
      </c>
      <c r="B90" s="69" t="s">
        <v>92</v>
      </c>
      <c r="C90" s="69"/>
      <c r="D90" s="70"/>
      <c r="E90" s="70"/>
      <c r="F90" s="70"/>
      <c r="G90" s="71">
        <f t="shared" ref="G90:G91" si="17">C90+D90+E90+F90</f>
        <v>0</v>
      </c>
      <c r="H90" s="191"/>
      <c r="I90" s="191"/>
      <c r="J90" s="191"/>
      <c r="K90" s="193"/>
      <c r="L90" s="194"/>
    </row>
    <row r="91" spans="1:12" ht="15" hidden="1" customHeight="1" x14ac:dyDescent="0.25">
      <c r="A91" s="74">
        <v>55799</v>
      </c>
      <c r="B91" s="69" t="s">
        <v>93</v>
      </c>
      <c r="C91" s="69"/>
      <c r="D91" s="70"/>
      <c r="E91" s="70"/>
      <c r="F91" s="70"/>
      <c r="G91" s="71">
        <f t="shared" si="17"/>
        <v>0</v>
      </c>
      <c r="H91" s="191"/>
      <c r="I91" s="191"/>
      <c r="J91" s="191"/>
      <c r="K91" s="193"/>
      <c r="L91" s="194"/>
    </row>
    <row r="92" spans="1:12" x14ac:dyDescent="0.25">
      <c r="A92" s="75">
        <v>56</v>
      </c>
      <c r="B92" s="62" t="s">
        <v>94</v>
      </c>
      <c r="C92" s="79">
        <f>C93+C95</f>
        <v>12574.32</v>
      </c>
      <c r="D92" s="63"/>
      <c r="E92" s="63">
        <f t="shared" ref="E92:F93" si="18">E93</f>
        <v>0</v>
      </c>
      <c r="F92" s="63">
        <f t="shared" si="18"/>
        <v>0</v>
      </c>
      <c r="G92" s="66">
        <f>SUM(C92:F92)</f>
        <v>12574.32</v>
      </c>
      <c r="H92" s="184"/>
      <c r="I92" s="184"/>
      <c r="J92" s="184"/>
      <c r="K92" s="193"/>
      <c r="L92" s="194"/>
    </row>
    <row r="93" spans="1:12" x14ac:dyDescent="0.25">
      <c r="A93" s="75">
        <v>562</v>
      </c>
      <c r="B93" s="62" t="s">
        <v>95</v>
      </c>
      <c r="C93" s="79">
        <f>C94</f>
        <v>12574.32</v>
      </c>
      <c r="D93" s="63"/>
      <c r="E93" s="63">
        <f>E94</f>
        <v>0</v>
      </c>
      <c r="F93" s="63">
        <f t="shared" si="18"/>
        <v>0</v>
      </c>
      <c r="G93" s="66">
        <f>SUM(C93:F93)</f>
        <v>12574.32</v>
      </c>
      <c r="H93" s="184"/>
      <c r="I93" s="184"/>
      <c r="J93" s="184"/>
      <c r="K93" s="193"/>
      <c r="L93" s="194"/>
    </row>
    <row r="94" spans="1:12" s="185" customFormat="1" x14ac:dyDescent="0.25">
      <c r="A94" s="74">
        <v>56201</v>
      </c>
      <c r="B94" s="187" t="s">
        <v>96</v>
      </c>
      <c r="C94" s="187">
        <v>12574.32</v>
      </c>
      <c r="D94" s="188">
        <v>0</v>
      </c>
      <c r="E94" s="188"/>
      <c r="F94" s="188"/>
      <c r="G94" s="189">
        <f>C94+D94+E94+F94</f>
        <v>12574.32</v>
      </c>
      <c r="H94" s="191"/>
      <c r="I94" s="191"/>
      <c r="J94" s="191"/>
      <c r="K94" s="193"/>
      <c r="L94" s="194"/>
    </row>
    <row r="95" spans="1:12" x14ac:dyDescent="0.25">
      <c r="A95" s="75">
        <v>563</v>
      </c>
      <c r="B95" s="62" t="s">
        <v>97</v>
      </c>
      <c r="C95" s="62"/>
      <c r="D95" s="63">
        <f>SUM(D96:D98)</f>
        <v>0</v>
      </c>
      <c r="E95" s="63">
        <f>SUM(E96:E98)</f>
        <v>0</v>
      </c>
      <c r="F95" s="63">
        <f t="shared" ref="F95:G95" si="19">SUM(F96:F98)</f>
        <v>0</v>
      </c>
      <c r="G95" s="66">
        <f t="shared" si="19"/>
        <v>0</v>
      </c>
      <c r="H95" s="184"/>
      <c r="I95" s="191"/>
      <c r="J95" s="191"/>
      <c r="K95" s="193"/>
      <c r="L95" s="194"/>
    </row>
    <row r="96" spans="1:12" x14ac:dyDescent="0.25">
      <c r="A96" s="74">
        <v>56301</v>
      </c>
      <c r="B96" s="69" t="s">
        <v>98</v>
      </c>
      <c r="C96" s="69"/>
      <c r="D96" s="70"/>
      <c r="E96" s="70"/>
      <c r="F96" s="70"/>
      <c r="G96" s="71">
        <f t="shared" ref="G96:G98" si="20">C96+D96+E96+F96</f>
        <v>0</v>
      </c>
      <c r="H96" s="191"/>
      <c r="I96" s="191"/>
      <c r="J96" s="191"/>
      <c r="K96" s="193"/>
      <c r="L96" s="197"/>
    </row>
    <row r="97" spans="1:12" x14ac:dyDescent="0.25">
      <c r="A97" s="74">
        <v>56303</v>
      </c>
      <c r="B97" s="69" t="s">
        <v>99</v>
      </c>
      <c r="C97" s="69"/>
      <c r="D97" s="70"/>
      <c r="E97" s="70"/>
      <c r="F97" s="70"/>
      <c r="G97" s="71">
        <f t="shared" si="20"/>
        <v>0</v>
      </c>
      <c r="H97" s="191"/>
      <c r="I97" s="194"/>
      <c r="J97" s="191"/>
      <c r="K97" s="193"/>
      <c r="L97" s="194"/>
    </row>
    <row r="98" spans="1:12" x14ac:dyDescent="0.25">
      <c r="A98" s="74">
        <v>56305</v>
      </c>
      <c r="B98" s="69" t="s">
        <v>100</v>
      </c>
      <c r="C98" s="69"/>
      <c r="D98" s="70"/>
      <c r="E98" s="70"/>
      <c r="F98" s="70"/>
      <c r="G98" s="71">
        <f t="shared" si="20"/>
        <v>0</v>
      </c>
      <c r="H98" s="191"/>
      <c r="I98" s="191"/>
      <c r="J98" s="191"/>
      <c r="K98" s="193"/>
      <c r="L98" s="194"/>
    </row>
    <row r="99" spans="1:12" x14ac:dyDescent="0.25">
      <c r="A99" s="75">
        <v>61</v>
      </c>
      <c r="B99" s="62" t="s">
        <v>101</v>
      </c>
      <c r="C99" s="62"/>
      <c r="D99" s="63">
        <f>D100+D104+D106+D108</f>
        <v>0</v>
      </c>
      <c r="E99" s="63">
        <f>E100+E104+E106+E108</f>
        <v>0</v>
      </c>
      <c r="F99" s="63">
        <f t="shared" ref="F99:G99" si="21">F100+F104+F106+F108</f>
        <v>0</v>
      </c>
      <c r="G99" s="66">
        <f t="shared" si="21"/>
        <v>0</v>
      </c>
      <c r="H99" s="184"/>
      <c r="I99" s="184"/>
      <c r="J99" s="184"/>
      <c r="K99" s="193"/>
      <c r="L99" s="194"/>
    </row>
    <row r="100" spans="1:12" x14ac:dyDescent="0.25">
      <c r="A100" s="75">
        <v>611</v>
      </c>
      <c r="B100" s="62" t="s">
        <v>102</v>
      </c>
      <c r="C100" s="62"/>
      <c r="D100" s="63">
        <f>SUM(D101:D103)</f>
        <v>0</v>
      </c>
      <c r="E100" s="63">
        <f>SUM(E101:E103)</f>
        <v>0</v>
      </c>
      <c r="F100" s="63">
        <f t="shared" ref="F100:G100" si="22">SUM(F101:F103)</f>
        <v>0</v>
      </c>
      <c r="G100" s="66">
        <f t="shared" si="22"/>
        <v>0</v>
      </c>
      <c r="H100" s="184"/>
      <c r="I100" s="184"/>
      <c r="J100" s="184"/>
      <c r="K100" s="193"/>
      <c r="L100" s="194"/>
    </row>
    <row r="101" spans="1:12" x14ac:dyDescent="0.25">
      <c r="A101" s="74">
        <v>61102</v>
      </c>
      <c r="B101" s="69" t="s">
        <v>103</v>
      </c>
      <c r="C101" s="69"/>
      <c r="D101" s="70"/>
      <c r="E101" s="70"/>
      <c r="F101" s="70"/>
      <c r="G101" s="71">
        <f t="shared" ref="G101:G103" si="23">C101+D101+E101+F101</f>
        <v>0</v>
      </c>
      <c r="H101" s="191"/>
      <c r="I101" s="191"/>
      <c r="J101" s="191"/>
      <c r="K101" s="193"/>
      <c r="L101" s="194"/>
    </row>
    <row r="102" spans="1:12" x14ac:dyDescent="0.25">
      <c r="A102" s="74">
        <v>61104</v>
      </c>
      <c r="B102" s="69" t="s">
        <v>104</v>
      </c>
      <c r="C102" s="69"/>
      <c r="D102" s="70"/>
      <c r="E102" s="70"/>
      <c r="F102" s="70"/>
      <c r="G102" s="71">
        <f t="shared" si="23"/>
        <v>0</v>
      </c>
      <c r="H102" s="191"/>
      <c r="I102" s="191"/>
      <c r="J102" s="191"/>
      <c r="K102" s="193"/>
      <c r="L102" s="194"/>
    </row>
    <row r="103" spans="1:12" x14ac:dyDescent="0.25">
      <c r="A103" s="74">
        <v>61199</v>
      </c>
      <c r="B103" s="69" t="s">
        <v>105</v>
      </c>
      <c r="C103" s="69"/>
      <c r="D103" s="70"/>
      <c r="E103" s="70"/>
      <c r="F103" s="70"/>
      <c r="G103" s="71">
        <f t="shared" si="23"/>
        <v>0</v>
      </c>
      <c r="H103" s="191"/>
      <c r="I103" s="191"/>
      <c r="J103" s="191"/>
      <c r="K103" s="193"/>
      <c r="L103" s="194"/>
    </row>
    <row r="104" spans="1:12" x14ac:dyDescent="0.25">
      <c r="A104" s="75">
        <v>612</v>
      </c>
      <c r="B104" s="62" t="s">
        <v>106</v>
      </c>
      <c r="C104" s="62"/>
      <c r="D104" s="63">
        <f>D105</f>
        <v>0</v>
      </c>
      <c r="E104" s="63">
        <f>E105</f>
        <v>0</v>
      </c>
      <c r="F104" s="63">
        <f t="shared" ref="F104:G104" si="24">F105</f>
        <v>0</v>
      </c>
      <c r="G104" s="66">
        <f t="shared" si="24"/>
        <v>0</v>
      </c>
      <c r="H104" s="184"/>
      <c r="I104" s="184"/>
      <c r="J104" s="184"/>
      <c r="K104" s="193"/>
      <c r="L104" s="194"/>
    </row>
    <row r="105" spans="1:12" x14ac:dyDescent="0.25">
      <c r="A105" s="74">
        <v>61201</v>
      </c>
      <c r="B105" s="69" t="s">
        <v>107</v>
      </c>
      <c r="C105" s="69"/>
      <c r="D105" s="70"/>
      <c r="E105" s="70"/>
      <c r="F105" s="70"/>
      <c r="G105" s="71">
        <f t="shared" ref="G105" si="25">C105+D105+E105+F105</f>
        <v>0</v>
      </c>
      <c r="H105" s="191"/>
      <c r="I105" s="191"/>
      <c r="J105" s="191"/>
      <c r="K105" s="193"/>
      <c r="L105" s="194"/>
    </row>
    <row r="106" spans="1:12" x14ac:dyDescent="0.25">
      <c r="A106" s="74">
        <v>615</v>
      </c>
      <c r="B106" s="62" t="s">
        <v>108</v>
      </c>
      <c r="C106" s="62"/>
      <c r="D106" s="63">
        <f>D107</f>
        <v>0</v>
      </c>
      <c r="E106" s="63">
        <f>E107</f>
        <v>0</v>
      </c>
      <c r="F106" s="63">
        <f t="shared" ref="F106:G106" si="26">F107</f>
        <v>0</v>
      </c>
      <c r="G106" s="66">
        <f t="shared" si="26"/>
        <v>0</v>
      </c>
      <c r="H106" s="184"/>
      <c r="I106" s="184"/>
      <c r="J106" s="184"/>
      <c r="K106" s="193"/>
      <c r="L106" s="194"/>
    </row>
    <row r="107" spans="1:12" x14ac:dyDescent="0.25">
      <c r="A107" s="74">
        <v>61599</v>
      </c>
      <c r="B107" s="69" t="s">
        <v>109</v>
      </c>
      <c r="C107" s="69"/>
      <c r="D107" s="70"/>
      <c r="E107" s="70"/>
      <c r="F107" s="70"/>
      <c r="G107" s="71">
        <f t="shared" ref="G107" si="27">C107+D107+E107+F107</f>
        <v>0</v>
      </c>
      <c r="H107" s="191"/>
      <c r="I107" s="191"/>
      <c r="J107" s="191"/>
      <c r="K107" s="193"/>
      <c r="L107" s="194"/>
    </row>
    <row r="108" spans="1:12" x14ac:dyDescent="0.25">
      <c r="A108" s="75">
        <v>616</v>
      </c>
      <c r="B108" s="62" t="s">
        <v>110</v>
      </c>
      <c r="C108" s="62"/>
      <c r="D108" s="63">
        <f>SUM(D109:D113)</f>
        <v>0</v>
      </c>
      <c r="E108" s="63">
        <f>SUM(E109:E113)</f>
        <v>0</v>
      </c>
      <c r="F108" s="63">
        <f t="shared" ref="F108:G108" si="28">SUM(F109:F113)</f>
        <v>0</v>
      </c>
      <c r="G108" s="66">
        <f t="shared" si="28"/>
        <v>0</v>
      </c>
      <c r="H108" s="184"/>
      <c r="I108" s="184"/>
      <c r="J108" s="184"/>
      <c r="K108" s="193"/>
      <c r="L108" s="194"/>
    </row>
    <row r="109" spans="1:12" x14ac:dyDescent="0.25">
      <c r="A109" s="74">
        <v>61601</v>
      </c>
      <c r="B109" s="69" t="s">
        <v>111</v>
      </c>
      <c r="C109" s="69"/>
      <c r="D109" s="70"/>
      <c r="E109" s="70"/>
      <c r="F109" s="70"/>
      <c r="G109" s="71">
        <f t="shared" ref="G109:G115" si="29">C109+D109+E109+F109</f>
        <v>0</v>
      </c>
      <c r="H109" s="191"/>
      <c r="I109" s="191"/>
      <c r="J109" s="191"/>
      <c r="K109" s="193"/>
      <c r="L109" s="194"/>
    </row>
    <row r="110" spans="1:12" x14ac:dyDescent="0.25">
      <c r="A110" s="74">
        <v>61603</v>
      </c>
      <c r="B110" s="69" t="s">
        <v>112</v>
      </c>
      <c r="C110" s="69"/>
      <c r="D110" s="70"/>
      <c r="E110" s="70"/>
      <c r="F110" s="70"/>
      <c r="G110" s="71">
        <f t="shared" si="29"/>
        <v>0</v>
      </c>
      <c r="H110" s="191"/>
      <c r="I110" s="191"/>
      <c r="J110" s="191"/>
      <c r="K110" s="193"/>
      <c r="L110" s="194"/>
    </row>
    <row r="111" spans="1:12" x14ac:dyDescent="0.25">
      <c r="A111" s="74">
        <v>61606</v>
      </c>
      <c r="B111" s="69" t="s">
        <v>113</v>
      </c>
      <c r="C111" s="69"/>
      <c r="D111" s="70"/>
      <c r="E111" s="70"/>
      <c r="F111" s="70"/>
      <c r="G111" s="71">
        <f t="shared" si="29"/>
        <v>0</v>
      </c>
      <c r="H111" s="191"/>
      <c r="I111" s="191"/>
      <c r="J111" s="191"/>
      <c r="K111" s="193"/>
      <c r="L111" s="194"/>
    </row>
    <row r="112" spans="1:12" x14ac:dyDescent="0.25">
      <c r="A112" s="74">
        <v>61608</v>
      </c>
      <c r="B112" s="69" t="s">
        <v>114</v>
      </c>
      <c r="C112" s="69"/>
      <c r="D112" s="70"/>
      <c r="E112" s="70"/>
      <c r="F112" s="70"/>
      <c r="G112" s="71">
        <f t="shared" si="29"/>
        <v>0</v>
      </c>
      <c r="H112" s="191"/>
      <c r="I112" s="191"/>
      <c r="J112" s="191"/>
      <c r="K112" s="193"/>
      <c r="L112" s="194"/>
    </row>
    <row r="113" spans="1:12" x14ac:dyDescent="0.25">
      <c r="A113" s="74">
        <v>61609</v>
      </c>
      <c r="B113" s="69" t="s">
        <v>115</v>
      </c>
      <c r="C113" s="69"/>
      <c r="D113" s="70"/>
      <c r="E113" s="70"/>
      <c r="F113" s="70"/>
      <c r="G113" s="71">
        <f t="shared" si="29"/>
        <v>0</v>
      </c>
      <c r="H113" s="191"/>
      <c r="I113" s="191"/>
      <c r="J113" s="191"/>
      <c r="K113" s="193"/>
      <c r="L113" s="194"/>
    </row>
    <row r="114" spans="1:12" x14ac:dyDescent="0.25">
      <c r="A114" s="74">
        <v>61610</v>
      </c>
      <c r="B114" s="69" t="s">
        <v>116</v>
      </c>
      <c r="C114" s="69"/>
      <c r="D114" s="70"/>
      <c r="E114" s="70"/>
      <c r="F114" s="70"/>
      <c r="G114" s="71">
        <f t="shared" si="29"/>
        <v>0</v>
      </c>
      <c r="H114" s="191"/>
      <c r="I114" s="191"/>
      <c r="J114" s="191"/>
      <c r="K114" s="193"/>
      <c r="L114" s="194"/>
    </row>
    <row r="115" spans="1:12" x14ac:dyDescent="0.25">
      <c r="A115" s="74">
        <v>61611</v>
      </c>
      <c r="B115" s="69" t="s">
        <v>117</v>
      </c>
      <c r="C115" s="69"/>
      <c r="D115" s="70"/>
      <c r="E115" s="70"/>
      <c r="F115" s="70"/>
      <c r="G115" s="71">
        <f t="shared" si="29"/>
        <v>0</v>
      </c>
      <c r="H115" s="191"/>
      <c r="I115" s="191"/>
      <c r="J115" s="191"/>
      <c r="K115" s="193"/>
      <c r="L115" s="194"/>
    </row>
    <row r="116" spans="1:12" x14ac:dyDescent="0.25">
      <c r="A116" s="75">
        <v>71</v>
      </c>
      <c r="B116" s="62" t="s">
        <v>118</v>
      </c>
      <c r="C116" s="62"/>
      <c r="D116" s="63">
        <f>D117</f>
        <v>0</v>
      </c>
      <c r="E116" s="63">
        <f>E117</f>
        <v>0</v>
      </c>
      <c r="F116" s="63">
        <f t="shared" ref="F116:G117" si="30">F117</f>
        <v>0</v>
      </c>
      <c r="G116" s="66">
        <f t="shared" si="30"/>
        <v>0</v>
      </c>
      <c r="H116" s="184"/>
      <c r="I116" s="184"/>
      <c r="J116" s="184"/>
      <c r="K116" s="193"/>
      <c r="L116" s="194"/>
    </row>
    <row r="117" spans="1:12" x14ac:dyDescent="0.25">
      <c r="A117" s="75">
        <v>713</v>
      </c>
      <c r="B117" s="62" t="s">
        <v>119</v>
      </c>
      <c r="C117" s="62"/>
      <c r="D117" s="63">
        <f>D118</f>
        <v>0</v>
      </c>
      <c r="E117" s="63">
        <f>E118</f>
        <v>0</v>
      </c>
      <c r="F117" s="63">
        <f t="shared" si="30"/>
        <v>0</v>
      </c>
      <c r="G117" s="66">
        <f t="shared" si="30"/>
        <v>0</v>
      </c>
      <c r="H117" s="184"/>
      <c r="I117" s="184"/>
      <c r="J117" s="184"/>
      <c r="K117" s="193"/>
      <c r="L117" s="194"/>
    </row>
    <row r="118" spans="1:12" x14ac:dyDescent="0.25">
      <c r="A118" s="74">
        <v>71304</v>
      </c>
      <c r="B118" s="69" t="s">
        <v>87</v>
      </c>
      <c r="C118" s="69"/>
      <c r="D118" s="70"/>
      <c r="E118" s="70"/>
      <c r="F118" s="70"/>
      <c r="G118" s="71">
        <f t="shared" ref="G118" si="31">C118+D118+E118+F118</f>
        <v>0</v>
      </c>
      <c r="H118" s="191"/>
      <c r="I118" s="191"/>
      <c r="J118" s="191"/>
      <c r="K118" s="193"/>
      <c r="L118" s="194"/>
    </row>
    <row r="119" spans="1:12" x14ac:dyDescent="0.25">
      <c r="A119" s="75">
        <v>72</v>
      </c>
      <c r="B119" s="62" t="s">
        <v>120</v>
      </c>
      <c r="C119" s="62"/>
      <c r="D119" s="63">
        <f>D120</f>
        <v>0</v>
      </c>
      <c r="E119" s="63">
        <f>E120</f>
        <v>0</v>
      </c>
      <c r="F119" s="63">
        <f t="shared" ref="F119:G120" si="32">F120</f>
        <v>0</v>
      </c>
      <c r="G119" s="66">
        <f t="shared" si="32"/>
        <v>0</v>
      </c>
      <c r="H119" s="184"/>
      <c r="I119" s="184"/>
      <c r="J119" s="184"/>
      <c r="K119" s="193"/>
      <c r="L119" s="194"/>
    </row>
    <row r="120" spans="1:12" x14ac:dyDescent="0.25">
      <c r="A120" s="75">
        <v>721</v>
      </c>
      <c r="B120" s="62" t="s">
        <v>121</v>
      </c>
      <c r="C120" s="62"/>
      <c r="D120" s="63">
        <f>D121</f>
        <v>0</v>
      </c>
      <c r="E120" s="63">
        <f>E121</f>
        <v>0</v>
      </c>
      <c r="F120" s="63">
        <f t="shared" si="32"/>
        <v>0</v>
      </c>
      <c r="G120" s="66">
        <f t="shared" si="32"/>
        <v>0</v>
      </c>
      <c r="H120" s="184"/>
      <c r="I120" s="184"/>
      <c r="J120" s="184"/>
      <c r="K120" s="193"/>
      <c r="L120" s="194"/>
    </row>
    <row r="121" spans="1:12" x14ac:dyDescent="0.25">
      <c r="A121" s="74">
        <v>72101</v>
      </c>
      <c r="B121" s="69" t="s">
        <v>121</v>
      </c>
      <c r="C121" s="69"/>
      <c r="D121" s="70"/>
      <c r="E121" s="70"/>
      <c r="F121" s="70"/>
      <c r="G121" s="71">
        <f t="shared" ref="G121" si="33">C121+D121+E121+F121</f>
        <v>0</v>
      </c>
      <c r="H121" s="191"/>
      <c r="I121" s="191"/>
      <c r="J121" s="191"/>
      <c r="K121" s="193"/>
      <c r="L121" s="194"/>
    </row>
    <row r="122" spans="1:12" x14ac:dyDescent="0.25">
      <c r="A122" s="61" t="s">
        <v>122</v>
      </c>
      <c r="B122" s="62" t="s">
        <v>123</v>
      </c>
      <c r="C122" s="63">
        <f>C9+C32+C82+C92+C99+C116+C119</f>
        <v>305184.37</v>
      </c>
      <c r="D122" s="63">
        <f>D9+D32+D82+D92+D99+D116+D119</f>
        <v>104440.06999999999</v>
      </c>
      <c r="E122" s="63">
        <f>E9+E32+E82+E92+E99+E116+E119</f>
        <v>21400</v>
      </c>
      <c r="F122" s="63">
        <f>F9+F32+F82+F92+F99+F116+F119</f>
        <v>112974.8</v>
      </c>
      <c r="G122" s="66">
        <f>G9+G32+G82+G92+G99+G116+G119</f>
        <v>543999.24</v>
      </c>
      <c r="H122" s="184"/>
      <c r="I122" s="184"/>
      <c r="J122" s="184"/>
      <c r="K122" s="193"/>
      <c r="L122" s="194"/>
    </row>
    <row r="123" spans="1:12" x14ac:dyDescent="0.25">
      <c r="A123" s="61" t="s">
        <v>122</v>
      </c>
      <c r="B123" s="62" t="s">
        <v>124</v>
      </c>
      <c r="C123" s="63">
        <f>C122</f>
        <v>305184.37</v>
      </c>
      <c r="D123" s="63">
        <f>D122</f>
        <v>104440.06999999999</v>
      </c>
      <c r="E123" s="63">
        <f t="shared" ref="E123:G124" si="34">E122</f>
        <v>21400</v>
      </c>
      <c r="F123" s="63">
        <f t="shared" si="34"/>
        <v>112974.8</v>
      </c>
      <c r="G123" s="66">
        <f t="shared" si="34"/>
        <v>543999.24</v>
      </c>
      <c r="H123" s="184"/>
      <c r="I123" s="184"/>
      <c r="J123" s="184"/>
      <c r="K123" s="193"/>
      <c r="L123" s="194"/>
    </row>
    <row r="124" spans="1:12" ht="15.75" thickBot="1" x14ac:dyDescent="0.3">
      <c r="A124" s="80" t="s">
        <v>125</v>
      </c>
      <c r="B124" s="81"/>
      <c r="C124" s="82">
        <f>C123</f>
        <v>305184.37</v>
      </c>
      <c r="D124" s="82">
        <f>D123</f>
        <v>104440.06999999999</v>
      </c>
      <c r="E124" s="82">
        <f t="shared" si="34"/>
        <v>21400</v>
      </c>
      <c r="F124" s="82">
        <f t="shared" si="34"/>
        <v>112974.8</v>
      </c>
      <c r="G124" s="83">
        <f>G123</f>
        <v>543999.24</v>
      </c>
      <c r="H124" s="184"/>
      <c r="I124" s="184"/>
      <c r="J124" s="184"/>
      <c r="K124" s="193"/>
      <c r="L124" s="194"/>
    </row>
    <row r="125" spans="1:12" x14ac:dyDescent="0.25">
      <c r="D125" s="84"/>
      <c r="H125" s="194"/>
      <c r="I125" s="194"/>
      <c r="J125" s="194"/>
      <c r="K125" s="194"/>
      <c r="L125" s="194"/>
    </row>
    <row r="126" spans="1:12" ht="15" customHeight="1" x14ac:dyDescent="0.25">
      <c r="D126" s="85"/>
      <c r="G126" s="86"/>
      <c r="H126" s="194"/>
      <c r="I126" s="194"/>
      <c r="J126" s="194"/>
      <c r="K126" s="194"/>
      <c r="L126" s="194"/>
    </row>
    <row r="127" spans="1:12" ht="15" customHeight="1" x14ac:dyDescent="0.25">
      <c r="C127" s="87"/>
      <c r="F127" s="64"/>
      <c r="H127" s="194"/>
      <c r="I127" s="194"/>
      <c r="J127" s="194"/>
      <c r="K127" s="194"/>
      <c r="L127" s="194"/>
    </row>
    <row r="128" spans="1:12" ht="15" customHeight="1" x14ac:dyDescent="0.25">
      <c r="G128" s="84"/>
      <c r="H128" s="194"/>
      <c r="I128" s="194"/>
      <c r="J128" s="194"/>
      <c r="K128" s="194"/>
      <c r="L128" s="194"/>
    </row>
    <row r="129" spans="3:12" ht="15" customHeight="1" x14ac:dyDescent="0.25">
      <c r="H129" s="194"/>
      <c r="I129" s="194"/>
      <c r="J129" s="194"/>
      <c r="K129" s="194"/>
      <c r="L129" s="194"/>
    </row>
    <row r="130" spans="3:12" ht="15" customHeight="1" x14ac:dyDescent="0.25">
      <c r="H130" s="194"/>
      <c r="I130" s="194"/>
      <c r="J130" s="194"/>
      <c r="K130" s="194"/>
      <c r="L130" s="194"/>
    </row>
    <row r="131" spans="3:12" ht="15" customHeight="1" x14ac:dyDescent="0.25"/>
    <row r="132" spans="3:12" x14ac:dyDescent="0.25">
      <c r="C132" s="87"/>
      <c r="G132" s="86"/>
    </row>
    <row r="133" spans="3:12" x14ac:dyDescent="0.25">
      <c r="F133" s="64"/>
    </row>
    <row r="134" spans="3:12" x14ac:dyDescent="0.25">
      <c r="G134" s="84"/>
    </row>
  </sheetData>
  <mergeCells count="7">
    <mergeCell ref="C7:G7"/>
    <mergeCell ref="A1:G1"/>
    <mergeCell ref="A2:G2"/>
    <mergeCell ref="A3:G3"/>
    <mergeCell ref="C4:G4"/>
    <mergeCell ref="C5:G5"/>
    <mergeCell ref="C6:G6"/>
  </mergeCells>
  <pageMargins left="0.70866141732283472" right="0.70866141732283472" top="0.35433070866141736" bottom="0.35433070866141736" header="0.31496062992125984" footer="0.31496062992125984"/>
  <pageSetup paperSize="9" scale="11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9"/>
  <sheetViews>
    <sheetView zoomScale="130" zoomScaleNormal="130" workbookViewId="0">
      <selection sqref="A1:T1"/>
    </sheetView>
  </sheetViews>
  <sheetFormatPr baseColWidth="10" defaultRowHeight="15" x14ac:dyDescent="0.25"/>
  <cols>
    <col min="1" max="1" width="7.7109375" customWidth="1"/>
    <col min="2" max="2" width="35.5703125" customWidth="1"/>
    <col min="3" max="3" width="15.28515625" hidden="1" customWidth="1"/>
    <col min="4" max="5" width="13.5703125" hidden="1" customWidth="1"/>
    <col min="6" max="6" width="14.7109375" hidden="1" customWidth="1"/>
    <col min="7" max="7" width="14.42578125" hidden="1" customWidth="1"/>
    <col min="8" max="8" width="12.7109375" customWidth="1"/>
    <col min="9" max="9" width="17" customWidth="1"/>
    <col min="10" max="10" width="7.140625" customWidth="1"/>
    <col min="11" max="11" width="7.42578125" customWidth="1"/>
    <col min="12" max="12" width="8.28515625" customWidth="1"/>
    <col min="13" max="13" width="13.5703125" customWidth="1"/>
    <col min="14" max="14" width="16" customWidth="1"/>
    <col min="15" max="15" width="15" hidden="1" customWidth="1"/>
    <col min="16" max="16" width="14.28515625" hidden="1" customWidth="1"/>
    <col min="17" max="17" width="14.42578125" hidden="1" customWidth="1"/>
    <col min="18" max="19" width="14.140625" hidden="1" customWidth="1"/>
    <col min="20" max="20" width="15" hidden="1" customWidth="1"/>
    <col min="21" max="21" width="15.85546875" customWidth="1"/>
  </cols>
  <sheetData>
    <row r="1" spans="1:20" ht="21" x14ac:dyDescent="0.35">
      <c r="A1" s="166" t="s">
        <v>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</row>
    <row r="2" spans="1:20" ht="21" x14ac:dyDescent="0.35">
      <c r="A2" s="166" t="s">
        <v>208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1:20" ht="21.75" thickBot="1" x14ac:dyDescent="0.4">
      <c r="A3" s="166" t="s">
        <v>227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</row>
    <row r="4" spans="1:20" ht="15.75" thickBot="1" x14ac:dyDescent="0.3">
      <c r="A4" s="48"/>
      <c r="B4" s="49"/>
      <c r="C4" s="109" t="s">
        <v>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7"/>
      <c r="O4" s="177" t="s">
        <v>228</v>
      </c>
      <c r="P4" s="178"/>
      <c r="Q4" s="178"/>
      <c r="R4" s="178"/>
      <c r="S4" s="179"/>
      <c r="T4" s="49"/>
    </row>
    <row r="5" spans="1:20" ht="15.75" thickBot="1" x14ac:dyDescent="0.3">
      <c r="A5" s="51"/>
      <c r="B5" s="52"/>
      <c r="C5" s="170" t="s">
        <v>8</v>
      </c>
      <c r="D5" s="170"/>
      <c r="E5" s="170"/>
      <c r="F5" s="170"/>
      <c r="G5" s="171"/>
      <c r="H5" s="167" t="s">
        <v>227</v>
      </c>
      <c r="I5" s="168"/>
      <c r="J5" s="168"/>
      <c r="K5" s="168"/>
      <c r="L5" s="168"/>
      <c r="M5" s="168"/>
      <c r="N5" s="169"/>
      <c r="O5" s="180" t="s">
        <v>126</v>
      </c>
      <c r="P5" s="170"/>
      <c r="Q5" s="170"/>
      <c r="R5" s="170"/>
      <c r="S5" s="171"/>
      <c r="T5" s="54" t="s">
        <v>226</v>
      </c>
    </row>
    <row r="6" spans="1:20" x14ac:dyDescent="0.25">
      <c r="A6" s="53" t="s">
        <v>9</v>
      </c>
      <c r="B6" s="54" t="s">
        <v>10</v>
      </c>
      <c r="C6" s="172" t="s">
        <v>11</v>
      </c>
      <c r="D6" s="172"/>
      <c r="E6" s="172"/>
      <c r="F6" s="172"/>
      <c r="G6" s="172"/>
      <c r="H6" s="106" t="s">
        <v>224</v>
      </c>
      <c r="I6" s="105" t="s">
        <v>224</v>
      </c>
      <c r="J6" s="105" t="s">
        <v>224</v>
      </c>
      <c r="K6" s="105" t="s">
        <v>225</v>
      </c>
      <c r="L6" s="105" t="s">
        <v>224</v>
      </c>
      <c r="M6" s="105" t="s">
        <v>223</v>
      </c>
      <c r="N6" s="104"/>
      <c r="O6" s="174" t="s">
        <v>11</v>
      </c>
      <c r="P6" s="175"/>
      <c r="Q6" s="175"/>
      <c r="R6" s="175"/>
      <c r="S6" s="176"/>
      <c r="T6" s="54" t="s">
        <v>3</v>
      </c>
    </row>
    <row r="7" spans="1:20" x14ac:dyDescent="0.25">
      <c r="A7" s="51"/>
      <c r="B7" s="52"/>
      <c r="C7" s="164" t="s">
        <v>12</v>
      </c>
      <c r="D7" s="164"/>
      <c r="E7" s="164"/>
      <c r="F7" s="164"/>
      <c r="G7" s="164"/>
      <c r="H7" s="103" t="s">
        <v>221</v>
      </c>
      <c r="I7" s="102" t="s">
        <v>221</v>
      </c>
      <c r="J7" s="102" t="s">
        <v>221</v>
      </c>
      <c r="K7" s="102" t="s">
        <v>222</v>
      </c>
      <c r="L7" s="102" t="s">
        <v>221</v>
      </c>
      <c r="M7" s="102" t="s">
        <v>220</v>
      </c>
      <c r="N7" s="101" t="s">
        <v>219</v>
      </c>
      <c r="O7" s="174" t="s">
        <v>218</v>
      </c>
      <c r="P7" s="175"/>
      <c r="Q7" s="175"/>
      <c r="R7" s="175"/>
      <c r="S7" s="176"/>
      <c r="T7" s="52"/>
    </row>
    <row r="8" spans="1:20" ht="41.25" customHeight="1" thickBot="1" x14ac:dyDescent="0.3">
      <c r="A8" s="55"/>
      <c r="B8" s="56"/>
      <c r="C8" s="57" t="s">
        <v>13</v>
      </c>
      <c r="D8" s="58" t="s">
        <v>14</v>
      </c>
      <c r="E8" s="58" t="s">
        <v>15</v>
      </c>
      <c r="F8" s="58" t="s">
        <v>16</v>
      </c>
      <c r="G8" s="99" t="s">
        <v>127</v>
      </c>
      <c r="H8" s="100" t="s">
        <v>217</v>
      </c>
      <c r="I8" s="58" t="s">
        <v>216</v>
      </c>
      <c r="J8" s="58" t="s">
        <v>216</v>
      </c>
      <c r="K8" s="58" t="s">
        <v>215</v>
      </c>
      <c r="L8" s="58" t="s">
        <v>214</v>
      </c>
      <c r="M8" s="99" t="s">
        <v>213</v>
      </c>
      <c r="N8" s="98"/>
      <c r="O8" s="97" t="s">
        <v>13</v>
      </c>
      <c r="P8" s="96" t="s">
        <v>14</v>
      </c>
      <c r="Q8" s="96" t="s">
        <v>15</v>
      </c>
      <c r="R8" s="96" t="s">
        <v>16</v>
      </c>
      <c r="S8" s="95" t="s">
        <v>127</v>
      </c>
      <c r="T8" s="56"/>
    </row>
    <row r="9" spans="1:20" hidden="1" x14ac:dyDescent="0.25">
      <c r="A9" s="110">
        <v>51</v>
      </c>
      <c r="B9" s="111" t="s">
        <v>17</v>
      </c>
      <c r="C9" s="63">
        <f>C10+C14+C18+C21+C27+C30+C24</f>
        <v>124657.79</v>
      </c>
      <c r="D9" s="63">
        <f t="shared" ref="D9:R9" si="0">D10+D14+D18+D21+D27+D30+D24</f>
        <v>103071</v>
      </c>
      <c r="E9" s="63">
        <f t="shared" si="0"/>
        <v>39043</v>
      </c>
      <c r="F9" s="63">
        <f t="shared" si="0"/>
        <v>114095.69</v>
      </c>
      <c r="G9" s="112">
        <f>G10+G14+G18+G21+G27+G30+G24</f>
        <v>380867.48</v>
      </c>
      <c r="H9" s="113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3">
        <f t="shared" si="0"/>
        <v>0</v>
      </c>
      <c r="M9" s="63">
        <f t="shared" si="0"/>
        <v>0</v>
      </c>
      <c r="N9" s="66">
        <f t="shared" si="0"/>
        <v>0</v>
      </c>
      <c r="O9" s="113">
        <f t="shared" si="0"/>
        <v>117979.32</v>
      </c>
      <c r="P9" s="63">
        <f t="shared" si="0"/>
        <v>13680.960000000001</v>
      </c>
      <c r="Q9" s="63">
        <f t="shared" si="0"/>
        <v>5164.2</v>
      </c>
      <c r="R9" s="63">
        <f t="shared" si="0"/>
        <v>27165</v>
      </c>
      <c r="S9" s="63">
        <f>S10+S14+S18+S21+S24+S27+S30</f>
        <v>163989.48000000001</v>
      </c>
      <c r="T9" s="66">
        <f>T10+T14+T18+T21+T27+T30+T24</f>
        <v>544856.96</v>
      </c>
    </row>
    <row r="10" spans="1:20" hidden="1" x14ac:dyDescent="0.25">
      <c r="A10" s="114">
        <v>511</v>
      </c>
      <c r="B10" s="62" t="s">
        <v>18</v>
      </c>
      <c r="C10" s="63">
        <f>C11+C12+C13</f>
        <v>112657.79</v>
      </c>
      <c r="D10" s="63">
        <f t="shared" ref="D10:S10" si="1">D11+D12+D13</f>
        <v>103071</v>
      </c>
      <c r="E10" s="63">
        <f t="shared" si="1"/>
        <v>39043</v>
      </c>
      <c r="F10" s="63">
        <f t="shared" si="1"/>
        <v>114095.69</v>
      </c>
      <c r="G10" s="112">
        <f t="shared" si="1"/>
        <v>368867.48</v>
      </c>
      <c r="H10" s="11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6">
        <f t="shared" si="1"/>
        <v>0</v>
      </c>
      <c r="O10" s="113">
        <f t="shared" si="1"/>
        <v>30000</v>
      </c>
      <c r="P10" s="63">
        <f t="shared" si="1"/>
        <v>0</v>
      </c>
      <c r="Q10" s="63">
        <f t="shared" si="1"/>
        <v>0</v>
      </c>
      <c r="R10" s="63">
        <f t="shared" si="1"/>
        <v>0</v>
      </c>
      <c r="S10" s="63">
        <f t="shared" si="1"/>
        <v>30000</v>
      </c>
      <c r="T10" s="66">
        <f>T11+T12+T13</f>
        <v>398867.48</v>
      </c>
    </row>
    <row r="11" spans="1:20" hidden="1" x14ac:dyDescent="0.25">
      <c r="A11" s="115">
        <v>51101</v>
      </c>
      <c r="B11" s="69" t="s">
        <v>19</v>
      </c>
      <c r="C11" s="70">
        <v>66166.679999999993</v>
      </c>
      <c r="D11" s="70">
        <v>95880</v>
      </c>
      <c r="E11" s="70">
        <v>36240</v>
      </c>
      <c r="F11" s="70">
        <f>65946.72+32000.04</f>
        <v>97946.760000000009</v>
      </c>
      <c r="G11" s="116">
        <f>C11+D11+E11+F11</f>
        <v>296233.44</v>
      </c>
      <c r="H11" s="117"/>
      <c r="I11" s="70"/>
      <c r="J11" s="70"/>
      <c r="K11" s="70"/>
      <c r="L11" s="70"/>
      <c r="M11" s="70"/>
      <c r="N11" s="118">
        <f t="shared" ref="N11:N68" si="2">SUM(H11:M11)</f>
        <v>0</v>
      </c>
      <c r="O11" s="117"/>
      <c r="P11" s="70"/>
      <c r="Q11" s="70"/>
      <c r="R11" s="70"/>
      <c r="S11" s="70">
        <f>SUM(O11:R11)</f>
        <v>0</v>
      </c>
      <c r="T11" s="71">
        <f>S11+N11+G11</f>
        <v>296233.44</v>
      </c>
    </row>
    <row r="12" spans="1:20" hidden="1" x14ac:dyDescent="0.25">
      <c r="A12" s="115">
        <v>51103</v>
      </c>
      <c r="B12" s="69" t="s">
        <v>20</v>
      </c>
      <c r="C12" s="70">
        <v>4491.1099999999997</v>
      </c>
      <c r="D12" s="70">
        <v>7191</v>
      </c>
      <c r="E12" s="70">
        <v>2803</v>
      </c>
      <c r="F12" s="70">
        <f>8032.23+8116.7</f>
        <v>16148.93</v>
      </c>
      <c r="G12" s="116">
        <f>C12+D12+E12+F12</f>
        <v>30634.04</v>
      </c>
      <c r="H12" s="117"/>
      <c r="I12" s="70"/>
      <c r="J12" s="70"/>
      <c r="K12" s="70"/>
      <c r="L12" s="70"/>
      <c r="M12" s="70"/>
      <c r="N12" s="118">
        <f t="shared" si="2"/>
        <v>0</v>
      </c>
      <c r="O12" s="117"/>
      <c r="P12" s="70"/>
      <c r="Q12" s="70"/>
      <c r="R12" s="70"/>
      <c r="S12" s="70">
        <f t="shared" ref="S12:S31" si="3">SUM(O12:R12)</f>
        <v>0</v>
      </c>
      <c r="T12" s="71">
        <f t="shared" ref="T12:T13" si="4">S12+N12+G12</f>
        <v>30634.04</v>
      </c>
    </row>
    <row r="13" spans="1:20" hidden="1" x14ac:dyDescent="0.25">
      <c r="A13" s="115">
        <v>51105</v>
      </c>
      <c r="B13" s="69" t="s">
        <v>21</v>
      </c>
      <c r="C13" s="70">
        <v>42000</v>
      </c>
      <c r="D13" s="70"/>
      <c r="E13" s="70"/>
      <c r="F13" s="70"/>
      <c r="G13" s="116">
        <f>C13+D13+E13+F13</f>
        <v>42000</v>
      </c>
      <c r="H13" s="117"/>
      <c r="I13" s="70"/>
      <c r="J13" s="70"/>
      <c r="K13" s="70"/>
      <c r="L13" s="70"/>
      <c r="M13" s="70"/>
      <c r="N13" s="118">
        <f t="shared" si="2"/>
        <v>0</v>
      </c>
      <c r="O13" s="117">
        <v>30000</v>
      </c>
      <c r="P13" s="70"/>
      <c r="Q13" s="70"/>
      <c r="R13" s="70"/>
      <c r="S13" s="70">
        <f t="shared" si="3"/>
        <v>30000</v>
      </c>
      <c r="T13" s="71">
        <f t="shared" si="4"/>
        <v>72000</v>
      </c>
    </row>
    <row r="14" spans="1:20" hidden="1" x14ac:dyDescent="0.25">
      <c r="A14" s="114">
        <v>512</v>
      </c>
      <c r="B14" s="62" t="s">
        <v>22</v>
      </c>
      <c r="C14" s="63">
        <f>C15+C16+C17</f>
        <v>7200</v>
      </c>
      <c r="D14" s="63">
        <f t="shared" ref="D14:F14" si="5">D15+D16+D17</f>
        <v>0</v>
      </c>
      <c r="E14" s="63">
        <f t="shared" si="5"/>
        <v>0</v>
      </c>
      <c r="F14" s="63">
        <f t="shared" si="5"/>
        <v>0</v>
      </c>
      <c r="G14" s="112">
        <f>G15+G16+G17</f>
        <v>7200</v>
      </c>
      <c r="H14" s="113">
        <f t="shared" ref="H14:T14" si="6">H15+H16+H17</f>
        <v>0</v>
      </c>
      <c r="I14" s="63">
        <f t="shared" si="6"/>
        <v>0</v>
      </c>
      <c r="J14" s="63">
        <f t="shared" si="6"/>
        <v>0</v>
      </c>
      <c r="K14" s="63">
        <f t="shared" si="6"/>
        <v>0</v>
      </c>
      <c r="L14" s="63">
        <f t="shared" si="6"/>
        <v>0</v>
      </c>
      <c r="M14" s="63">
        <f t="shared" si="6"/>
        <v>0</v>
      </c>
      <c r="N14" s="66">
        <f t="shared" si="6"/>
        <v>0</v>
      </c>
      <c r="O14" s="113">
        <f t="shared" si="6"/>
        <v>30000</v>
      </c>
      <c r="P14" s="63">
        <f t="shared" si="6"/>
        <v>0</v>
      </c>
      <c r="Q14" s="63">
        <f t="shared" si="6"/>
        <v>0</v>
      </c>
      <c r="R14" s="63">
        <f t="shared" si="6"/>
        <v>0</v>
      </c>
      <c r="S14" s="63">
        <f t="shared" si="6"/>
        <v>30000</v>
      </c>
      <c r="T14" s="66">
        <f t="shared" si="6"/>
        <v>37200</v>
      </c>
    </row>
    <row r="15" spans="1:20" hidden="1" x14ac:dyDescent="0.25">
      <c r="A15" s="115">
        <v>51201</v>
      </c>
      <c r="B15" s="69" t="s">
        <v>19</v>
      </c>
      <c r="C15" s="70">
        <v>7200</v>
      </c>
      <c r="D15" s="70"/>
      <c r="E15" s="70"/>
      <c r="F15" s="70"/>
      <c r="G15" s="116">
        <f t="shared" ref="G15:G80" si="7">C15+D15+E15+F15</f>
        <v>7200</v>
      </c>
      <c r="H15" s="117"/>
      <c r="I15" s="70"/>
      <c r="J15" s="70"/>
      <c r="K15" s="70"/>
      <c r="L15" s="70"/>
      <c r="M15" s="70"/>
      <c r="N15" s="118">
        <f t="shared" si="2"/>
        <v>0</v>
      </c>
      <c r="O15" s="117"/>
      <c r="P15" s="70"/>
      <c r="Q15" s="70"/>
      <c r="R15" s="70"/>
      <c r="S15" s="70">
        <f t="shared" si="3"/>
        <v>0</v>
      </c>
      <c r="T15" s="71">
        <f t="shared" ref="T15:T17" si="8">S15+N15+G15</f>
        <v>7200</v>
      </c>
    </row>
    <row r="16" spans="1:20" hidden="1" x14ac:dyDescent="0.25">
      <c r="A16" s="115">
        <v>51202</v>
      </c>
      <c r="B16" s="69" t="s">
        <v>23</v>
      </c>
      <c r="C16" s="70"/>
      <c r="D16" s="70"/>
      <c r="E16" s="70"/>
      <c r="F16" s="70"/>
      <c r="G16" s="116">
        <f t="shared" si="7"/>
        <v>0</v>
      </c>
      <c r="H16" s="117"/>
      <c r="I16" s="70"/>
      <c r="J16" s="70"/>
      <c r="K16" s="70"/>
      <c r="L16" s="70"/>
      <c r="M16" s="70"/>
      <c r="N16" s="118">
        <f t="shared" si="2"/>
        <v>0</v>
      </c>
      <c r="O16" s="117">
        <v>30000</v>
      </c>
      <c r="P16" s="70"/>
      <c r="Q16" s="70"/>
      <c r="R16" s="70"/>
      <c r="S16" s="70">
        <f t="shared" si="3"/>
        <v>30000</v>
      </c>
      <c r="T16" s="71">
        <f t="shared" si="8"/>
        <v>30000</v>
      </c>
    </row>
    <row r="17" spans="1:20" hidden="1" x14ac:dyDescent="0.25">
      <c r="A17" s="115">
        <v>51203</v>
      </c>
      <c r="B17" s="69" t="s">
        <v>20</v>
      </c>
      <c r="C17" s="70"/>
      <c r="D17" s="70"/>
      <c r="E17" s="70"/>
      <c r="F17" s="70"/>
      <c r="G17" s="116">
        <f t="shared" si="7"/>
        <v>0</v>
      </c>
      <c r="H17" s="117"/>
      <c r="I17" s="70"/>
      <c r="J17" s="70"/>
      <c r="K17" s="70"/>
      <c r="L17" s="70"/>
      <c r="M17" s="70"/>
      <c r="N17" s="118">
        <f t="shared" si="2"/>
        <v>0</v>
      </c>
      <c r="O17" s="117"/>
      <c r="P17" s="70"/>
      <c r="Q17" s="70"/>
      <c r="R17" s="70"/>
      <c r="S17" s="70">
        <f t="shared" si="3"/>
        <v>0</v>
      </c>
      <c r="T17" s="71">
        <f t="shared" si="8"/>
        <v>0</v>
      </c>
    </row>
    <row r="18" spans="1:20" hidden="1" x14ac:dyDescent="0.25">
      <c r="A18" s="114">
        <v>514</v>
      </c>
      <c r="B18" s="62" t="s">
        <v>24</v>
      </c>
      <c r="C18" s="63">
        <f>C19+C20</f>
        <v>0</v>
      </c>
      <c r="D18" s="63">
        <f t="shared" ref="D18:T18" si="9">D19+D20</f>
        <v>0</v>
      </c>
      <c r="E18" s="63">
        <f t="shared" si="9"/>
        <v>0</v>
      </c>
      <c r="F18" s="63">
        <f t="shared" si="9"/>
        <v>0</v>
      </c>
      <c r="G18" s="112">
        <f t="shared" si="9"/>
        <v>0</v>
      </c>
      <c r="H18" s="113">
        <f t="shared" si="9"/>
        <v>0</v>
      </c>
      <c r="I18" s="63">
        <f t="shared" si="9"/>
        <v>0</v>
      </c>
      <c r="J18" s="63">
        <f t="shared" si="9"/>
        <v>0</v>
      </c>
      <c r="K18" s="63">
        <f t="shared" si="9"/>
        <v>0</v>
      </c>
      <c r="L18" s="63">
        <f t="shared" si="9"/>
        <v>0</v>
      </c>
      <c r="M18" s="63">
        <f t="shared" si="9"/>
        <v>0</v>
      </c>
      <c r="N18" s="66">
        <f t="shared" si="9"/>
        <v>0</v>
      </c>
      <c r="O18" s="113">
        <f t="shared" si="9"/>
        <v>4760.04</v>
      </c>
      <c r="P18" s="63">
        <f t="shared" si="9"/>
        <v>7191</v>
      </c>
      <c r="Q18" s="63">
        <f t="shared" si="9"/>
        <v>2718</v>
      </c>
      <c r="R18" s="63">
        <f t="shared" si="9"/>
        <v>14538.84</v>
      </c>
      <c r="S18" s="63">
        <f t="shared" si="9"/>
        <v>29207.88</v>
      </c>
      <c r="T18" s="66">
        <f t="shared" si="9"/>
        <v>29207.88</v>
      </c>
    </row>
    <row r="19" spans="1:20" hidden="1" x14ac:dyDescent="0.25">
      <c r="A19" s="115">
        <v>51401</v>
      </c>
      <c r="B19" s="69" t="s">
        <v>25</v>
      </c>
      <c r="C19" s="70">
        <v>0</v>
      </c>
      <c r="D19" s="70">
        <v>0</v>
      </c>
      <c r="E19" s="70">
        <v>0</v>
      </c>
      <c r="F19" s="70">
        <v>0</v>
      </c>
      <c r="G19" s="116">
        <f t="shared" si="7"/>
        <v>0</v>
      </c>
      <c r="H19" s="117"/>
      <c r="I19" s="70"/>
      <c r="J19" s="70"/>
      <c r="K19" s="70"/>
      <c r="L19" s="70"/>
      <c r="M19" s="70"/>
      <c r="N19" s="118">
        <f t="shared" si="2"/>
        <v>0</v>
      </c>
      <c r="O19" s="117">
        <f>321.67*12</f>
        <v>3860.04</v>
      </c>
      <c r="P19" s="70">
        <f>599.25*12</f>
        <v>7191</v>
      </c>
      <c r="Q19" s="70">
        <f>226.5*12</f>
        <v>2718</v>
      </c>
      <c r="R19" s="70">
        <f>(412.17+599.4+200)*12</f>
        <v>14538.84</v>
      </c>
      <c r="S19" s="70">
        <f t="shared" si="3"/>
        <v>28307.88</v>
      </c>
      <c r="T19" s="71">
        <f t="shared" ref="T19:T20" si="10">S19+N19+G19</f>
        <v>28307.88</v>
      </c>
    </row>
    <row r="20" spans="1:20" hidden="1" x14ac:dyDescent="0.25">
      <c r="A20" s="115">
        <v>51402</v>
      </c>
      <c r="B20" s="69" t="s">
        <v>26</v>
      </c>
      <c r="C20" s="70"/>
      <c r="D20" s="70"/>
      <c r="E20" s="70"/>
      <c r="F20" s="70"/>
      <c r="G20" s="116">
        <f t="shared" si="7"/>
        <v>0</v>
      </c>
      <c r="H20" s="117"/>
      <c r="I20" s="70"/>
      <c r="J20" s="70"/>
      <c r="K20" s="70"/>
      <c r="L20" s="70"/>
      <c r="M20" s="70"/>
      <c r="N20" s="118">
        <f t="shared" si="2"/>
        <v>0</v>
      </c>
      <c r="O20" s="117">
        <f>75*12</f>
        <v>900</v>
      </c>
      <c r="P20" s="70"/>
      <c r="Q20" s="70"/>
      <c r="R20" s="70"/>
      <c r="S20" s="70">
        <f t="shared" si="3"/>
        <v>900</v>
      </c>
      <c r="T20" s="71">
        <f t="shared" si="10"/>
        <v>900</v>
      </c>
    </row>
    <row r="21" spans="1:20" hidden="1" x14ac:dyDescent="0.25">
      <c r="A21" s="114">
        <v>515</v>
      </c>
      <c r="B21" s="62" t="s">
        <v>27</v>
      </c>
      <c r="C21" s="63">
        <f>C22+C23</f>
        <v>0</v>
      </c>
      <c r="D21" s="63">
        <f t="shared" ref="D21:N21" si="11">D22+D23</f>
        <v>0</v>
      </c>
      <c r="E21" s="63">
        <f t="shared" si="11"/>
        <v>0</v>
      </c>
      <c r="F21" s="63">
        <f t="shared" si="11"/>
        <v>0</v>
      </c>
      <c r="G21" s="112">
        <f t="shared" si="11"/>
        <v>0</v>
      </c>
      <c r="H21" s="113">
        <f t="shared" si="11"/>
        <v>0</v>
      </c>
      <c r="I21" s="63">
        <f t="shared" si="11"/>
        <v>0</v>
      </c>
      <c r="J21" s="63">
        <f t="shared" si="11"/>
        <v>0</v>
      </c>
      <c r="K21" s="63">
        <f t="shared" si="11"/>
        <v>0</v>
      </c>
      <c r="L21" s="63">
        <f t="shared" si="11"/>
        <v>0</v>
      </c>
      <c r="M21" s="63">
        <f t="shared" si="11"/>
        <v>0</v>
      </c>
      <c r="N21" s="66">
        <f t="shared" si="11"/>
        <v>0</v>
      </c>
      <c r="O21" s="113">
        <f>O22+O23</f>
        <v>5219.28</v>
      </c>
      <c r="P21" s="63">
        <f t="shared" ref="P21:R21" si="12">P22+P23</f>
        <v>6489.9600000000009</v>
      </c>
      <c r="Q21" s="63">
        <f t="shared" si="12"/>
        <v>2446.1999999999998</v>
      </c>
      <c r="R21" s="63">
        <f t="shared" si="12"/>
        <v>12626.16</v>
      </c>
      <c r="S21" s="63">
        <f>S22+S23</f>
        <v>26781.600000000002</v>
      </c>
      <c r="T21" s="66">
        <f>T22+T23</f>
        <v>26781.600000000002</v>
      </c>
    </row>
    <row r="22" spans="1:20" hidden="1" x14ac:dyDescent="0.25">
      <c r="A22" s="115">
        <v>51501</v>
      </c>
      <c r="B22" s="69" t="s">
        <v>25</v>
      </c>
      <c r="C22" s="70"/>
      <c r="D22" s="70"/>
      <c r="E22" s="70"/>
      <c r="F22" s="70"/>
      <c r="G22" s="116">
        <f t="shared" si="7"/>
        <v>0</v>
      </c>
      <c r="H22" s="117"/>
      <c r="I22" s="70"/>
      <c r="J22" s="70"/>
      <c r="K22" s="70"/>
      <c r="L22" s="70"/>
      <c r="M22" s="70"/>
      <c r="N22" s="118">
        <f t="shared" si="2"/>
        <v>0</v>
      </c>
      <c r="O22" s="117">
        <f>372.19*12</f>
        <v>4466.28</v>
      </c>
      <c r="P22" s="70">
        <f>540.83*12</f>
        <v>6489.9600000000009</v>
      </c>
      <c r="Q22" s="70">
        <f>203.85*12</f>
        <v>2446.1999999999998</v>
      </c>
      <c r="R22" s="70">
        <f>(372.45+509.94+169.79)*12</f>
        <v>12626.16</v>
      </c>
      <c r="S22" s="70">
        <f t="shared" si="3"/>
        <v>26028.600000000002</v>
      </c>
      <c r="T22" s="71">
        <f t="shared" ref="T22:T23" si="13">S22+N22+G22</f>
        <v>26028.600000000002</v>
      </c>
    </row>
    <row r="23" spans="1:20" hidden="1" x14ac:dyDescent="0.25">
      <c r="A23" s="115">
        <v>51502</v>
      </c>
      <c r="B23" s="69" t="s">
        <v>26</v>
      </c>
      <c r="C23" s="70"/>
      <c r="D23" s="70"/>
      <c r="E23" s="70"/>
      <c r="F23" s="70"/>
      <c r="G23" s="116">
        <f t="shared" si="7"/>
        <v>0</v>
      </c>
      <c r="H23" s="117"/>
      <c r="I23" s="70"/>
      <c r="J23" s="70"/>
      <c r="K23" s="70"/>
      <c r="L23" s="70"/>
      <c r="M23" s="70"/>
      <c r="N23" s="118">
        <f t="shared" si="2"/>
        <v>0</v>
      </c>
      <c r="O23" s="117">
        <f>62.75*12</f>
        <v>753</v>
      </c>
      <c r="P23" s="70"/>
      <c r="Q23" s="70"/>
      <c r="R23" s="70"/>
      <c r="S23" s="70">
        <f t="shared" si="3"/>
        <v>753</v>
      </c>
      <c r="T23" s="71">
        <f t="shared" si="13"/>
        <v>753</v>
      </c>
    </row>
    <row r="24" spans="1:20" hidden="1" x14ac:dyDescent="0.25">
      <c r="A24" s="114">
        <v>517</v>
      </c>
      <c r="B24" s="62" t="s">
        <v>28</v>
      </c>
      <c r="C24" s="63">
        <f>C25+C26</f>
        <v>0</v>
      </c>
      <c r="D24" s="63">
        <f>D25+D26</f>
        <v>0</v>
      </c>
      <c r="E24" s="63">
        <f t="shared" ref="E24:R24" si="14">E25+E26</f>
        <v>0</v>
      </c>
      <c r="F24" s="63">
        <f t="shared" si="14"/>
        <v>0</v>
      </c>
      <c r="G24" s="112">
        <f t="shared" si="14"/>
        <v>0</v>
      </c>
      <c r="H24" s="113">
        <f t="shared" si="14"/>
        <v>0</v>
      </c>
      <c r="I24" s="63">
        <f t="shared" si="14"/>
        <v>0</v>
      </c>
      <c r="J24" s="63">
        <f t="shared" si="14"/>
        <v>0</v>
      </c>
      <c r="K24" s="63">
        <f t="shared" si="14"/>
        <v>0</v>
      </c>
      <c r="L24" s="63">
        <f t="shared" si="14"/>
        <v>0</v>
      </c>
      <c r="M24" s="63">
        <f t="shared" si="14"/>
        <v>0</v>
      </c>
      <c r="N24" s="66">
        <f t="shared" si="14"/>
        <v>0</v>
      </c>
      <c r="O24" s="63">
        <f>O25+O26</f>
        <v>32500</v>
      </c>
      <c r="P24" s="63">
        <f t="shared" si="14"/>
        <v>0</v>
      </c>
      <c r="Q24" s="63">
        <f t="shared" si="14"/>
        <v>0</v>
      </c>
      <c r="R24" s="63">
        <f t="shared" si="14"/>
        <v>0</v>
      </c>
      <c r="S24" s="63">
        <f>S25+S26</f>
        <v>32500</v>
      </c>
      <c r="T24" s="66">
        <f>T25+T26</f>
        <v>32500</v>
      </c>
    </row>
    <row r="25" spans="1:20" hidden="1" x14ac:dyDescent="0.25">
      <c r="A25" s="115">
        <v>51701</v>
      </c>
      <c r="B25" s="69" t="s">
        <v>29</v>
      </c>
      <c r="C25" s="70"/>
      <c r="D25" s="70">
        <v>0</v>
      </c>
      <c r="E25" s="70">
        <v>0</v>
      </c>
      <c r="F25" s="70">
        <v>0</v>
      </c>
      <c r="G25" s="119">
        <v>0</v>
      </c>
      <c r="H25" s="117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2">
        <v>0</v>
      </c>
      <c r="O25" s="70">
        <v>31500</v>
      </c>
      <c r="P25" s="70">
        <v>0</v>
      </c>
      <c r="Q25" s="70">
        <v>0</v>
      </c>
      <c r="R25" s="70">
        <v>0</v>
      </c>
      <c r="S25" s="70">
        <f t="shared" si="3"/>
        <v>31500</v>
      </c>
      <c r="T25" s="71">
        <f t="shared" ref="T25:T26" si="15">S25+N25+G25</f>
        <v>31500</v>
      </c>
    </row>
    <row r="26" spans="1:20" hidden="1" x14ac:dyDescent="0.25">
      <c r="A26" s="115">
        <v>51702</v>
      </c>
      <c r="B26" s="69" t="s">
        <v>30</v>
      </c>
      <c r="C26" s="70"/>
      <c r="D26" s="70"/>
      <c r="E26" s="70"/>
      <c r="F26" s="70"/>
      <c r="G26" s="119">
        <v>0</v>
      </c>
      <c r="H26" s="117"/>
      <c r="I26" s="70"/>
      <c r="J26" s="70"/>
      <c r="K26" s="70"/>
      <c r="L26" s="70"/>
      <c r="M26" s="70"/>
      <c r="N26" s="118"/>
      <c r="O26" s="117">
        <v>1000</v>
      </c>
      <c r="P26" s="70"/>
      <c r="Q26" s="70"/>
      <c r="R26" s="70"/>
      <c r="S26" s="70">
        <f t="shared" si="3"/>
        <v>1000</v>
      </c>
      <c r="T26" s="71">
        <f t="shared" si="15"/>
        <v>1000</v>
      </c>
    </row>
    <row r="27" spans="1:20" hidden="1" x14ac:dyDescent="0.25">
      <c r="A27" s="114">
        <v>516</v>
      </c>
      <c r="B27" s="62" t="s">
        <v>31</v>
      </c>
      <c r="C27" s="63">
        <f>C28+C29</f>
        <v>0</v>
      </c>
      <c r="D27" s="63">
        <f t="shared" ref="D27:R27" si="16">D28+D29</f>
        <v>0</v>
      </c>
      <c r="E27" s="63">
        <f t="shared" si="16"/>
        <v>0</v>
      </c>
      <c r="F27" s="63">
        <f t="shared" si="16"/>
        <v>0</v>
      </c>
      <c r="G27" s="112">
        <f t="shared" si="16"/>
        <v>0</v>
      </c>
      <c r="H27" s="113">
        <f t="shared" si="16"/>
        <v>0</v>
      </c>
      <c r="I27" s="63">
        <f t="shared" si="16"/>
        <v>0</v>
      </c>
      <c r="J27" s="63">
        <f t="shared" si="16"/>
        <v>0</v>
      </c>
      <c r="K27" s="63">
        <f t="shared" si="16"/>
        <v>0</v>
      </c>
      <c r="L27" s="63">
        <f t="shared" si="16"/>
        <v>0</v>
      </c>
      <c r="M27" s="63">
        <f t="shared" si="16"/>
        <v>0</v>
      </c>
      <c r="N27" s="66">
        <f t="shared" si="16"/>
        <v>0</v>
      </c>
      <c r="O27" s="113">
        <f t="shared" si="16"/>
        <v>15000</v>
      </c>
      <c r="P27" s="63">
        <f t="shared" si="16"/>
        <v>0</v>
      </c>
      <c r="Q27" s="63">
        <f t="shared" si="16"/>
        <v>0</v>
      </c>
      <c r="R27" s="63">
        <f t="shared" si="16"/>
        <v>0</v>
      </c>
      <c r="S27" s="63">
        <f>S28+S29</f>
        <v>15000</v>
      </c>
      <c r="T27" s="66">
        <f t="shared" ref="T27" si="17">T28+T29</f>
        <v>15000</v>
      </c>
    </row>
    <row r="28" spans="1:20" hidden="1" x14ac:dyDescent="0.25">
      <c r="A28" s="115">
        <v>51601</v>
      </c>
      <c r="B28" s="69" t="s">
        <v>32</v>
      </c>
      <c r="C28" s="70"/>
      <c r="D28" s="70"/>
      <c r="E28" s="70"/>
      <c r="F28" s="70"/>
      <c r="G28" s="116">
        <f t="shared" si="7"/>
        <v>0</v>
      </c>
      <c r="H28" s="117"/>
      <c r="I28" s="70"/>
      <c r="J28" s="70"/>
      <c r="K28" s="70"/>
      <c r="L28" s="70"/>
      <c r="M28" s="70"/>
      <c r="N28" s="118">
        <f t="shared" si="2"/>
        <v>0</v>
      </c>
      <c r="O28" s="117">
        <v>12000</v>
      </c>
      <c r="P28" s="70"/>
      <c r="Q28" s="70"/>
      <c r="R28" s="70"/>
      <c r="S28" s="70">
        <f t="shared" si="3"/>
        <v>12000</v>
      </c>
      <c r="T28" s="71">
        <f t="shared" ref="T28:T31" si="18">S28+N28+G28</f>
        <v>12000</v>
      </c>
    </row>
    <row r="29" spans="1:20" hidden="1" x14ac:dyDescent="0.25">
      <c r="A29" s="115">
        <v>51602</v>
      </c>
      <c r="B29" s="69" t="s">
        <v>33</v>
      </c>
      <c r="C29" s="70"/>
      <c r="D29" s="70"/>
      <c r="E29" s="70"/>
      <c r="F29" s="70"/>
      <c r="G29" s="116">
        <f t="shared" si="7"/>
        <v>0</v>
      </c>
      <c r="H29" s="117"/>
      <c r="I29" s="70"/>
      <c r="J29" s="70"/>
      <c r="K29" s="70"/>
      <c r="L29" s="70"/>
      <c r="M29" s="70"/>
      <c r="N29" s="118">
        <f t="shared" si="2"/>
        <v>0</v>
      </c>
      <c r="O29" s="117">
        <v>3000</v>
      </c>
      <c r="P29" s="70"/>
      <c r="Q29" s="70"/>
      <c r="R29" s="70"/>
      <c r="S29" s="70">
        <f t="shared" si="3"/>
        <v>3000</v>
      </c>
      <c r="T29" s="71">
        <f t="shared" si="18"/>
        <v>3000</v>
      </c>
    </row>
    <row r="30" spans="1:20" hidden="1" x14ac:dyDescent="0.25">
      <c r="A30" s="114">
        <v>519</v>
      </c>
      <c r="B30" s="62" t="s">
        <v>34</v>
      </c>
      <c r="C30" s="63">
        <f>C31</f>
        <v>4800</v>
      </c>
      <c r="D30" s="63">
        <f t="shared" ref="D30:G30" si="19">D31</f>
        <v>0</v>
      </c>
      <c r="E30" s="63">
        <f t="shared" si="19"/>
        <v>0</v>
      </c>
      <c r="F30" s="63">
        <f t="shared" si="19"/>
        <v>0</v>
      </c>
      <c r="G30" s="112">
        <f t="shared" si="19"/>
        <v>4800</v>
      </c>
      <c r="H30" s="113">
        <f>H31</f>
        <v>0</v>
      </c>
      <c r="I30" s="63">
        <f t="shared" ref="I30:R30" si="20">I31</f>
        <v>0</v>
      </c>
      <c r="J30" s="63">
        <f t="shared" si="20"/>
        <v>0</v>
      </c>
      <c r="K30" s="63">
        <f t="shared" si="20"/>
        <v>0</v>
      </c>
      <c r="L30" s="63">
        <f t="shared" si="20"/>
        <v>0</v>
      </c>
      <c r="M30" s="63">
        <f t="shared" si="20"/>
        <v>0</v>
      </c>
      <c r="N30" s="66">
        <f t="shared" si="20"/>
        <v>0</v>
      </c>
      <c r="O30" s="113">
        <f t="shared" si="20"/>
        <v>500</v>
      </c>
      <c r="P30" s="63">
        <f t="shared" si="20"/>
        <v>0</v>
      </c>
      <c r="Q30" s="63">
        <f t="shared" si="20"/>
        <v>0</v>
      </c>
      <c r="R30" s="63">
        <f t="shared" si="20"/>
        <v>0</v>
      </c>
      <c r="S30" s="63">
        <f>S31</f>
        <v>500</v>
      </c>
      <c r="T30" s="66">
        <f t="shared" ref="T30" si="21">T31</f>
        <v>5300</v>
      </c>
    </row>
    <row r="31" spans="1:20" hidden="1" x14ac:dyDescent="0.25">
      <c r="A31" s="115">
        <v>51901</v>
      </c>
      <c r="B31" s="69" t="s">
        <v>35</v>
      </c>
      <c r="C31" s="70">
        <v>4800</v>
      </c>
      <c r="D31" s="70"/>
      <c r="E31" s="70"/>
      <c r="F31" s="70"/>
      <c r="G31" s="116">
        <f t="shared" si="7"/>
        <v>4800</v>
      </c>
      <c r="H31" s="117"/>
      <c r="I31" s="70"/>
      <c r="J31" s="70"/>
      <c r="K31" s="70"/>
      <c r="L31" s="70"/>
      <c r="M31" s="70"/>
      <c r="N31" s="118">
        <f t="shared" si="2"/>
        <v>0</v>
      </c>
      <c r="O31" s="117">
        <v>500</v>
      </c>
      <c r="P31" s="70"/>
      <c r="Q31" s="70"/>
      <c r="R31" s="70"/>
      <c r="S31" s="70">
        <f t="shared" si="3"/>
        <v>500</v>
      </c>
      <c r="T31" s="71">
        <f t="shared" si="18"/>
        <v>5300</v>
      </c>
    </row>
    <row r="32" spans="1:20" hidden="1" x14ac:dyDescent="0.25">
      <c r="A32" s="114">
        <v>54</v>
      </c>
      <c r="B32" s="62" t="s">
        <v>36</v>
      </c>
      <c r="C32" s="63">
        <f>C33+C52+C58</f>
        <v>119847.8</v>
      </c>
      <c r="D32" s="63">
        <f t="shared" ref="D32:T32" si="22">D33+D52+D58</f>
        <v>1000</v>
      </c>
      <c r="E32" s="63">
        <f t="shared" si="22"/>
        <v>500</v>
      </c>
      <c r="F32" s="63">
        <f t="shared" si="22"/>
        <v>500</v>
      </c>
      <c r="G32" s="112">
        <f>G33+G52+G58+G69+G79+G73</f>
        <v>121847.8</v>
      </c>
      <c r="H32" s="113">
        <f t="shared" si="22"/>
        <v>0</v>
      </c>
      <c r="I32" s="63">
        <f t="shared" si="22"/>
        <v>0</v>
      </c>
      <c r="J32" s="63">
        <f t="shared" si="22"/>
        <v>0</v>
      </c>
      <c r="K32" s="63">
        <f t="shared" si="22"/>
        <v>0</v>
      </c>
      <c r="L32" s="63">
        <f t="shared" si="22"/>
        <v>0</v>
      </c>
      <c r="M32" s="63">
        <f t="shared" si="22"/>
        <v>0</v>
      </c>
      <c r="N32" s="66">
        <f t="shared" si="22"/>
        <v>0</v>
      </c>
      <c r="O32" s="113">
        <f t="shared" si="22"/>
        <v>123825</v>
      </c>
      <c r="P32" s="63">
        <f t="shared" si="22"/>
        <v>8600</v>
      </c>
      <c r="Q32" s="63">
        <f t="shared" si="22"/>
        <v>7600</v>
      </c>
      <c r="R32" s="63">
        <f t="shared" si="22"/>
        <v>4100</v>
      </c>
      <c r="S32" s="63">
        <f>S33+S52+S58+S69+S79+S73</f>
        <v>152886.35999999999</v>
      </c>
      <c r="T32" s="66">
        <f t="shared" si="22"/>
        <v>265972.8</v>
      </c>
    </row>
    <row r="33" spans="1:20" hidden="1" x14ac:dyDescent="0.25">
      <c r="A33" s="114">
        <v>541</v>
      </c>
      <c r="B33" s="62" t="s">
        <v>37</v>
      </c>
      <c r="C33" s="63">
        <f>SUM(C34:C51)</f>
        <v>9102.36</v>
      </c>
      <c r="D33" s="63">
        <f t="shared" ref="D33:T33" si="23">SUM(D34:D51)</f>
        <v>1000</v>
      </c>
      <c r="E33" s="63">
        <f t="shared" si="23"/>
        <v>500</v>
      </c>
      <c r="F33" s="63">
        <f t="shared" si="23"/>
        <v>500</v>
      </c>
      <c r="G33" s="112">
        <f>SUM(G34:G51)</f>
        <v>11102.36</v>
      </c>
      <c r="H33" s="113">
        <f t="shared" si="23"/>
        <v>0</v>
      </c>
      <c r="I33" s="63">
        <f t="shared" si="23"/>
        <v>0</v>
      </c>
      <c r="J33" s="63">
        <f t="shared" si="23"/>
        <v>0</v>
      </c>
      <c r="K33" s="63">
        <f t="shared" si="23"/>
        <v>0</v>
      </c>
      <c r="L33" s="63">
        <f t="shared" si="23"/>
        <v>0</v>
      </c>
      <c r="M33" s="63">
        <f t="shared" si="23"/>
        <v>0</v>
      </c>
      <c r="N33" s="66">
        <f t="shared" si="23"/>
        <v>0</v>
      </c>
      <c r="O33" s="113">
        <f t="shared" si="23"/>
        <v>38600</v>
      </c>
      <c r="P33" s="63">
        <f t="shared" si="23"/>
        <v>8600</v>
      </c>
      <c r="Q33" s="63">
        <f t="shared" si="23"/>
        <v>7600</v>
      </c>
      <c r="R33" s="63">
        <f t="shared" si="23"/>
        <v>4100</v>
      </c>
      <c r="S33" s="63">
        <f>SUM(S34:S51)</f>
        <v>58900</v>
      </c>
      <c r="T33" s="66">
        <f t="shared" si="23"/>
        <v>70002.36</v>
      </c>
    </row>
    <row r="34" spans="1:20" hidden="1" x14ac:dyDescent="0.25">
      <c r="A34" s="115">
        <v>54101</v>
      </c>
      <c r="B34" s="69" t="s">
        <v>38</v>
      </c>
      <c r="C34" s="70"/>
      <c r="D34" s="70"/>
      <c r="E34" s="70"/>
      <c r="F34" s="70"/>
      <c r="G34" s="116">
        <f t="shared" si="7"/>
        <v>0</v>
      </c>
      <c r="H34" s="117"/>
      <c r="I34" s="70"/>
      <c r="J34" s="70"/>
      <c r="K34" s="70"/>
      <c r="L34" s="70"/>
      <c r="M34" s="70"/>
      <c r="N34" s="118">
        <f t="shared" si="2"/>
        <v>0</v>
      </c>
      <c r="O34" s="117">
        <v>1000</v>
      </c>
      <c r="P34" s="70"/>
      <c r="Q34" s="70"/>
      <c r="R34" s="70"/>
      <c r="S34" s="70">
        <f t="shared" ref="S34:S51" si="24">SUM(O34:R34)</f>
        <v>1000</v>
      </c>
      <c r="T34" s="71">
        <f t="shared" ref="T34:T51" si="25">S34+N34+G34</f>
        <v>1000</v>
      </c>
    </row>
    <row r="35" spans="1:20" hidden="1" x14ac:dyDescent="0.25">
      <c r="A35" s="115">
        <v>54103</v>
      </c>
      <c r="B35" s="69" t="s">
        <v>39</v>
      </c>
      <c r="C35" s="70"/>
      <c r="D35" s="70"/>
      <c r="E35" s="70"/>
      <c r="F35" s="70"/>
      <c r="G35" s="116">
        <f t="shared" si="7"/>
        <v>0</v>
      </c>
      <c r="H35" s="117"/>
      <c r="I35" s="70"/>
      <c r="J35" s="70"/>
      <c r="K35" s="70"/>
      <c r="L35" s="70"/>
      <c r="M35" s="70"/>
      <c r="N35" s="118">
        <f t="shared" si="2"/>
        <v>0</v>
      </c>
      <c r="O35" s="117">
        <v>500</v>
      </c>
      <c r="P35" s="70"/>
      <c r="Q35" s="70"/>
      <c r="R35" s="70"/>
      <c r="S35" s="70">
        <f t="shared" si="24"/>
        <v>500</v>
      </c>
      <c r="T35" s="71">
        <f t="shared" si="25"/>
        <v>500</v>
      </c>
    </row>
    <row r="36" spans="1:20" hidden="1" x14ac:dyDescent="0.25">
      <c r="A36" s="115">
        <v>54104</v>
      </c>
      <c r="B36" s="69" t="s">
        <v>40</v>
      </c>
      <c r="C36" s="70">
        <f>3605.36</f>
        <v>3605.36</v>
      </c>
      <c r="D36" s="70"/>
      <c r="E36" s="70"/>
      <c r="F36" s="70"/>
      <c r="G36" s="116">
        <f t="shared" si="7"/>
        <v>3605.36</v>
      </c>
      <c r="H36" s="117"/>
      <c r="I36" s="70"/>
      <c r="J36" s="70"/>
      <c r="K36" s="70"/>
      <c r="L36" s="70"/>
      <c r="M36" s="70"/>
      <c r="N36" s="118">
        <f t="shared" si="2"/>
        <v>0</v>
      </c>
      <c r="O36" s="117">
        <v>5400</v>
      </c>
      <c r="P36" s="70"/>
      <c r="Q36" s="70"/>
      <c r="R36" s="70"/>
      <c r="S36" s="70">
        <f t="shared" si="24"/>
        <v>5400</v>
      </c>
      <c r="T36" s="71">
        <f t="shared" si="25"/>
        <v>9005.36</v>
      </c>
    </row>
    <row r="37" spans="1:20" hidden="1" x14ac:dyDescent="0.25">
      <c r="A37" s="115">
        <v>54105</v>
      </c>
      <c r="B37" s="69" t="s">
        <v>41</v>
      </c>
      <c r="C37" s="70"/>
      <c r="D37" s="70"/>
      <c r="E37" s="70"/>
      <c r="F37" s="70"/>
      <c r="G37" s="116">
        <f t="shared" si="7"/>
        <v>0</v>
      </c>
      <c r="H37" s="117"/>
      <c r="I37" s="70"/>
      <c r="J37" s="70"/>
      <c r="K37" s="70"/>
      <c r="L37" s="70"/>
      <c r="M37" s="70"/>
      <c r="N37" s="118">
        <f t="shared" si="2"/>
        <v>0</v>
      </c>
      <c r="O37" s="117">
        <v>2000</v>
      </c>
      <c r="P37" s="70">
        <v>1500</v>
      </c>
      <c r="Q37" s="70">
        <v>1000</v>
      </c>
      <c r="R37" s="70">
        <v>500</v>
      </c>
      <c r="S37" s="70">
        <f t="shared" si="24"/>
        <v>5000</v>
      </c>
      <c r="T37" s="71">
        <f t="shared" si="25"/>
        <v>5000</v>
      </c>
    </row>
    <row r="38" spans="1:20" hidden="1" x14ac:dyDescent="0.25">
      <c r="A38" s="115">
        <v>54106</v>
      </c>
      <c r="B38" s="69" t="s">
        <v>42</v>
      </c>
      <c r="C38" s="70"/>
      <c r="D38" s="70"/>
      <c r="E38" s="70"/>
      <c r="F38" s="70"/>
      <c r="G38" s="116">
        <f t="shared" si="7"/>
        <v>0</v>
      </c>
      <c r="H38" s="117"/>
      <c r="I38" s="70"/>
      <c r="J38" s="70"/>
      <c r="K38" s="70"/>
      <c r="L38" s="70"/>
      <c r="M38" s="70"/>
      <c r="N38" s="118">
        <f t="shared" si="2"/>
        <v>0</v>
      </c>
      <c r="O38" s="117">
        <v>100</v>
      </c>
      <c r="P38" s="117">
        <v>100</v>
      </c>
      <c r="Q38" s="117">
        <v>100</v>
      </c>
      <c r="R38" s="117">
        <v>100</v>
      </c>
      <c r="S38" s="70">
        <f t="shared" si="24"/>
        <v>400</v>
      </c>
      <c r="T38" s="71">
        <f t="shared" si="25"/>
        <v>400</v>
      </c>
    </row>
    <row r="39" spans="1:20" hidden="1" x14ac:dyDescent="0.25">
      <c r="A39" s="115">
        <v>54107</v>
      </c>
      <c r="B39" s="69" t="s">
        <v>43</v>
      </c>
      <c r="C39" s="70"/>
      <c r="D39" s="70"/>
      <c r="E39" s="70"/>
      <c r="F39" s="70"/>
      <c r="G39" s="116">
        <f t="shared" si="7"/>
        <v>0</v>
      </c>
      <c r="H39" s="117"/>
      <c r="I39" s="70"/>
      <c r="J39" s="70"/>
      <c r="K39" s="70"/>
      <c r="L39" s="70"/>
      <c r="M39" s="70"/>
      <c r="N39" s="118">
        <f t="shared" si="2"/>
        <v>0</v>
      </c>
      <c r="O39" s="117">
        <v>2000</v>
      </c>
      <c r="P39" s="70">
        <v>1000</v>
      </c>
      <c r="Q39" s="70">
        <v>500</v>
      </c>
      <c r="R39" s="70">
        <v>500</v>
      </c>
      <c r="S39" s="70">
        <f t="shared" si="24"/>
        <v>4000</v>
      </c>
      <c r="T39" s="71">
        <f t="shared" si="25"/>
        <v>4000</v>
      </c>
    </row>
    <row r="40" spans="1:20" hidden="1" x14ac:dyDescent="0.25">
      <c r="A40" s="115">
        <v>54108</v>
      </c>
      <c r="B40" s="69" t="s">
        <v>44</v>
      </c>
      <c r="C40" s="70"/>
      <c r="D40" s="70"/>
      <c r="E40" s="70"/>
      <c r="F40" s="70"/>
      <c r="G40" s="116">
        <f t="shared" si="7"/>
        <v>0</v>
      </c>
      <c r="H40" s="117"/>
      <c r="I40" s="70"/>
      <c r="J40" s="70"/>
      <c r="K40" s="70"/>
      <c r="L40" s="70"/>
      <c r="M40" s="70"/>
      <c r="N40" s="118">
        <f t="shared" si="2"/>
        <v>0</v>
      </c>
      <c r="O40" s="117">
        <v>100</v>
      </c>
      <c r="P40" s="70"/>
      <c r="Q40" s="70"/>
      <c r="R40" s="70"/>
      <c r="S40" s="70">
        <f t="shared" si="24"/>
        <v>100</v>
      </c>
      <c r="T40" s="71">
        <f t="shared" si="25"/>
        <v>100</v>
      </c>
    </row>
    <row r="41" spans="1:20" hidden="1" x14ac:dyDescent="0.25">
      <c r="A41" s="115">
        <v>54109</v>
      </c>
      <c r="B41" s="69" t="s">
        <v>45</v>
      </c>
      <c r="C41" s="70"/>
      <c r="D41" s="70"/>
      <c r="E41" s="70"/>
      <c r="F41" s="70"/>
      <c r="G41" s="116">
        <f t="shared" si="7"/>
        <v>0</v>
      </c>
      <c r="H41" s="117"/>
      <c r="I41" s="70"/>
      <c r="J41" s="70"/>
      <c r="K41" s="70"/>
      <c r="L41" s="70"/>
      <c r="M41" s="70"/>
      <c r="N41" s="118">
        <f t="shared" si="2"/>
        <v>0</v>
      </c>
      <c r="O41" s="117">
        <v>9000</v>
      </c>
      <c r="P41" s="70"/>
      <c r="Q41" s="70"/>
      <c r="R41" s="70"/>
      <c r="S41" s="70">
        <f t="shared" si="24"/>
        <v>9000</v>
      </c>
      <c r="T41" s="71">
        <f t="shared" si="25"/>
        <v>9000</v>
      </c>
    </row>
    <row r="42" spans="1:20" hidden="1" x14ac:dyDescent="0.25">
      <c r="A42" s="115">
        <v>54110</v>
      </c>
      <c r="B42" s="69" t="s">
        <v>46</v>
      </c>
      <c r="C42" s="70">
        <v>1497</v>
      </c>
      <c r="D42" s="70">
        <v>1000</v>
      </c>
      <c r="E42" s="70">
        <v>500</v>
      </c>
      <c r="F42" s="70">
        <v>500</v>
      </c>
      <c r="G42" s="116">
        <f>C42+D42+E42+F42</f>
        <v>3497</v>
      </c>
      <c r="H42" s="117"/>
      <c r="I42" s="70"/>
      <c r="J42" s="70"/>
      <c r="K42" s="70"/>
      <c r="L42" s="70"/>
      <c r="M42" s="70"/>
      <c r="N42" s="118">
        <f t="shared" si="2"/>
        <v>0</v>
      </c>
      <c r="O42" s="117">
        <v>3000</v>
      </c>
      <c r="P42" s="70">
        <v>2000</v>
      </c>
      <c r="Q42" s="70">
        <v>2000</v>
      </c>
      <c r="R42" s="70">
        <v>1000</v>
      </c>
      <c r="S42" s="70">
        <f t="shared" si="24"/>
        <v>8000</v>
      </c>
      <c r="T42" s="71">
        <f t="shared" si="25"/>
        <v>11497</v>
      </c>
    </row>
    <row r="43" spans="1:20" hidden="1" x14ac:dyDescent="0.25">
      <c r="A43" s="115">
        <v>54111</v>
      </c>
      <c r="B43" s="69" t="s">
        <v>47</v>
      </c>
      <c r="C43" s="70"/>
      <c r="D43" s="70"/>
      <c r="E43" s="70"/>
      <c r="F43" s="70"/>
      <c r="G43" s="116">
        <f t="shared" si="7"/>
        <v>0</v>
      </c>
      <c r="H43" s="117"/>
      <c r="I43" s="70"/>
      <c r="J43" s="70"/>
      <c r="K43" s="70"/>
      <c r="L43" s="70"/>
      <c r="M43" s="70"/>
      <c r="N43" s="118">
        <f t="shared" si="2"/>
        <v>0</v>
      </c>
      <c r="O43" s="117">
        <v>1000</v>
      </c>
      <c r="P43" s="70"/>
      <c r="Q43" s="70"/>
      <c r="R43" s="70"/>
      <c r="S43" s="70">
        <f t="shared" si="24"/>
        <v>1000</v>
      </c>
      <c r="T43" s="71">
        <f t="shared" si="25"/>
        <v>1000</v>
      </c>
    </row>
    <row r="44" spans="1:20" hidden="1" x14ac:dyDescent="0.25">
      <c r="A44" s="115">
        <v>54112</v>
      </c>
      <c r="B44" s="69" t="s">
        <v>48</v>
      </c>
      <c r="C44" s="70"/>
      <c r="D44" s="70"/>
      <c r="E44" s="70"/>
      <c r="F44" s="70"/>
      <c r="G44" s="116">
        <f t="shared" si="7"/>
        <v>0</v>
      </c>
      <c r="H44" s="117"/>
      <c r="I44" s="70"/>
      <c r="J44" s="70"/>
      <c r="K44" s="70"/>
      <c r="L44" s="70"/>
      <c r="M44" s="70"/>
      <c r="N44" s="118">
        <f t="shared" si="2"/>
        <v>0</v>
      </c>
      <c r="O44" s="117">
        <v>1000</v>
      </c>
      <c r="P44" s="70"/>
      <c r="Q44" s="70"/>
      <c r="R44" s="70"/>
      <c r="S44" s="70">
        <f t="shared" si="24"/>
        <v>1000</v>
      </c>
      <c r="T44" s="71">
        <f t="shared" si="25"/>
        <v>1000</v>
      </c>
    </row>
    <row r="45" spans="1:20" hidden="1" x14ac:dyDescent="0.25">
      <c r="A45" s="115">
        <v>54114</v>
      </c>
      <c r="B45" s="69" t="s">
        <v>49</v>
      </c>
      <c r="C45" s="70"/>
      <c r="D45" s="70"/>
      <c r="E45" s="70"/>
      <c r="F45" s="70"/>
      <c r="G45" s="116">
        <f t="shared" si="7"/>
        <v>0</v>
      </c>
      <c r="H45" s="117"/>
      <c r="I45" s="70"/>
      <c r="J45" s="70"/>
      <c r="K45" s="70"/>
      <c r="L45" s="70"/>
      <c r="M45" s="70"/>
      <c r="N45" s="118">
        <f t="shared" si="2"/>
        <v>0</v>
      </c>
      <c r="O45" s="117">
        <v>3000</v>
      </c>
      <c r="P45" s="70">
        <v>2000</v>
      </c>
      <c r="Q45" s="70">
        <v>2000</v>
      </c>
      <c r="R45" s="70">
        <v>1000</v>
      </c>
      <c r="S45" s="70">
        <f t="shared" si="24"/>
        <v>8000</v>
      </c>
      <c r="T45" s="71">
        <f t="shared" si="25"/>
        <v>8000</v>
      </c>
    </row>
    <row r="46" spans="1:20" hidden="1" x14ac:dyDescent="0.25">
      <c r="A46" s="115">
        <v>54115</v>
      </c>
      <c r="B46" s="69" t="s">
        <v>50</v>
      </c>
      <c r="C46" s="70"/>
      <c r="D46" s="70"/>
      <c r="E46" s="70"/>
      <c r="F46" s="70"/>
      <c r="G46" s="116">
        <f t="shared" si="7"/>
        <v>0</v>
      </c>
      <c r="H46" s="117"/>
      <c r="I46" s="70"/>
      <c r="J46" s="70"/>
      <c r="K46" s="70"/>
      <c r="L46" s="70"/>
      <c r="M46" s="70"/>
      <c r="N46" s="118">
        <f t="shared" si="2"/>
        <v>0</v>
      </c>
      <c r="O46" s="117">
        <v>6000</v>
      </c>
      <c r="P46" s="70">
        <v>2000</v>
      </c>
      <c r="Q46" s="70">
        <v>2000</v>
      </c>
      <c r="R46" s="70">
        <v>1000</v>
      </c>
      <c r="S46" s="70">
        <f t="shared" si="24"/>
        <v>11000</v>
      </c>
      <c r="T46" s="71">
        <f t="shared" si="25"/>
        <v>11000</v>
      </c>
    </row>
    <row r="47" spans="1:20" hidden="1" x14ac:dyDescent="0.25">
      <c r="A47" s="115">
        <v>54116</v>
      </c>
      <c r="B47" s="69" t="s">
        <v>51</v>
      </c>
      <c r="C47" s="70"/>
      <c r="D47" s="70"/>
      <c r="E47" s="70"/>
      <c r="F47" s="70"/>
      <c r="G47" s="116">
        <f t="shared" si="7"/>
        <v>0</v>
      </c>
      <c r="H47" s="117"/>
      <c r="I47" s="70"/>
      <c r="J47" s="70"/>
      <c r="K47" s="70"/>
      <c r="L47" s="70"/>
      <c r="M47" s="70"/>
      <c r="N47" s="118">
        <f t="shared" si="2"/>
        <v>0</v>
      </c>
      <c r="O47" s="117">
        <v>1000</v>
      </c>
      <c r="P47" s="70"/>
      <c r="Q47" s="70"/>
      <c r="R47" s="70"/>
      <c r="S47" s="70">
        <f t="shared" si="24"/>
        <v>1000</v>
      </c>
      <c r="T47" s="71">
        <f t="shared" si="25"/>
        <v>1000</v>
      </c>
    </row>
    <row r="48" spans="1:20" hidden="1" x14ac:dyDescent="0.25">
      <c r="A48" s="115">
        <v>54118</v>
      </c>
      <c r="B48" s="69" t="s">
        <v>52</v>
      </c>
      <c r="C48" s="70"/>
      <c r="D48" s="70"/>
      <c r="E48" s="70"/>
      <c r="F48" s="70"/>
      <c r="G48" s="116">
        <f t="shared" si="7"/>
        <v>0</v>
      </c>
      <c r="H48" s="117"/>
      <c r="I48" s="70"/>
      <c r="J48" s="70"/>
      <c r="K48" s="70"/>
      <c r="L48" s="70"/>
      <c r="M48" s="70"/>
      <c r="N48" s="118">
        <f t="shared" si="2"/>
        <v>0</v>
      </c>
      <c r="O48" s="117">
        <v>1000</v>
      </c>
      <c r="P48" s="70"/>
      <c r="Q48" s="70"/>
      <c r="R48" s="70"/>
      <c r="S48" s="70">
        <f t="shared" si="24"/>
        <v>1000</v>
      </c>
      <c r="T48" s="71">
        <f t="shared" si="25"/>
        <v>1000</v>
      </c>
    </row>
    <row r="49" spans="1:20" hidden="1" x14ac:dyDescent="0.25">
      <c r="A49" s="115">
        <v>54119</v>
      </c>
      <c r="B49" s="69" t="s">
        <v>53</v>
      </c>
      <c r="C49" s="70"/>
      <c r="D49" s="70"/>
      <c r="E49" s="70"/>
      <c r="F49" s="70"/>
      <c r="G49" s="116">
        <f t="shared" si="7"/>
        <v>0</v>
      </c>
      <c r="H49" s="117"/>
      <c r="I49" s="70"/>
      <c r="J49" s="70"/>
      <c r="K49" s="70"/>
      <c r="L49" s="70"/>
      <c r="M49" s="70"/>
      <c r="N49" s="118">
        <f t="shared" si="2"/>
        <v>0</v>
      </c>
      <c r="O49" s="117">
        <v>1500</v>
      </c>
      <c r="P49" s="70"/>
      <c r="Q49" s="70"/>
      <c r="R49" s="70"/>
      <c r="S49" s="70">
        <f t="shared" si="24"/>
        <v>1500</v>
      </c>
      <c r="T49" s="71">
        <f t="shared" si="25"/>
        <v>1500</v>
      </c>
    </row>
    <row r="50" spans="1:20" hidden="1" x14ac:dyDescent="0.25">
      <c r="A50" s="115">
        <v>54121</v>
      </c>
      <c r="B50" s="69" t="s">
        <v>54</v>
      </c>
      <c r="C50" s="70">
        <v>4000</v>
      </c>
      <c r="D50" s="70"/>
      <c r="E50" s="70"/>
      <c r="F50" s="70"/>
      <c r="G50" s="116">
        <f t="shared" si="7"/>
        <v>4000</v>
      </c>
      <c r="H50" s="117"/>
      <c r="I50" s="70"/>
      <c r="J50" s="70"/>
      <c r="K50" s="70"/>
      <c r="L50" s="70"/>
      <c r="M50" s="70"/>
      <c r="N50" s="118">
        <f t="shared" si="2"/>
        <v>0</v>
      </c>
      <c r="O50" s="117"/>
      <c r="P50" s="70"/>
      <c r="Q50" s="70"/>
      <c r="R50" s="70"/>
      <c r="S50" s="70">
        <f t="shared" si="24"/>
        <v>0</v>
      </c>
      <c r="T50" s="71">
        <f t="shared" si="25"/>
        <v>4000</v>
      </c>
    </row>
    <row r="51" spans="1:20" hidden="1" x14ac:dyDescent="0.25">
      <c r="A51" s="115">
        <v>54199</v>
      </c>
      <c r="B51" s="69" t="s">
        <v>37</v>
      </c>
      <c r="C51" s="70"/>
      <c r="D51" s="70"/>
      <c r="E51" s="70"/>
      <c r="F51" s="70"/>
      <c r="G51" s="116">
        <f t="shared" si="7"/>
        <v>0</v>
      </c>
      <c r="H51" s="117"/>
      <c r="I51" s="70"/>
      <c r="J51" s="70"/>
      <c r="K51" s="70"/>
      <c r="L51" s="70"/>
      <c r="M51" s="70"/>
      <c r="N51" s="118">
        <f t="shared" si="2"/>
        <v>0</v>
      </c>
      <c r="O51" s="117">
        <v>1000</v>
      </c>
      <c r="P51" s="70"/>
      <c r="Q51" s="70"/>
      <c r="R51" s="70"/>
      <c r="S51" s="70">
        <f t="shared" si="24"/>
        <v>1000</v>
      </c>
      <c r="T51" s="71">
        <f t="shared" si="25"/>
        <v>1000</v>
      </c>
    </row>
    <row r="52" spans="1:20" hidden="1" x14ac:dyDescent="0.25">
      <c r="A52" s="114">
        <v>542</v>
      </c>
      <c r="B52" s="62" t="s">
        <v>55</v>
      </c>
      <c r="C52" s="63">
        <f>SUM(C53:C57)</f>
        <v>110745.44</v>
      </c>
      <c r="D52" s="63">
        <f t="shared" ref="D52:T52" si="26">SUM(D53:D57)</f>
        <v>0</v>
      </c>
      <c r="E52" s="63">
        <f t="shared" si="26"/>
        <v>0</v>
      </c>
      <c r="F52" s="63">
        <f t="shared" si="26"/>
        <v>0</v>
      </c>
      <c r="G52" s="112">
        <f>SUM(G53:G57)</f>
        <v>110745.44</v>
      </c>
      <c r="H52" s="113">
        <f t="shared" si="26"/>
        <v>0</v>
      </c>
      <c r="I52" s="63">
        <f t="shared" si="26"/>
        <v>0</v>
      </c>
      <c r="J52" s="63">
        <f t="shared" si="26"/>
        <v>0</v>
      </c>
      <c r="K52" s="63">
        <f t="shared" si="26"/>
        <v>0</v>
      </c>
      <c r="L52" s="63">
        <f t="shared" si="26"/>
        <v>0</v>
      </c>
      <c r="M52" s="63">
        <f t="shared" si="26"/>
        <v>0</v>
      </c>
      <c r="N52" s="66">
        <f t="shared" si="26"/>
        <v>0</v>
      </c>
      <c r="O52" s="113">
        <f t="shared" si="26"/>
        <v>37125</v>
      </c>
      <c r="P52" s="63">
        <f t="shared" si="26"/>
        <v>0</v>
      </c>
      <c r="Q52" s="63">
        <f t="shared" si="26"/>
        <v>0</v>
      </c>
      <c r="R52" s="63">
        <f t="shared" si="26"/>
        <v>0</v>
      </c>
      <c r="S52" s="63">
        <f t="shared" si="26"/>
        <v>37125</v>
      </c>
      <c r="T52" s="66">
        <f t="shared" si="26"/>
        <v>147870.44</v>
      </c>
    </row>
    <row r="53" spans="1:20" hidden="1" x14ac:dyDescent="0.25">
      <c r="A53" s="115">
        <v>54201</v>
      </c>
      <c r="B53" s="69" t="s">
        <v>56</v>
      </c>
      <c r="C53" s="70">
        <v>49082.94</v>
      </c>
      <c r="D53" s="70"/>
      <c r="E53" s="70"/>
      <c r="F53" s="70"/>
      <c r="G53" s="116">
        <f t="shared" si="7"/>
        <v>49082.94</v>
      </c>
      <c r="H53" s="117"/>
      <c r="I53" s="70"/>
      <c r="J53" s="70"/>
      <c r="K53" s="70"/>
      <c r="L53" s="70"/>
      <c r="M53" s="70"/>
      <c r="N53" s="118">
        <f t="shared" si="2"/>
        <v>0</v>
      </c>
      <c r="O53" s="117">
        <v>16400</v>
      </c>
      <c r="P53" s="70"/>
      <c r="Q53" s="70"/>
      <c r="R53" s="70"/>
      <c r="S53" s="70">
        <f t="shared" ref="S53:S57" si="27">SUM(O53:R53)</f>
        <v>16400</v>
      </c>
      <c r="T53" s="71">
        <f t="shared" ref="T53:T57" si="28">S53+N53+G53</f>
        <v>65482.94</v>
      </c>
    </row>
    <row r="54" spans="1:20" hidden="1" x14ac:dyDescent="0.25">
      <c r="A54" s="120">
        <v>54202</v>
      </c>
      <c r="B54" s="69" t="s">
        <v>57</v>
      </c>
      <c r="C54" s="70">
        <f>944.73</f>
        <v>944.73</v>
      </c>
      <c r="D54" s="70"/>
      <c r="E54" s="70"/>
      <c r="F54" s="70"/>
      <c r="G54" s="116">
        <f t="shared" si="7"/>
        <v>944.73</v>
      </c>
      <c r="H54" s="117"/>
      <c r="I54" s="70"/>
      <c r="J54" s="70"/>
      <c r="K54" s="70"/>
      <c r="L54" s="70"/>
      <c r="M54" s="70"/>
      <c r="N54" s="118">
        <f t="shared" si="2"/>
        <v>0</v>
      </c>
      <c r="O54" s="117">
        <v>350</v>
      </c>
      <c r="P54" s="70"/>
      <c r="Q54" s="70"/>
      <c r="R54" s="70"/>
      <c r="S54" s="70">
        <f t="shared" si="27"/>
        <v>350</v>
      </c>
      <c r="T54" s="71">
        <f t="shared" si="28"/>
        <v>1294.73</v>
      </c>
    </row>
    <row r="55" spans="1:20" hidden="1" x14ac:dyDescent="0.25">
      <c r="A55" s="120">
        <v>54203</v>
      </c>
      <c r="B55" s="69" t="s">
        <v>58</v>
      </c>
      <c r="C55" s="70">
        <f>3217.77+4500+3500</f>
        <v>11217.77</v>
      </c>
      <c r="D55" s="70"/>
      <c r="E55" s="70"/>
      <c r="F55" s="70"/>
      <c r="G55" s="116">
        <f t="shared" si="7"/>
        <v>11217.77</v>
      </c>
      <c r="H55" s="117"/>
      <c r="I55" s="70"/>
      <c r="J55" s="70"/>
      <c r="K55" s="70"/>
      <c r="L55" s="70"/>
      <c r="M55" s="70"/>
      <c r="N55" s="118">
        <f t="shared" si="2"/>
        <v>0</v>
      </c>
      <c r="O55" s="117">
        <v>3775</v>
      </c>
      <c r="P55" s="70"/>
      <c r="Q55" s="70"/>
      <c r="R55" s="70"/>
      <c r="S55" s="70">
        <f t="shared" si="27"/>
        <v>3775</v>
      </c>
      <c r="T55" s="71">
        <f t="shared" si="28"/>
        <v>14992.77</v>
      </c>
    </row>
    <row r="56" spans="1:20" hidden="1" x14ac:dyDescent="0.25">
      <c r="A56" s="120">
        <v>54204</v>
      </c>
      <c r="B56" s="69" t="s">
        <v>59</v>
      </c>
      <c r="C56" s="70"/>
      <c r="D56" s="70"/>
      <c r="E56" s="70"/>
      <c r="F56" s="70"/>
      <c r="G56" s="116">
        <f t="shared" si="7"/>
        <v>0</v>
      </c>
      <c r="H56" s="117"/>
      <c r="I56" s="70"/>
      <c r="J56" s="70"/>
      <c r="K56" s="70"/>
      <c r="L56" s="70"/>
      <c r="M56" s="70"/>
      <c r="N56" s="118">
        <f t="shared" si="2"/>
        <v>0</v>
      </c>
      <c r="O56" s="117">
        <v>100</v>
      </c>
      <c r="P56" s="70"/>
      <c r="Q56" s="70"/>
      <c r="R56" s="70"/>
      <c r="S56" s="70">
        <f t="shared" si="27"/>
        <v>100</v>
      </c>
      <c r="T56" s="71">
        <f t="shared" si="28"/>
        <v>100</v>
      </c>
    </row>
    <row r="57" spans="1:20" hidden="1" x14ac:dyDescent="0.25">
      <c r="A57" s="120">
        <v>54205</v>
      </c>
      <c r="B57" s="69" t="s">
        <v>60</v>
      </c>
      <c r="C57" s="70">
        <v>49500</v>
      </c>
      <c r="D57" s="70"/>
      <c r="E57" s="70"/>
      <c r="F57" s="70"/>
      <c r="G57" s="116">
        <f t="shared" si="7"/>
        <v>49500</v>
      </c>
      <c r="H57" s="117"/>
      <c r="I57" s="70"/>
      <c r="J57" s="70"/>
      <c r="K57" s="70"/>
      <c r="L57" s="70"/>
      <c r="M57" s="70"/>
      <c r="N57" s="118">
        <f t="shared" si="2"/>
        <v>0</v>
      </c>
      <c r="O57" s="117">
        <v>16500</v>
      </c>
      <c r="P57" s="70"/>
      <c r="Q57" s="70"/>
      <c r="R57" s="70"/>
      <c r="S57" s="70">
        <f t="shared" si="27"/>
        <v>16500</v>
      </c>
      <c r="T57" s="71">
        <f t="shared" si="28"/>
        <v>66000</v>
      </c>
    </row>
    <row r="58" spans="1:20" hidden="1" x14ac:dyDescent="0.25">
      <c r="A58" s="121">
        <v>543</v>
      </c>
      <c r="B58" s="62" t="s">
        <v>61</v>
      </c>
      <c r="C58" s="63">
        <f>SUM(C59:C68)</f>
        <v>0</v>
      </c>
      <c r="D58" s="63">
        <f t="shared" ref="D58:S58" si="29">SUM(D59:D68)</f>
        <v>0</v>
      </c>
      <c r="E58" s="63">
        <f t="shared" si="29"/>
        <v>0</v>
      </c>
      <c r="F58" s="63">
        <f t="shared" si="29"/>
        <v>0</v>
      </c>
      <c r="G58" s="112">
        <f>SUM(G59:G68)</f>
        <v>0</v>
      </c>
      <c r="H58" s="113">
        <f t="shared" si="29"/>
        <v>0</v>
      </c>
      <c r="I58" s="63">
        <f t="shared" si="29"/>
        <v>0</v>
      </c>
      <c r="J58" s="63">
        <f t="shared" si="29"/>
        <v>0</v>
      </c>
      <c r="K58" s="63">
        <f t="shared" si="29"/>
        <v>0</v>
      </c>
      <c r="L58" s="63">
        <f t="shared" si="29"/>
        <v>0</v>
      </c>
      <c r="M58" s="63">
        <f t="shared" si="29"/>
        <v>0</v>
      </c>
      <c r="N58" s="66">
        <f t="shared" si="29"/>
        <v>0</v>
      </c>
      <c r="O58" s="113">
        <f t="shared" si="29"/>
        <v>48100</v>
      </c>
      <c r="P58" s="63">
        <f t="shared" si="29"/>
        <v>0</v>
      </c>
      <c r="Q58" s="63">
        <f t="shared" si="29"/>
        <v>0</v>
      </c>
      <c r="R58" s="63">
        <f t="shared" si="29"/>
        <v>0</v>
      </c>
      <c r="S58" s="63">
        <f t="shared" si="29"/>
        <v>48100</v>
      </c>
      <c r="T58" s="66">
        <f>SUM(T59:T68)</f>
        <v>48100</v>
      </c>
    </row>
    <row r="59" spans="1:20" hidden="1" x14ac:dyDescent="0.25">
      <c r="A59" s="120">
        <v>54301</v>
      </c>
      <c r="B59" s="69" t="s">
        <v>62</v>
      </c>
      <c r="C59" s="70"/>
      <c r="D59" s="70"/>
      <c r="E59" s="70"/>
      <c r="F59" s="70"/>
      <c r="G59" s="116">
        <f t="shared" si="7"/>
        <v>0</v>
      </c>
      <c r="H59" s="117"/>
      <c r="I59" s="70"/>
      <c r="J59" s="70"/>
      <c r="K59" s="70"/>
      <c r="L59" s="70"/>
      <c r="M59" s="70"/>
      <c r="N59" s="118">
        <f t="shared" si="2"/>
        <v>0</v>
      </c>
      <c r="O59" s="117">
        <v>10000</v>
      </c>
      <c r="P59" s="70"/>
      <c r="Q59" s="70"/>
      <c r="R59" s="70"/>
      <c r="S59" s="70">
        <f t="shared" ref="S59:S80" si="30">SUM(O59:R59)</f>
        <v>10000</v>
      </c>
      <c r="T59" s="71">
        <f t="shared" ref="T59:T68" si="31">S59+N59+G59</f>
        <v>10000</v>
      </c>
    </row>
    <row r="60" spans="1:20" hidden="1" x14ac:dyDescent="0.25">
      <c r="A60" s="120">
        <v>54302</v>
      </c>
      <c r="B60" s="69" t="s">
        <v>63</v>
      </c>
      <c r="C60" s="70"/>
      <c r="D60" s="70"/>
      <c r="E60" s="70"/>
      <c r="F60" s="70"/>
      <c r="G60" s="116">
        <f t="shared" si="7"/>
        <v>0</v>
      </c>
      <c r="H60" s="117"/>
      <c r="I60" s="70"/>
      <c r="J60" s="70"/>
      <c r="K60" s="70"/>
      <c r="L60" s="70"/>
      <c r="M60" s="70"/>
      <c r="N60" s="118">
        <f t="shared" si="2"/>
        <v>0</v>
      </c>
      <c r="O60" s="117">
        <v>100</v>
      </c>
      <c r="P60" s="70"/>
      <c r="Q60" s="70"/>
      <c r="R60" s="70"/>
      <c r="S60" s="70">
        <f t="shared" si="30"/>
        <v>100</v>
      </c>
      <c r="T60" s="71">
        <f t="shared" si="31"/>
        <v>100</v>
      </c>
    </row>
    <row r="61" spans="1:20" hidden="1" x14ac:dyDescent="0.25">
      <c r="A61" s="120">
        <v>54303</v>
      </c>
      <c r="B61" s="69" t="s">
        <v>64</v>
      </c>
      <c r="C61" s="70"/>
      <c r="D61" s="70"/>
      <c r="E61" s="70"/>
      <c r="F61" s="70"/>
      <c r="G61" s="116">
        <f t="shared" si="7"/>
        <v>0</v>
      </c>
      <c r="H61" s="117"/>
      <c r="I61" s="70"/>
      <c r="J61" s="70"/>
      <c r="K61" s="70"/>
      <c r="L61" s="70"/>
      <c r="M61" s="70"/>
      <c r="N61" s="118">
        <f t="shared" si="2"/>
        <v>0</v>
      </c>
      <c r="O61" s="117">
        <v>1500</v>
      </c>
      <c r="P61" s="70"/>
      <c r="Q61" s="70"/>
      <c r="R61" s="70"/>
      <c r="S61" s="70">
        <f t="shared" si="30"/>
        <v>1500</v>
      </c>
      <c r="T61" s="71">
        <f t="shared" si="31"/>
        <v>1500</v>
      </c>
    </row>
    <row r="62" spans="1:20" hidden="1" x14ac:dyDescent="0.25">
      <c r="A62" s="120">
        <v>54304</v>
      </c>
      <c r="B62" s="69" t="s">
        <v>65</v>
      </c>
      <c r="C62" s="70"/>
      <c r="D62" s="70"/>
      <c r="E62" s="70"/>
      <c r="F62" s="70"/>
      <c r="G62" s="116">
        <f t="shared" si="7"/>
        <v>0</v>
      </c>
      <c r="H62" s="117"/>
      <c r="I62" s="70"/>
      <c r="J62" s="70"/>
      <c r="K62" s="70"/>
      <c r="L62" s="70"/>
      <c r="M62" s="70"/>
      <c r="N62" s="118">
        <f t="shared" si="2"/>
        <v>0</v>
      </c>
      <c r="O62" s="117">
        <f>500*12</f>
        <v>6000</v>
      </c>
      <c r="P62" s="70"/>
      <c r="Q62" s="70"/>
      <c r="R62" s="70"/>
      <c r="S62" s="70">
        <f t="shared" si="30"/>
        <v>6000</v>
      </c>
      <c r="T62" s="71">
        <f t="shared" si="31"/>
        <v>6000</v>
      </c>
    </row>
    <row r="63" spans="1:20" hidden="1" x14ac:dyDescent="0.25">
      <c r="A63" s="120">
        <v>54305</v>
      </c>
      <c r="B63" s="69" t="s">
        <v>66</v>
      </c>
      <c r="C63" s="70"/>
      <c r="D63" s="70"/>
      <c r="E63" s="70"/>
      <c r="F63" s="70"/>
      <c r="G63" s="116">
        <f t="shared" si="7"/>
        <v>0</v>
      </c>
      <c r="H63" s="117"/>
      <c r="I63" s="70"/>
      <c r="J63" s="70"/>
      <c r="K63" s="70"/>
      <c r="L63" s="70"/>
      <c r="M63" s="70"/>
      <c r="N63" s="118">
        <f t="shared" si="2"/>
        <v>0</v>
      </c>
      <c r="O63" s="117">
        <f>600*12</f>
        <v>7200</v>
      </c>
      <c r="P63" s="70"/>
      <c r="Q63" s="70"/>
      <c r="R63" s="70"/>
      <c r="S63" s="70">
        <f t="shared" si="30"/>
        <v>7200</v>
      </c>
      <c r="T63" s="71">
        <f t="shared" si="31"/>
        <v>7200</v>
      </c>
    </row>
    <row r="64" spans="1:20" hidden="1" x14ac:dyDescent="0.25">
      <c r="A64" s="120">
        <v>54307</v>
      </c>
      <c r="B64" s="69" t="s">
        <v>67</v>
      </c>
      <c r="C64" s="70"/>
      <c r="D64" s="70"/>
      <c r="E64" s="70"/>
      <c r="F64" s="70"/>
      <c r="G64" s="116">
        <f t="shared" si="7"/>
        <v>0</v>
      </c>
      <c r="H64" s="117"/>
      <c r="I64" s="70"/>
      <c r="J64" s="70"/>
      <c r="K64" s="70"/>
      <c r="L64" s="70"/>
      <c r="M64" s="70"/>
      <c r="N64" s="118">
        <f t="shared" si="2"/>
        <v>0</v>
      </c>
      <c r="O64" s="117">
        <v>100</v>
      </c>
      <c r="P64" s="70"/>
      <c r="Q64" s="70"/>
      <c r="R64" s="70"/>
      <c r="S64" s="70">
        <f t="shared" si="30"/>
        <v>100</v>
      </c>
      <c r="T64" s="71">
        <f t="shared" si="31"/>
        <v>100</v>
      </c>
    </row>
    <row r="65" spans="1:20" hidden="1" x14ac:dyDescent="0.25">
      <c r="A65" s="120">
        <v>54311</v>
      </c>
      <c r="B65" s="69" t="s">
        <v>68</v>
      </c>
      <c r="C65" s="70"/>
      <c r="D65" s="70"/>
      <c r="E65" s="70"/>
      <c r="F65" s="70"/>
      <c r="G65" s="116">
        <f t="shared" si="7"/>
        <v>0</v>
      </c>
      <c r="H65" s="117"/>
      <c r="I65" s="70"/>
      <c r="J65" s="70"/>
      <c r="K65" s="70"/>
      <c r="L65" s="70"/>
      <c r="M65" s="70"/>
      <c r="N65" s="118">
        <f t="shared" si="2"/>
        <v>0</v>
      </c>
      <c r="O65" s="117">
        <v>100</v>
      </c>
      <c r="P65" s="70"/>
      <c r="Q65" s="70"/>
      <c r="R65" s="70"/>
      <c r="S65" s="70">
        <f t="shared" si="30"/>
        <v>100</v>
      </c>
      <c r="T65" s="71">
        <f t="shared" si="31"/>
        <v>100</v>
      </c>
    </row>
    <row r="66" spans="1:20" hidden="1" x14ac:dyDescent="0.25">
      <c r="A66" s="120">
        <v>54313</v>
      </c>
      <c r="B66" s="69" t="s">
        <v>69</v>
      </c>
      <c r="C66" s="70"/>
      <c r="D66" s="70"/>
      <c r="E66" s="70"/>
      <c r="F66" s="70"/>
      <c r="G66" s="116">
        <f t="shared" si="7"/>
        <v>0</v>
      </c>
      <c r="H66" s="117"/>
      <c r="I66" s="70"/>
      <c r="J66" s="70"/>
      <c r="K66" s="70"/>
      <c r="L66" s="70"/>
      <c r="M66" s="70"/>
      <c r="N66" s="118">
        <f t="shared" si="2"/>
        <v>0</v>
      </c>
      <c r="O66" s="117">
        <f>300*12</f>
        <v>3600</v>
      </c>
      <c r="P66" s="70"/>
      <c r="Q66" s="70"/>
      <c r="R66" s="70"/>
      <c r="S66" s="70">
        <f t="shared" si="30"/>
        <v>3600</v>
      </c>
      <c r="T66" s="71">
        <f t="shared" si="31"/>
        <v>3600</v>
      </c>
    </row>
    <row r="67" spans="1:20" hidden="1" x14ac:dyDescent="0.25">
      <c r="A67" s="120">
        <v>54314</v>
      </c>
      <c r="B67" s="69" t="s">
        <v>70</v>
      </c>
      <c r="C67" s="70"/>
      <c r="D67" s="70"/>
      <c r="E67" s="70"/>
      <c r="F67" s="70"/>
      <c r="G67" s="116">
        <f t="shared" si="7"/>
        <v>0</v>
      </c>
      <c r="H67" s="117"/>
      <c r="I67" s="70"/>
      <c r="J67" s="70"/>
      <c r="K67" s="70"/>
      <c r="L67" s="70"/>
      <c r="M67" s="70"/>
      <c r="N67" s="118">
        <f t="shared" si="2"/>
        <v>0</v>
      </c>
      <c r="O67" s="117">
        <v>17000</v>
      </c>
      <c r="P67" s="70"/>
      <c r="Q67" s="70"/>
      <c r="R67" s="70"/>
      <c r="S67" s="70">
        <f t="shared" si="30"/>
        <v>17000</v>
      </c>
      <c r="T67" s="71">
        <f t="shared" si="31"/>
        <v>17000</v>
      </c>
    </row>
    <row r="68" spans="1:20" hidden="1" x14ac:dyDescent="0.25">
      <c r="A68" s="120">
        <v>54316</v>
      </c>
      <c r="B68" s="69" t="s">
        <v>71</v>
      </c>
      <c r="C68" s="70"/>
      <c r="D68" s="70"/>
      <c r="E68" s="70"/>
      <c r="F68" s="70"/>
      <c r="G68" s="116">
        <f t="shared" si="7"/>
        <v>0</v>
      </c>
      <c r="H68" s="117"/>
      <c r="I68" s="70"/>
      <c r="J68" s="70"/>
      <c r="K68" s="70"/>
      <c r="L68" s="70"/>
      <c r="M68" s="70"/>
      <c r="N68" s="118">
        <f t="shared" si="2"/>
        <v>0</v>
      </c>
      <c r="O68" s="117">
        <v>2500</v>
      </c>
      <c r="P68" s="70"/>
      <c r="Q68" s="70"/>
      <c r="R68" s="70"/>
      <c r="S68" s="70">
        <f t="shared" si="30"/>
        <v>2500</v>
      </c>
      <c r="T68" s="71">
        <f t="shared" si="31"/>
        <v>2500</v>
      </c>
    </row>
    <row r="69" spans="1:20" hidden="1" x14ac:dyDescent="0.25">
      <c r="A69" s="121">
        <v>544</v>
      </c>
      <c r="B69" s="62" t="s">
        <v>72</v>
      </c>
      <c r="C69" s="62"/>
      <c r="D69" s="76">
        <f t="shared" ref="D69:S69" si="32">SUM(D70:D72)</f>
        <v>0</v>
      </c>
      <c r="E69" s="76">
        <f t="shared" si="32"/>
        <v>0</v>
      </c>
      <c r="F69" s="76">
        <f t="shared" si="32"/>
        <v>0</v>
      </c>
      <c r="G69" s="122">
        <f>SUM(G70:G72)</f>
        <v>0</v>
      </c>
      <c r="H69" s="123">
        <f t="shared" si="32"/>
        <v>0</v>
      </c>
      <c r="I69" s="76">
        <f t="shared" si="32"/>
        <v>0</v>
      </c>
      <c r="J69" s="76">
        <f t="shared" si="32"/>
        <v>0</v>
      </c>
      <c r="K69" s="76">
        <f t="shared" si="32"/>
        <v>0</v>
      </c>
      <c r="L69" s="76">
        <f t="shared" si="32"/>
        <v>0</v>
      </c>
      <c r="M69" s="76">
        <f t="shared" si="32"/>
        <v>0</v>
      </c>
      <c r="N69" s="77">
        <f t="shared" si="32"/>
        <v>0</v>
      </c>
      <c r="O69" s="113">
        <f t="shared" si="32"/>
        <v>3500</v>
      </c>
      <c r="P69" s="76">
        <f t="shared" si="32"/>
        <v>0</v>
      </c>
      <c r="Q69" s="76">
        <f t="shared" si="32"/>
        <v>0</v>
      </c>
      <c r="R69" s="76">
        <f t="shared" si="32"/>
        <v>0</v>
      </c>
      <c r="S69" s="63">
        <f t="shared" si="32"/>
        <v>3500</v>
      </c>
      <c r="T69" s="77">
        <f>SUM(T70:T72)</f>
        <v>3500</v>
      </c>
    </row>
    <row r="70" spans="1:20" hidden="1" x14ac:dyDescent="0.25">
      <c r="A70" s="120">
        <v>54401</v>
      </c>
      <c r="B70" s="69" t="s">
        <v>73</v>
      </c>
      <c r="C70" s="69"/>
      <c r="D70" s="78"/>
      <c r="E70" s="70"/>
      <c r="F70" s="70"/>
      <c r="G70" s="116">
        <f t="shared" si="7"/>
        <v>0</v>
      </c>
      <c r="H70" s="117"/>
      <c r="I70" s="70"/>
      <c r="J70" s="70"/>
      <c r="K70" s="70"/>
      <c r="L70" s="70"/>
      <c r="M70" s="70"/>
      <c r="N70" s="72"/>
      <c r="O70" s="117">
        <v>800</v>
      </c>
      <c r="P70" s="70"/>
      <c r="Q70" s="70"/>
      <c r="R70" s="70"/>
      <c r="S70" s="70">
        <f t="shared" si="30"/>
        <v>800</v>
      </c>
      <c r="T70" s="71">
        <f t="shared" ref="T70:T72" si="33">S70+N70+G70</f>
        <v>800</v>
      </c>
    </row>
    <row r="71" spans="1:20" hidden="1" x14ac:dyDescent="0.25">
      <c r="A71" s="120">
        <v>54402</v>
      </c>
      <c r="B71" s="69" t="s">
        <v>74</v>
      </c>
      <c r="C71" s="69"/>
      <c r="D71" s="78"/>
      <c r="E71" s="70"/>
      <c r="F71" s="70"/>
      <c r="G71" s="116">
        <f t="shared" si="7"/>
        <v>0</v>
      </c>
      <c r="H71" s="117"/>
      <c r="I71" s="70"/>
      <c r="J71" s="70"/>
      <c r="K71" s="70"/>
      <c r="L71" s="70"/>
      <c r="M71" s="70"/>
      <c r="N71" s="72"/>
      <c r="O71" s="117">
        <v>2000</v>
      </c>
      <c r="P71" s="70"/>
      <c r="Q71" s="70"/>
      <c r="R71" s="70"/>
      <c r="S71" s="70">
        <f t="shared" si="30"/>
        <v>2000</v>
      </c>
      <c r="T71" s="71">
        <f t="shared" si="33"/>
        <v>2000</v>
      </c>
    </row>
    <row r="72" spans="1:20" hidden="1" x14ac:dyDescent="0.25">
      <c r="A72" s="120">
        <v>54403</v>
      </c>
      <c r="B72" s="69" t="s">
        <v>75</v>
      </c>
      <c r="C72" s="69"/>
      <c r="D72" s="78"/>
      <c r="E72" s="70"/>
      <c r="F72" s="70"/>
      <c r="G72" s="116">
        <f t="shared" si="7"/>
        <v>0</v>
      </c>
      <c r="H72" s="117"/>
      <c r="I72" s="70"/>
      <c r="J72" s="70"/>
      <c r="K72" s="70"/>
      <c r="L72" s="70"/>
      <c r="M72" s="70"/>
      <c r="N72" s="72"/>
      <c r="O72" s="117">
        <v>700</v>
      </c>
      <c r="P72" s="70"/>
      <c r="Q72" s="70"/>
      <c r="R72" s="70"/>
      <c r="S72" s="70">
        <f t="shared" si="30"/>
        <v>700</v>
      </c>
      <c r="T72" s="71">
        <f t="shared" si="33"/>
        <v>700</v>
      </c>
    </row>
    <row r="73" spans="1:20" hidden="1" x14ac:dyDescent="0.25">
      <c r="A73" s="121">
        <v>545</v>
      </c>
      <c r="B73" s="62" t="s">
        <v>76</v>
      </c>
      <c r="C73" s="62"/>
      <c r="D73" s="63">
        <f>SUM(D74:D78)</f>
        <v>0</v>
      </c>
      <c r="E73" s="63">
        <f>SUM(E74:E78)</f>
        <v>0</v>
      </c>
      <c r="F73" s="63">
        <f t="shared" ref="F73:T73" si="34">SUM(F74:F78)</f>
        <v>0</v>
      </c>
      <c r="G73" s="112">
        <f t="shared" si="34"/>
        <v>0</v>
      </c>
      <c r="H73" s="113">
        <f t="shared" si="34"/>
        <v>0</v>
      </c>
      <c r="I73" s="63">
        <f t="shared" si="34"/>
        <v>0</v>
      </c>
      <c r="J73" s="63">
        <f t="shared" si="34"/>
        <v>0</v>
      </c>
      <c r="K73" s="63">
        <f t="shared" si="34"/>
        <v>0</v>
      </c>
      <c r="L73" s="63">
        <f t="shared" si="34"/>
        <v>0</v>
      </c>
      <c r="M73" s="63">
        <f t="shared" si="34"/>
        <v>0</v>
      </c>
      <c r="N73" s="66">
        <f t="shared" si="34"/>
        <v>0</v>
      </c>
      <c r="O73" s="113">
        <f t="shared" si="34"/>
        <v>5261.3600000000006</v>
      </c>
      <c r="P73" s="63">
        <f t="shared" si="34"/>
        <v>0</v>
      </c>
      <c r="Q73" s="63">
        <f t="shared" si="34"/>
        <v>0</v>
      </c>
      <c r="R73" s="63">
        <f t="shared" si="34"/>
        <v>0</v>
      </c>
      <c r="S73" s="63">
        <f t="shared" si="34"/>
        <v>5261.3600000000006</v>
      </c>
      <c r="T73" s="66">
        <f t="shared" si="34"/>
        <v>5261.3600000000006</v>
      </c>
    </row>
    <row r="74" spans="1:20" hidden="1" x14ac:dyDescent="0.25">
      <c r="A74" s="120">
        <v>54502</v>
      </c>
      <c r="B74" s="69" t="s">
        <v>77</v>
      </c>
      <c r="C74" s="69"/>
      <c r="D74" s="78"/>
      <c r="E74" s="70"/>
      <c r="F74" s="70"/>
      <c r="G74" s="116">
        <f t="shared" si="7"/>
        <v>0</v>
      </c>
      <c r="H74" s="117"/>
      <c r="I74" s="70"/>
      <c r="J74" s="70"/>
      <c r="K74" s="70"/>
      <c r="L74" s="70"/>
      <c r="M74" s="70"/>
      <c r="N74" s="72"/>
      <c r="O74" s="117"/>
      <c r="P74" s="70"/>
      <c r="Q74" s="70"/>
      <c r="R74" s="70"/>
      <c r="S74" s="70">
        <f t="shared" si="30"/>
        <v>0</v>
      </c>
      <c r="T74" s="71">
        <f t="shared" ref="T74:T78" si="35">S74+N74+G74</f>
        <v>0</v>
      </c>
    </row>
    <row r="75" spans="1:20" hidden="1" x14ac:dyDescent="0.25">
      <c r="A75" s="120">
        <v>54503</v>
      </c>
      <c r="B75" s="69" t="s">
        <v>78</v>
      </c>
      <c r="C75" s="69"/>
      <c r="D75" s="78"/>
      <c r="E75" s="70"/>
      <c r="F75" s="70"/>
      <c r="G75" s="116">
        <f t="shared" si="7"/>
        <v>0</v>
      </c>
      <c r="H75" s="117"/>
      <c r="I75" s="70"/>
      <c r="J75" s="70"/>
      <c r="K75" s="70"/>
      <c r="L75" s="70"/>
      <c r="M75" s="70"/>
      <c r="N75" s="72"/>
      <c r="O75" s="117">
        <v>761.36</v>
      </c>
      <c r="P75" s="70"/>
      <c r="Q75" s="70"/>
      <c r="R75" s="70"/>
      <c r="S75" s="70">
        <f t="shared" si="30"/>
        <v>761.36</v>
      </c>
      <c r="T75" s="71">
        <f t="shared" si="35"/>
        <v>761.36</v>
      </c>
    </row>
    <row r="76" spans="1:20" hidden="1" x14ac:dyDescent="0.25">
      <c r="A76" s="120">
        <v>54504</v>
      </c>
      <c r="B76" s="69" t="s">
        <v>79</v>
      </c>
      <c r="C76" s="69"/>
      <c r="D76" s="78"/>
      <c r="E76" s="70"/>
      <c r="F76" s="70"/>
      <c r="G76" s="116">
        <f t="shared" si="7"/>
        <v>0</v>
      </c>
      <c r="H76" s="117"/>
      <c r="I76" s="70"/>
      <c r="J76" s="70"/>
      <c r="K76" s="70"/>
      <c r="L76" s="70"/>
      <c r="M76" s="70"/>
      <c r="N76" s="72"/>
      <c r="O76" s="117">
        <v>3000</v>
      </c>
      <c r="P76" s="70"/>
      <c r="Q76" s="70"/>
      <c r="R76" s="70"/>
      <c r="S76" s="70">
        <f t="shared" si="30"/>
        <v>3000</v>
      </c>
      <c r="T76" s="71">
        <f t="shared" si="35"/>
        <v>3000</v>
      </c>
    </row>
    <row r="77" spans="1:20" hidden="1" x14ac:dyDescent="0.25">
      <c r="A77" s="120">
        <v>54505</v>
      </c>
      <c r="B77" s="69" t="s">
        <v>80</v>
      </c>
      <c r="C77" s="69"/>
      <c r="D77" s="78"/>
      <c r="E77" s="70"/>
      <c r="F77" s="70"/>
      <c r="G77" s="116">
        <f t="shared" si="7"/>
        <v>0</v>
      </c>
      <c r="H77" s="117"/>
      <c r="I77" s="70"/>
      <c r="J77" s="70"/>
      <c r="K77" s="70"/>
      <c r="L77" s="70"/>
      <c r="M77" s="70"/>
      <c r="N77" s="72"/>
      <c r="O77" s="117">
        <v>1500</v>
      </c>
      <c r="P77" s="70"/>
      <c r="Q77" s="70"/>
      <c r="R77" s="70"/>
      <c r="S77" s="70">
        <f t="shared" si="30"/>
        <v>1500</v>
      </c>
      <c r="T77" s="71">
        <f t="shared" si="35"/>
        <v>1500</v>
      </c>
    </row>
    <row r="78" spans="1:20" hidden="1" x14ac:dyDescent="0.25">
      <c r="A78" s="120">
        <v>54599</v>
      </c>
      <c r="B78" s="69" t="s">
        <v>81</v>
      </c>
      <c r="C78" s="69"/>
      <c r="D78" s="78"/>
      <c r="E78" s="70"/>
      <c r="F78" s="70"/>
      <c r="G78" s="116">
        <f t="shared" si="7"/>
        <v>0</v>
      </c>
      <c r="H78" s="117"/>
      <c r="I78" s="70"/>
      <c r="J78" s="70"/>
      <c r="K78" s="70"/>
      <c r="L78" s="70"/>
      <c r="M78" s="70"/>
      <c r="N78" s="72"/>
      <c r="O78" s="117"/>
      <c r="P78" s="70"/>
      <c r="Q78" s="70"/>
      <c r="R78" s="70"/>
      <c r="S78" s="70">
        <f t="shared" si="30"/>
        <v>0</v>
      </c>
      <c r="T78" s="71">
        <f t="shared" si="35"/>
        <v>0</v>
      </c>
    </row>
    <row r="79" spans="1:20" hidden="1" x14ac:dyDescent="0.25">
      <c r="A79" s="121">
        <v>546</v>
      </c>
      <c r="B79" s="62" t="s">
        <v>82</v>
      </c>
      <c r="C79" s="62"/>
      <c r="D79" s="63">
        <f>D80</f>
        <v>0</v>
      </c>
      <c r="E79" s="63">
        <f>E80</f>
        <v>0</v>
      </c>
      <c r="F79" s="63">
        <f t="shared" ref="F79:T79" si="36">F80</f>
        <v>0</v>
      </c>
      <c r="G79" s="112">
        <f t="shared" si="36"/>
        <v>0</v>
      </c>
      <c r="H79" s="113">
        <f t="shared" si="36"/>
        <v>0</v>
      </c>
      <c r="I79" s="63">
        <f t="shared" si="36"/>
        <v>0</v>
      </c>
      <c r="J79" s="63">
        <f t="shared" si="36"/>
        <v>0</v>
      </c>
      <c r="K79" s="63">
        <f t="shared" si="36"/>
        <v>0</v>
      </c>
      <c r="L79" s="63">
        <f t="shared" si="36"/>
        <v>0</v>
      </c>
      <c r="M79" s="63">
        <f t="shared" si="36"/>
        <v>0</v>
      </c>
      <c r="N79" s="66">
        <f t="shared" si="36"/>
        <v>0</v>
      </c>
      <c r="O79" s="113">
        <f t="shared" si="36"/>
        <v>0</v>
      </c>
      <c r="P79" s="63">
        <f t="shared" si="36"/>
        <v>0</v>
      </c>
      <c r="Q79" s="63">
        <f t="shared" si="36"/>
        <v>0</v>
      </c>
      <c r="R79" s="63">
        <f t="shared" si="36"/>
        <v>0</v>
      </c>
      <c r="S79" s="63">
        <f>S80</f>
        <v>0</v>
      </c>
      <c r="T79" s="66">
        <f t="shared" si="36"/>
        <v>0</v>
      </c>
    </row>
    <row r="80" spans="1:20" hidden="1" x14ac:dyDescent="0.25">
      <c r="A80" s="120">
        <v>54602</v>
      </c>
      <c r="B80" s="69" t="s">
        <v>83</v>
      </c>
      <c r="C80" s="69"/>
      <c r="D80" s="70"/>
      <c r="E80" s="70"/>
      <c r="F80" s="70"/>
      <c r="G80" s="116">
        <f t="shared" si="7"/>
        <v>0</v>
      </c>
      <c r="H80" s="117"/>
      <c r="I80" s="70"/>
      <c r="J80" s="70"/>
      <c r="K80" s="70"/>
      <c r="L80" s="70"/>
      <c r="M80" s="70"/>
      <c r="N80" s="72"/>
      <c r="O80" s="117"/>
      <c r="P80" s="70"/>
      <c r="Q80" s="70"/>
      <c r="R80" s="70"/>
      <c r="S80" s="70">
        <f t="shared" si="30"/>
        <v>0</v>
      </c>
      <c r="T80" s="71">
        <f t="shared" ref="T80" si="37">S80+N80+G80</f>
        <v>0</v>
      </c>
    </row>
    <row r="81" spans="1:20" hidden="1" x14ac:dyDescent="0.25">
      <c r="A81" s="121">
        <v>55</v>
      </c>
      <c r="B81" s="62" t="s">
        <v>84</v>
      </c>
      <c r="C81" s="62"/>
      <c r="D81" s="63">
        <f>D82+D85+D88</f>
        <v>0</v>
      </c>
      <c r="E81" s="63">
        <f>E82+E85+E88</f>
        <v>0</v>
      </c>
      <c r="F81" s="63">
        <f t="shared" ref="F81:T81" si="38">F82+F85+F88</f>
        <v>0</v>
      </c>
      <c r="G81" s="112">
        <f t="shared" si="38"/>
        <v>0</v>
      </c>
      <c r="H81" s="113">
        <f t="shared" si="38"/>
        <v>0</v>
      </c>
      <c r="I81" s="63">
        <f t="shared" si="38"/>
        <v>0</v>
      </c>
      <c r="J81" s="63">
        <f t="shared" si="38"/>
        <v>0</v>
      </c>
      <c r="K81" s="63">
        <f t="shared" si="38"/>
        <v>0</v>
      </c>
      <c r="L81" s="63">
        <f t="shared" si="38"/>
        <v>0</v>
      </c>
      <c r="M81" s="63">
        <f t="shared" si="38"/>
        <v>0</v>
      </c>
      <c r="N81" s="66">
        <f t="shared" si="38"/>
        <v>0</v>
      </c>
      <c r="O81" s="113">
        <f t="shared" si="38"/>
        <v>3000</v>
      </c>
      <c r="P81" s="63">
        <f t="shared" si="38"/>
        <v>0</v>
      </c>
      <c r="Q81" s="63">
        <f t="shared" si="38"/>
        <v>0</v>
      </c>
      <c r="R81" s="63">
        <f t="shared" si="38"/>
        <v>0</v>
      </c>
      <c r="S81" s="63">
        <f>S82+S85+S88</f>
        <v>3000</v>
      </c>
      <c r="T81" s="66">
        <f t="shared" si="38"/>
        <v>3000</v>
      </c>
    </row>
    <row r="82" spans="1:20" hidden="1" x14ac:dyDescent="0.25">
      <c r="A82" s="121">
        <v>553</v>
      </c>
      <c r="B82" s="62" t="s">
        <v>85</v>
      </c>
      <c r="C82" s="62"/>
      <c r="D82" s="63">
        <f>SUM(D83:D84)</f>
        <v>0</v>
      </c>
      <c r="E82" s="63">
        <f>SUM(E83:E84)</f>
        <v>0</v>
      </c>
      <c r="F82" s="63">
        <f t="shared" ref="F82:T82" si="39">SUM(F83:F84)</f>
        <v>0</v>
      </c>
      <c r="G82" s="112">
        <f t="shared" si="39"/>
        <v>0</v>
      </c>
      <c r="H82" s="113">
        <f t="shared" si="39"/>
        <v>0</v>
      </c>
      <c r="I82" s="63">
        <f t="shared" si="39"/>
        <v>0</v>
      </c>
      <c r="J82" s="63">
        <f t="shared" si="39"/>
        <v>0</v>
      </c>
      <c r="K82" s="63">
        <f t="shared" si="39"/>
        <v>0</v>
      </c>
      <c r="L82" s="63">
        <f t="shared" si="39"/>
        <v>0</v>
      </c>
      <c r="M82" s="63">
        <f t="shared" si="39"/>
        <v>0</v>
      </c>
      <c r="N82" s="66">
        <f t="shared" si="39"/>
        <v>0</v>
      </c>
      <c r="O82" s="113">
        <f t="shared" si="39"/>
        <v>0</v>
      </c>
      <c r="P82" s="63">
        <f t="shared" si="39"/>
        <v>0</v>
      </c>
      <c r="Q82" s="63">
        <f t="shared" si="39"/>
        <v>0</v>
      </c>
      <c r="R82" s="63">
        <f t="shared" si="39"/>
        <v>0</v>
      </c>
      <c r="S82" s="63">
        <f t="shared" si="39"/>
        <v>0</v>
      </c>
      <c r="T82" s="66">
        <f t="shared" si="39"/>
        <v>0</v>
      </c>
    </row>
    <row r="83" spans="1:20" hidden="1" x14ac:dyDescent="0.25">
      <c r="A83" s="120">
        <v>55302</v>
      </c>
      <c r="B83" s="69" t="s">
        <v>86</v>
      </c>
      <c r="C83" s="69"/>
      <c r="D83" s="70"/>
      <c r="E83" s="70"/>
      <c r="F83" s="70"/>
      <c r="G83" s="116">
        <f t="shared" ref="G83:G84" si="40">C83+D83+E83+F83</f>
        <v>0</v>
      </c>
      <c r="H83" s="117"/>
      <c r="I83" s="70"/>
      <c r="J83" s="70"/>
      <c r="K83" s="70"/>
      <c r="L83" s="70"/>
      <c r="M83" s="70"/>
      <c r="N83" s="72"/>
      <c r="O83" s="117"/>
      <c r="P83" s="70"/>
      <c r="Q83" s="70"/>
      <c r="R83" s="70"/>
      <c r="S83" s="70">
        <f t="shared" ref="S83:S84" si="41">SUM(O83:R83)</f>
        <v>0</v>
      </c>
      <c r="T83" s="71">
        <f t="shared" ref="T83:T84" si="42">S83+N83+G83</f>
        <v>0</v>
      </c>
    </row>
    <row r="84" spans="1:20" hidden="1" x14ac:dyDescent="0.25">
      <c r="A84" s="120">
        <v>55304</v>
      </c>
      <c r="B84" s="69" t="s">
        <v>87</v>
      </c>
      <c r="C84" s="69"/>
      <c r="D84" s="70"/>
      <c r="E84" s="70"/>
      <c r="F84" s="70"/>
      <c r="G84" s="116">
        <f t="shared" si="40"/>
        <v>0</v>
      </c>
      <c r="H84" s="117"/>
      <c r="I84" s="70"/>
      <c r="J84" s="70"/>
      <c r="K84" s="70"/>
      <c r="L84" s="70"/>
      <c r="M84" s="70"/>
      <c r="N84" s="72"/>
      <c r="O84" s="117"/>
      <c r="P84" s="70"/>
      <c r="Q84" s="70"/>
      <c r="R84" s="70"/>
      <c r="S84" s="70">
        <f t="shared" si="41"/>
        <v>0</v>
      </c>
      <c r="T84" s="71">
        <f t="shared" si="42"/>
        <v>0</v>
      </c>
    </row>
    <row r="85" spans="1:20" hidden="1" x14ac:dyDescent="0.25">
      <c r="A85" s="121">
        <v>556</v>
      </c>
      <c r="B85" s="62" t="s">
        <v>88</v>
      </c>
      <c r="C85" s="62"/>
      <c r="D85" s="63">
        <f>SUM(D86:D87)</f>
        <v>0</v>
      </c>
      <c r="E85" s="63">
        <f>SUM(E86:E87)</f>
        <v>0</v>
      </c>
      <c r="F85" s="63">
        <f t="shared" ref="F85:T85" si="43">SUM(F86:F87)</f>
        <v>0</v>
      </c>
      <c r="G85" s="112">
        <f t="shared" si="43"/>
        <v>0</v>
      </c>
      <c r="H85" s="113">
        <f t="shared" si="43"/>
        <v>0</v>
      </c>
      <c r="I85" s="63">
        <f t="shared" si="43"/>
        <v>0</v>
      </c>
      <c r="J85" s="63">
        <f t="shared" si="43"/>
        <v>0</v>
      </c>
      <c r="K85" s="63">
        <f t="shared" si="43"/>
        <v>0</v>
      </c>
      <c r="L85" s="63">
        <f t="shared" si="43"/>
        <v>0</v>
      </c>
      <c r="M85" s="63">
        <f t="shared" si="43"/>
        <v>0</v>
      </c>
      <c r="N85" s="66">
        <f t="shared" si="43"/>
        <v>0</v>
      </c>
      <c r="O85" s="113">
        <f t="shared" si="43"/>
        <v>3000</v>
      </c>
      <c r="P85" s="63">
        <f t="shared" si="43"/>
        <v>0</v>
      </c>
      <c r="Q85" s="63">
        <f t="shared" si="43"/>
        <v>0</v>
      </c>
      <c r="R85" s="63">
        <f t="shared" si="43"/>
        <v>0</v>
      </c>
      <c r="S85" s="63">
        <f t="shared" si="43"/>
        <v>3000</v>
      </c>
      <c r="T85" s="66">
        <f t="shared" si="43"/>
        <v>3000</v>
      </c>
    </row>
    <row r="86" spans="1:20" hidden="1" x14ac:dyDescent="0.25">
      <c r="A86" s="120">
        <v>55602</v>
      </c>
      <c r="B86" s="69" t="s">
        <v>89</v>
      </c>
      <c r="C86" s="69"/>
      <c r="D86" s="70"/>
      <c r="E86" s="70"/>
      <c r="F86" s="70"/>
      <c r="G86" s="116">
        <f t="shared" ref="G86:G87" si="44">C86+D86+E86+F86</f>
        <v>0</v>
      </c>
      <c r="H86" s="117"/>
      <c r="I86" s="70"/>
      <c r="J86" s="70"/>
      <c r="K86" s="70"/>
      <c r="L86" s="70"/>
      <c r="M86" s="70"/>
      <c r="N86" s="72"/>
      <c r="O86" s="117">
        <v>3000</v>
      </c>
      <c r="P86" s="70"/>
      <c r="Q86" s="70"/>
      <c r="R86" s="70"/>
      <c r="S86" s="70">
        <f t="shared" ref="S86:S87" si="45">SUM(O86:R86)</f>
        <v>3000</v>
      </c>
      <c r="T86" s="71">
        <f t="shared" ref="T86:T87" si="46">S86+N86+G86</f>
        <v>3000</v>
      </c>
    </row>
    <row r="87" spans="1:20" hidden="1" x14ac:dyDescent="0.25">
      <c r="A87" s="120">
        <v>55603</v>
      </c>
      <c r="B87" s="69" t="s">
        <v>90</v>
      </c>
      <c r="C87" s="69"/>
      <c r="D87" s="70"/>
      <c r="E87" s="70"/>
      <c r="F87" s="70"/>
      <c r="G87" s="116">
        <f t="shared" si="44"/>
        <v>0</v>
      </c>
      <c r="H87" s="117"/>
      <c r="I87" s="70"/>
      <c r="J87" s="70"/>
      <c r="K87" s="70"/>
      <c r="L87" s="70"/>
      <c r="M87" s="70"/>
      <c r="N87" s="72"/>
      <c r="O87" s="117"/>
      <c r="P87" s="70"/>
      <c r="Q87" s="70"/>
      <c r="R87" s="70"/>
      <c r="S87" s="70">
        <f t="shared" si="45"/>
        <v>0</v>
      </c>
      <c r="T87" s="71">
        <f t="shared" si="46"/>
        <v>0</v>
      </c>
    </row>
    <row r="88" spans="1:20" hidden="1" x14ac:dyDescent="0.25">
      <c r="A88" s="121">
        <v>557</v>
      </c>
      <c r="B88" s="62" t="s">
        <v>91</v>
      </c>
      <c r="C88" s="62"/>
      <c r="D88" s="63">
        <f>SUM(D89:D90)</f>
        <v>0</v>
      </c>
      <c r="E88" s="63">
        <f>SUM(E89:E90)</f>
        <v>0</v>
      </c>
      <c r="F88" s="63">
        <f t="shared" ref="F88:T88" si="47">SUM(F89:F90)</f>
        <v>0</v>
      </c>
      <c r="G88" s="112">
        <f t="shared" si="47"/>
        <v>0</v>
      </c>
      <c r="H88" s="113">
        <f t="shared" si="47"/>
        <v>0</v>
      </c>
      <c r="I88" s="63">
        <f t="shared" si="47"/>
        <v>0</v>
      </c>
      <c r="J88" s="63">
        <f t="shared" si="47"/>
        <v>0</v>
      </c>
      <c r="K88" s="63">
        <f t="shared" si="47"/>
        <v>0</v>
      </c>
      <c r="L88" s="63">
        <f t="shared" si="47"/>
        <v>0</v>
      </c>
      <c r="M88" s="63">
        <f t="shared" si="47"/>
        <v>0</v>
      </c>
      <c r="N88" s="66">
        <f t="shared" si="47"/>
        <v>0</v>
      </c>
      <c r="O88" s="113">
        <f t="shared" si="47"/>
        <v>0</v>
      </c>
      <c r="P88" s="63">
        <f t="shared" si="47"/>
        <v>0</v>
      </c>
      <c r="Q88" s="63">
        <f t="shared" si="47"/>
        <v>0</v>
      </c>
      <c r="R88" s="63">
        <f t="shared" si="47"/>
        <v>0</v>
      </c>
      <c r="S88" s="63">
        <f t="shared" si="47"/>
        <v>0</v>
      </c>
      <c r="T88" s="66">
        <f t="shared" si="47"/>
        <v>0</v>
      </c>
    </row>
    <row r="89" spans="1:20" hidden="1" x14ac:dyDescent="0.25">
      <c r="A89" s="120">
        <v>55703</v>
      </c>
      <c r="B89" s="69" t="s">
        <v>92</v>
      </c>
      <c r="C89" s="69"/>
      <c r="D89" s="70"/>
      <c r="E89" s="70"/>
      <c r="F89" s="70"/>
      <c r="G89" s="116">
        <f t="shared" ref="G89:G90" si="48">C89+D89+E89+F89</f>
        <v>0</v>
      </c>
      <c r="H89" s="117"/>
      <c r="I89" s="70"/>
      <c r="J89" s="70"/>
      <c r="K89" s="70"/>
      <c r="L89" s="70"/>
      <c r="M89" s="70"/>
      <c r="N89" s="72"/>
      <c r="O89" s="117"/>
      <c r="P89" s="70"/>
      <c r="Q89" s="70"/>
      <c r="R89" s="70"/>
      <c r="S89" s="70">
        <f t="shared" ref="S89:S90" si="49">SUM(O89:R89)</f>
        <v>0</v>
      </c>
      <c r="T89" s="71">
        <f t="shared" ref="T89:T90" si="50">S89+N89+G89</f>
        <v>0</v>
      </c>
    </row>
    <row r="90" spans="1:20" hidden="1" x14ac:dyDescent="0.25">
      <c r="A90" s="120">
        <v>55799</v>
      </c>
      <c r="B90" s="69" t="s">
        <v>93</v>
      </c>
      <c r="C90" s="69"/>
      <c r="D90" s="70"/>
      <c r="E90" s="70"/>
      <c r="F90" s="70"/>
      <c r="G90" s="116">
        <f t="shared" si="48"/>
        <v>0</v>
      </c>
      <c r="H90" s="117"/>
      <c r="I90" s="70"/>
      <c r="J90" s="70"/>
      <c r="K90" s="70"/>
      <c r="L90" s="70"/>
      <c r="M90" s="70"/>
      <c r="N90" s="72"/>
      <c r="O90" s="117"/>
      <c r="P90" s="70"/>
      <c r="Q90" s="70"/>
      <c r="R90" s="70"/>
      <c r="S90" s="70">
        <f t="shared" si="49"/>
        <v>0</v>
      </c>
      <c r="T90" s="71">
        <f t="shared" si="50"/>
        <v>0</v>
      </c>
    </row>
    <row r="91" spans="1:20" hidden="1" x14ac:dyDescent="0.25">
      <c r="A91" s="121">
        <v>56</v>
      </c>
      <c r="B91" s="62" t="s">
        <v>94</v>
      </c>
      <c r="C91" s="62"/>
      <c r="D91" s="63">
        <f>D92</f>
        <v>6000</v>
      </c>
      <c r="E91" s="63">
        <f t="shared" ref="E91:R92" si="51">E92</f>
        <v>0</v>
      </c>
      <c r="F91" s="63">
        <f t="shared" si="51"/>
        <v>0</v>
      </c>
      <c r="G91" s="63">
        <f>SUM(D91:F91)</f>
        <v>6000</v>
      </c>
      <c r="H91" s="113"/>
      <c r="I91" s="63"/>
      <c r="J91" s="63"/>
      <c r="K91" s="63"/>
      <c r="L91" s="63"/>
      <c r="M91" s="63"/>
      <c r="N91" s="66"/>
      <c r="O91" s="113"/>
      <c r="P91" s="63"/>
      <c r="Q91" s="63"/>
      <c r="R91" s="63"/>
      <c r="S91" s="63">
        <f>S92+S94</f>
        <v>25329.16</v>
      </c>
      <c r="T91" s="66">
        <f>T92+T94</f>
        <v>31329.16</v>
      </c>
    </row>
    <row r="92" spans="1:20" hidden="1" x14ac:dyDescent="0.25">
      <c r="A92" s="121">
        <v>562</v>
      </c>
      <c r="B92" s="62" t="s">
        <v>95</v>
      </c>
      <c r="C92" s="62"/>
      <c r="D92" s="63">
        <f>D93</f>
        <v>6000</v>
      </c>
      <c r="E92" s="63">
        <f>E93</f>
        <v>0</v>
      </c>
      <c r="F92" s="63">
        <f t="shared" si="51"/>
        <v>0</v>
      </c>
      <c r="G92" s="112">
        <f t="shared" si="51"/>
        <v>6000</v>
      </c>
      <c r="H92" s="113">
        <f t="shared" si="51"/>
        <v>0</v>
      </c>
      <c r="I92" s="63">
        <f t="shared" si="51"/>
        <v>0</v>
      </c>
      <c r="J92" s="63">
        <f t="shared" si="51"/>
        <v>0</v>
      </c>
      <c r="K92" s="63">
        <f t="shared" si="51"/>
        <v>0</v>
      </c>
      <c r="L92" s="63">
        <f t="shared" si="51"/>
        <v>0</v>
      </c>
      <c r="M92" s="63">
        <f t="shared" si="51"/>
        <v>0</v>
      </c>
      <c r="N92" s="66">
        <f t="shared" si="51"/>
        <v>0</v>
      </c>
      <c r="O92" s="113">
        <f t="shared" si="51"/>
        <v>66.12</v>
      </c>
      <c r="P92" s="63">
        <f t="shared" si="51"/>
        <v>95.88</v>
      </c>
      <c r="Q92" s="63">
        <f t="shared" si="51"/>
        <v>36.24</v>
      </c>
      <c r="R92" s="63">
        <f t="shared" si="51"/>
        <v>205.92000000000002</v>
      </c>
      <c r="S92" s="63">
        <f>S93</f>
        <v>404.16</v>
      </c>
      <c r="T92" s="66">
        <f>T93</f>
        <v>6404.16</v>
      </c>
    </row>
    <row r="93" spans="1:20" hidden="1" x14ac:dyDescent="0.25">
      <c r="A93" s="120">
        <v>56201</v>
      </c>
      <c r="B93" s="69" t="s">
        <v>96</v>
      </c>
      <c r="C93" s="69"/>
      <c r="D93" s="70">
        <f>500*12</f>
        <v>6000</v>
      </c>
      <c r="E93" s="70"/>
      <c r="F93" s="70"/>
      <c r="G93" s="116">
        <f t="shared" ref="G93" si="52">C93+D93+E93+F93</f>
        <v>6000</v>
      </c>
      <c r="H93" s="117"/>
      <c r="I93" s="70"/>
      <c r="J93" s="70"/>
      <c r="K93" s="70"/>
      <c r="L93" s="70"/>
      <c r="M93" s="70"/>
      <c r="N93" s="72"/>
      <c r="O93" s="117">
        <f>5.51*12</f>
        <v>66.12</v>
      </c>
      <c r="P93" s="70">
        <f>7.99*12</f>
        <v>95.88</v>
      </c>
      <c r="Q93" s="70">
        <f>3.02*12</f>
        <v>36.24</v>
      </c>
      <c r="R93" s="70">
        <f>17.16*12</f>
        <v>205.92000000000002</v>
      </c>
      <c r="S93" s="70">
        <f t="shared" ref="S93" si="53">SUM(O93:R93)</f>
        <v>404.16</v>
      </c>
      <c r="T93" s="71">
        <f t="shared" ref="T93" si="54">S93+N93+G93</f>
        <v>6404.16</v>
      </c>
    </row>
    <row r="94" spans="1:20" hidden="1" x14ac:dyDescent="0.25">
      <c r="A94" s="121">
        <v>563</v>
      </c>
      <c r="B94" s="62" t="s">
        <v>97</v>
      </c>
      <c r="C94" s="62"/>
      <c r="D94" s="63">
        <f>SUM(D95:D97)</f>
        <v>0</v>
      </c>
      <c r="E94" s="63">
        <f>SUM(E95:E97)</f>
        <v>0</v>
      </c>
      <c r="F94" s="63">
        <f t="shared" ref="F94:T94" si="55">SUM(F95:F97)</f>
        <v>0</v>
      </c>
      <c r="G94" s="112">
        <f t="shared" si="55"/>
        <v>0</v>
      </c>
      <c r="H94" s="113">
        <f t="shared" si="55"/>
        <v>0</v>
      </c>
      <c r="I94" s="63">
        <f t="shared" si="55"/>
        <v>0</v>
      </c>
      <c r="J94" s="63">
        <f t="shared" si="55"/>
        <v>0</v>
      </c>
      <c r="K94" s="63">
        <f t="shared" si="55"/>
        <v>0</v>
      </c>
      <c r="L94" s="63">
        <f t="shared" si="55"/>
        <v>0</v>
      </c>
      <c r="M94" s="63">
        <f t="shared" si="55"/>
        <v>0</v>
      </c>
      <c r="N94" s="66">
        <f t="shared" si="55"/>
        <v>0</v>
      </c>
      <c r="O94" s="113">
        <f t="shared" si="55"/>
        <v>24925</v>
      </c>
      <c r="P94" s="63">
        <f t="shared" si="55"/>
        <v>0</v>
      </c>
      <c r="Q94" s="63">
        <f t="shared" si="55"/>
        <v>0</v>
      </c>
      <c r="R94" s="63">
        <f t="shared" si="55"/>
        <v>0</v>
      </c>
      <c r="S94" s="63">
        <f>SUM(S95:S97)</f>
        <v>24925</v>
      </c>
      <c r="T94" s="66">
        <f t="shared" si="55"/>
        <v>24925</v>
      </c>
    </row>
    <row r="95" spans="1:20" hidden="1" x14ac:dyDescent="0.25">
      <c r="A95" s="120">
        <v>56301</v>
      </c>
      <c r="B95" s="69" t="s">
        <v>98</v>
      </c>
      <c r="C95" s="69"/>
      <c r="D95" s="70"/>
      <c r="E95" s="70"/>
      <c r="F95" s="70"/>
      <c r="G95" s="116">
        <f t="shared" ref="G95:G97" si="56">C95+D95+E95+F95</f>
        <v>0</v>
      </c>
      <c r="H95" s="117"/>
      <c r="I95" s="70"/>
      <c r="J95" s="70"/>
      <c r="K95" s="70"/>
      <c r="L95" s="70"/>
      <c r="M95" s="70"/>
      <c r="N95" s="72"/>
      <c r="O95" s="117"/>
      <c r="P95" s="70"/>
      <c r="Q95" s="70"/>
      <c r="R95" s="70"/>
      <c r="S95" s="70">
        <f t="shared" ref="S95:S97" si="57">SUM(O95:R95)</f>
        <v>0</v>
      </c>
      <c r="T95" s="71">
        <f t="shared" ref="T95:T97" si="58">S95+N95+G95</f>
        <v>0</v>
      </c>
    </row>
    <row r="96" spans="1:20" hidden="1" x14ac:dyDescent="0.25">
      <c r="A96" s="120">
        <v>56303</v>
      </c>
      <c r="B96" s="69" t="s">
        <v>99</v>
      </c>
      <c r="C96" s="69"/>
      <c r="D96" s="70"/>
      <c r="E96" s="70"/>
      <c r="F96" s="70"/>
      <c r="G96" s="116">
        <f t="shared" si="56"/>
        <v>0</v>
      </c>
      <c r="H96" s="117"/>
      <c r="I96" s="70"/>
      <c r="J96" s="70"/>
      <c r="K96" s="70"/>
      <c r="L96" s="70"/>
      <c r="M96" s="70"/>
      <c r="N96" s="72"/>
      <c r="O96" s="117">
        <v>24925</v>
      </c>
      <c r="P96" s="70"/>
      <c r="Q96" s="70"/>
      <c r="R96" s="70"/>
      <c r="S96" s="70">
        <f t="shared" si="57"/>
        <v>24925</v>
      </c>
      <c r="T96" s="71">
        <f t="shared" si="58"/>
        <v>24925</v>
      </c>
    </row>
    <row r="97" spans="1:21" hidden="1" x14ac:dyDescent="0.25">
      <c r="A97" s="120">
        <v>56305</v>
      </c>
      <c r="B97" s="69" t="s">
        <v>100</v>
      </c>
      <c r="C97" s="69"/>
      <c r="D97" s="70"/>
      <c r="E97" s="70"/>
      <c r="F97" s="70"/>
      <c r="G97" s="116">
        <f t="shared" si="56"/>
        <v>0</v>
      </c>
      <c r="H97" s="117"/>
      <c r="I97" s="70"/>
      <c r="J97" s="70"/>
      <c r="K97" s="70"/>
      <c r="L97" s="70"/>
      <c r="M97" s="70"/>
      <c r="N97" s="72"/>
      <c r="O97" s="117"/>
      <c r="P97" s="70"/>
      <c r="Q97" s="70"/>
      <c r="R97" s="70"/>
      <c r="S97" s="70">
        <f t="shared" si="57"/>
        <v>0</v>
      </c>
      <c r="T97" s="71">
        <f t="shared" si="58"/>
        <v>0</v>
      </c>
    </row>
    <row r="98" spans="1:21" x14ac:dyDescent="0.25">
      <c r="A98" s="124">
        <v>61</v>
      </c>
      <c r="B98" s="125" t="s">
        <v>101</v>
      </c>
      <c r="C98" s="125"/>
      <c r="D98" s="126">
        <f>D99+D103+D105+D107</f>
        <v>0</v>
      </c>
      <c r="E98" s="126">
        <f>E99+E103+E105+E107</f>
        <v>0</v>
      </c>
      <c r="F98" s="126">
        <f t="shared" ref="F98:R98" si="59">F99+F103+F105+F107</f>
        <v>0</v>
      </c>
      <c r="G98" s="127">
        <f t="shared" si="59"/>
        <v>0</v>
      </c>
      <c r="H98" s="128">
        <f t="shared" si="59"/>
        <v>44308.31</v>
      </c>
      <c r="I98" s="126">
        <f>I99+I103+I105+I107</f>
        <v>1587689.5</v>
      </c>
      <c r="J98" s="126">
        <f t="shared" si="59"/>
        <v>0</v>
      </c>
      <c r="K98" s="126">
        <f t="shared" si="59"/>
        <v>0</v>
      </c>
      <c r="L98" s="126">
        <f t="shared" si="59"/>
        <v>0</v>
      </c>
      <c r="M98" s="126">
        <f t="shared" si="59"/>
        <v>0</v>
      </c>
      <c r="N98" s="129">
        <f>N99+N103+N105+N107</f>
        <v>1631997.81</v>
      </c>
      <c r="O98" s="113">
        <f t="shared" si="59"/>
        <v>4000</v>
      </c>
      <c r="P98" s="63">
        <f t="shared" si="59"/>
        <v>0</v>
      </c>
      <c r="Q98" s="63">
        <f t="shared" si="59"/>
        <v>0</v>
      </c>
      <c r="R98" s="63">
        <f t="shared" si="59"/>
        <v>0</v>
      </c>
      <c r="S98" s="63">
        <f>S99+S103+S105+S107</f>
        <v>4000</v>
      </c>
      <c r="T98" s="66">
        <f>T99+T103+T105+T107</f>
        <v>1308397.81</v>
      </c>
    </row>
    <row r="99" spans="1:21" x14ac:dyDescent="0.25">
      <c r="A99" s="121">
        <v>611</v>
      </c>
      <c r="B99" s="62" t="s">
        <v>102</v>
      </c>
      <c r="C99" s="62"/>
      <c r="D99" s="63">
        <f>SUM(D100:D102)</f>
        <v>0</v>
      </c>
      <c r="E99" s="63">
        <f>SUM(E100:E102)</f>
        <v>0</v>
      </c>
      <c r="F99" s="63">
        <f t="shared" ref="F99:T99" si="60">SUM(F100:F102)</f>
        <v>0</v>
      </c>
      <c r="G99" s="112">
        <f t="shared" si="60"/>
        <v>0</v>
      </c>
      <c r="H99" s="113">
        <f t="shared" si="60"/>
        <v>0</v>
      </c>
      <c r="I99" s="63">
        <f t="shared" si="60"/>
        <v>50000</v>
      </c>
      <c r="J99" s="63">
        <f t="shared" si="60"/>
        <v>0</v>
      </c>
      <c r="K99" s="63">
        <f t="shared" si="60"/>
        <v>0</v>
      </c>
      <c r="L99" s="63">
        <f t="shared" si="60"/>
        <v>0</v>
      </c>
      <c r="M99" s="63">
        <f t="shared" si="60"/>
        <v>0</v>
      </c>
      <c r="N99" s="66">
        <f>SUM(N100:N102)</f>
        <v>50000</v>
      </c>
      <c r="O99" s="113">
        <f t="shared" si="60"/>
        <v>4000</v>
      </c>
      <c r="P99" s="63">
        <f t="shared" si="60"/>
        <v>0</v>
      </c>
      <c r="Q99" s="63">
        <f t="shared" si="60"/>
        <v>0</v>
      </c>
      <c r="R99" s="63">
        <f t="shared" si="60"/>
        <v>0</v>
      </c>
      <c r="S99" s="63">
        <f>SUM(S100:S102)</f>
        <v>4000</v>
      </c>
      <c r="T99" s="66">
        <f t="shared" si="60"/>
        <v>54000</v>
      </c>
    </row>
    <row r="100" spans="1:21" x14ac:dyDescent="0.25">
      <c r="A100" s="120">
        <v>61102</v>
      </c>
      <c r="B100" s="69" t="s">
        <v>103</v>
      </c>
      <c r="C100" s="69"/>
      <c r="D100" s="70"/>
      <c r="E100" s="70"/>
      <c r="F100" s="70"/>
      <c r="G100" s="116">
        <f t="shared" ref="G100:G102" si="61">C100+D100+E100+F100</f>
        <v>0</v>
      </c>
      <c r="H100" s="117"/>
      <c r="I100" s="70">
        <v>50000</v>
      </c>
      <c r="J100" s="70"/>
      <c r="K100" s="70"/>
      <c r="L100" s="70"/>
      <c r="M100" s="70"/>
      <c r="N100" s="72">
        <f>SUM(H100:M100)</f>
        <v>50000</v>
      </c>
      <c r="O100" s="117"/>
      <c r="P100" s="70"/>
      <c r="Q100" s="70"/>
      <c r="R100" s="70"/>
      <c r="S100" s="70">
        <f t="shared" ref="S100:S102" si="62">SUM(O100:R100)</f>
        <v>0</v>
      </c>
      <c r="T100" s="71">
        <f t="shared" ref="T100:T102" si="63">S100+N100+G100</f>
        <v>50000</v>
      </c>
    </row>
    <row r="101" spans="1:21" x14ac:dyDescent="0.25">
      <c r="A101" s="120">
        <v>61104</v>
      </c>
      <c r="B101" s="69" t="s">
        <v>104</v>
      </c>
      <c r="C101" s="69"/>
      <c r="D101" s="70"/>
      <c r="E101" s="70"/>
      <c r="F101" s="70"/>
      <c r="G101" s="116">
        <f t="shared" si="61"/>
        <v>0</v>
      </c>
      <c r="H101" s="117"/>
      <c r="I101" s="70">
        <v>0</v>
      </c>
      <c r="J101" s="70"/>
      <c r="K101" s="70"/>
      <c r="L101" s="70"/>
      <c r="M101" s="70"/>
      <c r="N101" s="72">
        <f t="shared" ref="N101:N104" si="64">SUM(H101:M101)</f>
        <v>0</v>
      </c>
      <c r="O101" s="117">
        <v>4000</v>
      </c>
      <c r="P101" s="70"/>
      <c r="Q101" s="70"/>
      <c r="R101" s="70"/>
      <c r="S101" s="70">
        <f t="shared" si="62"/>
        <v>4000</v>
      </c>
      <c r="T101" s="71">
        <f t="shared" si="63"/>
        <v>4000</v>
      </c>
    </row>
    <row r="102" spans="1:21" x14ac:dyDescent="0.25">
      <c r="A102" s="120">
        <v>61199</v>
      </c>
      <c r="B102" s="69" t="s">
        <v>105</v>
      </c>
      <c r="C102" s="69"/>
      <c r="D102" s="70"/>
      <c r="E102" s="70"/>
      <c r="F102" s="70"/>
      <c r="G102" s="116">
        <f t="shared" si="61"/>
        <v>0</v>
      </c>
      <c r="H102" s="117"/>
      <c r="I102" s="70"/>
      <c r="J102" s="70"/>
      <c r="K102" s="70"/>
      <c r="L102" s="70"/>
      <c r="M102" s="70"/>
      <c r="N102" s="72">
        <f t="shared" si="64"/>
        <v>0</v>
      </c>
      <c r="O102" s="117"/>
      <c r="P102" s="70"/>
      <c r="Q102" s="70"/>
      <c r="R102" s="70"/>
      <c r="S102" s="70">
        <f t="shared" si="62"/>
        <v>0</v>
      </c>
      <c r="T102" s="71">
        <f t="shared" si="63"/>
        <v>0</v>
      </c>
    </row>
    <row r="103" spans="1:21" x14ac:dyDescent="0.25">
      <c r="A103" s="121">
        <v>612</v>
      </c>
      <c r="B103" s="62" t="s">
        <v>106</v>
      </c>
      <c r="C103" s="62"/>
      <c r="D103" s="63">
        <f>D104</f>
        <v>0</v>
      </c>
      <c r="E103" s="63">
        <f>E104</f>
        <v>0</v>
      </c>
      <c r="F103" s="63">
        <f t="shared" ref="F103:T103" si="65">F104</f>
        <v>0</v>
      </c>
      <c r="G103" s="112">
        <f t="shared" si="65"/>
        <v>0</v>
      </c>
      <c r="H103" s="113">
        <f t="shared" si="65"/>
        <v>0</v>
      </c>
      <c r="I103" s="63">
        <f t="shared" si="65"/>
        <v>55000</v>
      </c>
      <c r="J103" s="63">
        <f t="shared" si="65"/>
        <v>0</v>
      </c>
      <c r="K103" s="63">
        <f t="shared" si="65"/>
        <v>0</v>
      </c>
      <c r="L103" s="63">
        <f t="shared" si="65"/>
        <v>0</v>
      </c>
      <c r="M103" s="63">
        <f t="shared" si="65"/>
        <v>0</v>
      </c>
      <c r="N103" s="66">
        <f t="shared" si="65"/>
        <v>55000</v>
      </c>
      <c r="O103" s="113">
        <f t="shared" si="65"/>
        <v>0</v>
      </c>
      <c r="P103" s="63">
        <f t="shared" si="65"/>
        <v>0</v>
      </c>
      <c r="Q103" s="63">
        <f t="shared" si="65"/>
        <v>0</v>
      </c>
      <c r="R103" s="63">
        <f t="shared" si="65"/>
        <v>0</v>
      </c>
      <c r="S103" s="63">
        <f>S104</f>
        <v>0</v>
      </c>
      <c r="T103" s="66">
        <f t="shared" si="65"/>
        <v>55000</v>
      </c>
    </row>
    <row r="104" spans="1:21" x14ac:dyDescent="0.25">
      <c r="A104" s="120">
        <v>61201</v>
      </c>
      <c r="B104" s="69" t="s">
        <v>107</v>
      </c>
      <c r="C104" s="69"/>
      <c r="D104" s="70"/>
      <c r="E104" s="70"/>
      <c r="F104" s="70"/>
      <c r="G104" s="116">
        <f t="shared" ref="G104" si="66">C104+D104+E104+F104</f>
        <v>0</v>
      </c>
      <c r="H104" s="117"/>
      <c r="I104" s="70">
        <v>55000</v>
      </c>
      <c r="J104" s="70"/>
      <c r="K104" s="70"/>
      <c r="L104" s="70"/>
      <c r="M104" s="70"/>
      <c r="N104" s="72">
        <f t="shared" si="64"/>
        <v>55000</v>
      </c>
      <c r="O104" s="117"/>
      <c r="P104" s="70"/>
      <c r="Q104" s="70"/>
      <c r="R104" s="70"/>
      <c r="S104" s="70">
        <f t="shared" ref="S104" si="67">SUM(O104:R104)</f>
        <v>0</v>
      </c>
      <c r="T104" s="71">
        <f t="shared" ref="T104" si="68">S104+N104+G104</f>
        <v>55000</v>
      </c>
    </row>
    <row r="105" spans="1:21" x14ac:dyDescent="0.25">
      <c r="A105" s="120">
        <v>615</v>
      </c>
      <c r="B105" s="62" t="s">
        <v>108</v>
      </c>
      <c r="C105" s="62"/>
      <c r="D105" s="63">
        <f>D106</f>
        <v>0</v>
      </c>
      <c r="E105" s="63">
        <f>E106</f>
        <v>0</v>
      </c>
      <c r="F105" s="63">
        <f t="shared" ref="F105:T105" si="69">F106</f>
        <v>0</v>
      </c>
      <c r="G105" s="112">
        <f t="shared" si="69"/>
        <v>0</v>
      </c>
      <c r="H105" s="113">
        <f>H106</f>
        <v>44308.31</v>
      </c>
      <c r="I105" s="63">
        <f t="shared" si="69"/>
        <v>0</v>
      </c>
      <c r="J105" s="63">
        <f t="shared" si="69"/>
        <v>0</v>
      </c>
      <c r="K105" s="63">
        <f t="shared" si="69"/>
        <v>0</v>
      </c>
      <c r="L105" s="63">
        <f t="shared" si="69"/>
        <v>0</v>
      </c>
      <c r="M105" s="63">
        <f t="shared" si="69"/>
        <v>0</v>
      </c>
      <c r="N105" s="66">
        <f>N106</f>
        <v>44308.31</v>
      </c>
      <c r="O105" s="113">
        <f t="shared" si="69"/>
        <v>0</v>
      </c>
      <c r="P105" s="63">
        <f t="shared" si="69"/>
        <v>0</v>
      </c>
      <c r="Q105" s="63">
        <f t="shared" si="69"/>
        <v>0</v>
      </c>
      <c r="R105" s="63">
        <f t="shared" si="69"/>
        <v>0</v>
      </c>
      <c r="S105" s="63">
        <f>S106</f>
        <v>0</v>
      </c>
      <c r="T105" s="66">
        <f t="shared" si="69"/>
        <v>44308.31</v>
      </c>
      <c r="U105" s="130"/>
    </row>
    <row r="106" spans="1:21" x14ac:dyDescent="0.25">
      <c r="A106" s="120">
        <v>61599</v>
      </c>
      <c r="B106" s="69" t="s">
        <v>109</v>
      </c>
      <c r="C106" s="69"/>
      <c r="D106" s="70"/>
      <c r="E106" s="70"/>
      <c r="F106" s="70"/>
      <c r="G106" s="116">
        <f t="shared" ref="G106" si="70">C106+D106+E106+F106</f>
        <v>0</v>
      </c>
      <c r="H106" s="93">
        <v>44308.31</v>
      </c>
      <c r="I106" s="70"/>
      <c r="J106" s="70"/>
      <c r="K106" s="70"/>
      <c r="L106" s="70"/>
      <c r="M106" s="70"/>
      <c r="N106" s="72">
        <f t="shared" ref="N106" si="71">SUM(H106:M106)</f>
        <v>44308.31</v>
      </c>
      <c r="O106" s="117"/>
      <c r="P106" s="70"/>
      <c r="Q106" s="70"/>
      <c r="R106" s="70"/>
      <c r="S106" s="70">
        <f t="shared" ref="S106" si="72">SUM(O106:R106)</f>
        <v>0</v>
      </c>
      <c r="T106" s="71">
        <f t="shared" ref="T106" si="73">S106+N106+G106</f>
        <v>44308.31</v>
      </c>
    </row>
    <row r="107" spans="1:21" x14ac:dyDescent="0.25">
      <c r="A107" s="121">
        <v>616</v>
      </c>
      <c r="B107" s="62" t="s">
        <v>110</v>
      </c>
      <c r="C107" s="62"/>
      <c r="D107" s="63">
        <f>SUM(D108:D112)</f>
        <v>0</v>
      </c>
      <c r="E107" s="63">
        <f>SUM(E108:E112)</f>
        <v>0</v>
      </c>
      <c r="F107" s="63">
        <f t="shared" ref="F107:T107" si="74">SUM(F108:F112)</f>
        <v>0</v>
      </c>
      <c r="G107" s="112">
        <f t="shared" si="74"/>
        <v>0</v>
      </c>
      <c r="H107" s="113">
        <f t="shared" si="74"/>
        <v>0</v>
      </c>
      <c r="I107" s="63">
        <f>SUM(I108:I114)</f>
        <v>1482689.5</v>
      </c>
      <c r="J107" s="63">
        <f t="shared" ref="J107:M107" si="75">SUM(J108:J114)</f>
        <v>0</v>
      </c>
      <c r="K107" s="63">
        <f t="shared" si="75"/>
        <v>0</v>
      </c>
      <c r="L107" s="63">
        <f t="shared" si="75"/>
        <v>0</v>
      </c>
      <c r="M107" s="63">
        <f t="shared" si="75"/>
        <v>0</v>
      </c>
      <c r="N107" s="66">
        <f>SUM(N108:N114)</f>
        <v>1482689.5</v>
      </c>
      <c r="O107" s="113">
        <f t="shared" si="74"/>
        <v>0</v>
      </c>
      <c r="P107" s="63">
        <f t="shared" si="74"/>
        <v>0</v>
      </c>
      <c r="Q107" s="63">
        <f t="shared" si="74"/>
        <v>0</v>
      </c>
      <c r="R107" s="63">
        <f t="shared" si="74"/>
        <v>0</v>
      </c>
      <c r="S107" s="63">
        <f>SUM(S108:S112)</f>
        <v>0</v>
      </c>
      <c r="T107" s="66">
        <f t="shared" si="74"/>
        <v>1155089.5</v>
      </c>
    </row>
    <row r="108" spans="1:21" x14ac:dyDescent="0.25">
      <c r="A108" s="120">
        <v>61601</v>
      </c>
      <c r="B108" s="69" t="s">
        <v>111</v>
      </c>
      <c r="C108" s="69"/>
      <c r="D108" s="70"/>
      <c r="E108" s="70"/>
      <c r="F108" s="70"/>
      <c r="G108" s="116">
        <f t="shared" ref="G108:G114" si="76">C108+D108+E108+F108</f>
        <v>0</v>
      </c>
      <c r="H108" s="117"/>
      <c r="I108" s="70">
        <v>491000</v>
      </c>
      <c r="J108" s="70"/>
      <c r="K108" s="70"/>
      <c r="L108" s="70"/>
      <c r="M108" s="70"/>
      <c r="N108" s="72">
        <f t="shared" ref="N108:N114" si="77">SUM(H108:M108)</f>
        <v>491000</v>
      </c>
      <c r="O108" s="117"/>
      <c r="P108" s="70"/>
      <c r="Q108" s="70"/>
      <c r="R108" s="70"/>
      <c r="S108" s="70">
        <f t="shared" ref="S108:S114" si="78">SUM(O108:R108)</f>
        <v>0</v>
      </c>
      <c r="T108" s="71">
        <f t="shared" ref="T108:T114" si="79">S108+N108+G108</f>
        <v>491000</v>
      </c>
    </row>
    <row r="109" spans="1:21" x14ac:dyDescent="0.25">
      <c r="A109" s="120">
        <v>61603</v>
      </c>
      <c r="B109" s="69" t="s">
        <v>112</v>
      </c>
      <c r="C109" s="69"/>
      <c r="D109" s="70"/>
      <c r="E109" s="70"/>
      <c r="F109" s="70"/>
      <c r="G109" s="116">
        <f t="shared" si="76"/>
        <v>0</v>
      </c>
      <c r="H109" s="117"/>
      <c r="I109" s="70">
        <v>267089.5</v>
      </c>
      <c r="J109" s="70"/>
      <c r="K109" s="70"/>
      <c r="L109" s="70"/>
      <c r="M109" s="70"/>
      <c r="N109" s="72">
        <f t="shared" si="77"/>
        <v>267089.5</v>
      </c>
      <c r="O109" s="117"/>
      <c r="P109" s="70"/>
      <c r="Q109" s="70"/>
      <c r="R109" s="70"/>
      <c r="S109" s="70">
        <f t="shared" si="78"/>
        <v>0</v>
      </c>
      <c r="T109" s="71">
        <f t="shared" si="79"/>
        <v>267089.5</v>
      </c>
    </row>
    <row r="110" spans="1:21" x14ac:dyDescent="0.25">
      <c r="A110" s="120">
        <v>61606</v>
      </c>
      <c r="B110" s="69" t="s">
        <v>113</v>
      </c>
      <c r="C110" s="69"/>
      <c r="D110" s="70"/>
      <c r="E110" s="70"/>
      <c r="F110" s="70"/>
      <c r="G110" s="116">
        <f t="shared" si="76"/>
        <v>0</v>
      </c>
      <c r="H110" s="117"/>
      <c r="I110" s="70">
        <v>25000</v>
      </c>
      <c r="J110" s="70"/>
      <c r="K110" s="70"/>
      <c r="L110" s="70"/>
      <c r="M110" s="70"/>
      <c r="N110" s="72">
        <f t="shared" si="77"/>
        <v>25000</v>
      </c>
      <c r="O110" s="117"/>
      <c r="P110" s="70"/>
      <c r="Q110" s="70"/>
      <c r="R110" s="70"/>
      <c r="S110" s="70">
        <f t="shared" si="78"/>
        <v>0</v>
      </c>
      <c r="T110" s="71">
        <f t="shared" si="79"/>
        <v>25000</v>
      </c>
    </row>
    <row r="111" spans="1:21" hidden="1" x14ac:dyDescent="0.25">
      <c r="A111" s="120">
        <v>61608</v>
      </c>
      <c r="B111" s="69" t="s">
        <v>114</v>
      </c>
      <c r="C111" s="69"/>
      <c r="D111" s="70"/>
      <c r="E111" s="70"/>
      <c r="F111" s="70"/>
      <c r="G111" s="116">
        <f t="shared" si="76"/>
        <v>0</v>
      </c>
      <c r="H111" s="117"/>
      <c r="I111" s="70"/>
      <c r="J111" s="70"/>
      <c r="K111" s="70"/>
      <c r="L111" s="70"/>
      <c r="M111" s="70"/>
      <c r="N111" s="72">
        <f t="shared" si="77"/>
        <v>0</v>
      </c>
      <c r="O111" s="117"/>
      <c r="P111" s="70"/>
      <c r="Q111" s="70"/>
      <c r="R111" s="70"/>
      <c r="S111" s="70">
        <f t="shared" si="78"/>
        <v>0</v>
      </c>
      <c r="T111" s="71">
        <f t="shared" si="79"/>
        <v>0</v>
      </c>
    </row>
    <row r="112" spans="1:21" x14ac:dyDescent="0.25">
      <c r="A112" s="120">
        <v>61609</v>
      </c>
      <c r="B112" s="69" t="s">
        <v>115</v>
      </c>
      <c r="C112" s="69"/>
      <c r="D112" s="70"/>
      <c r="E112" s="70"/>
      <c r="F112" s="70"/>
      <c r="G112" s="116">
        <f t="shared" si="76"/>
        <v>0</v>
      </c>
      <c r="H112" s="117"/>
      <c r="I112" s="70">
        <v>372000</v>
      </c>
      <c r="J112" s="70"/>
      <c r="K112" s="70"/>
      <c r="L112" s="70"/>
      <c r="M112" s="70"/>
      <c r="N112" s="72">
        <f>SUM(H112:M112)</f>
        <v>372000</v>
      </c>
      <c r="O112" s="117"/>
      <c r="P112" s="70"/>
      <c r="Q112" s="70"/>
      <c r="R112" s="70"/>
      <c r="S112" s="70">
        <f t="shared" si="78"/>
        <v>0</v>
      </c>
      <c r="T112" s="71">
        <f t="shared" si="79"/>
        <v>372000</v>
      </c>
    </row>
    <row r="113" spans="1:21" x14ac:dyDescent="0.25">
      <c r="A113" s="120">
        <v>61610</v>
      </c>
      <c r="B113" s="69" t="s">
        <v>116</v>
      </c>
      <c r="C113" s="69"/>
      <c r="D113" s="70"/>
      <c r="E113" s="70"/>
      <c r="F113" s="70"/>
      <c r="G113" s="116">
        <f t="shared" si="76"/>
        <v>0</v>
      </c>
      <c r="H113" s="117"/>
      <c r="I113" s="70">
        <v>327600</v>
      </c>
      <c r="J113" s="70"/>
      <c r="K113" s="70"/>
      <c r="L113" s="70"/>
      <c r="M113" s="70"/>
      <c r="N113" s="72">
        <f t="shared" si="77"/>
        <v>327600</v>
      </c>
      <c r="O113" s="117"/>
      <c r="P113" s="70"/>
      <c r="Q113" s="70"/>
      <c r="R113" s="70"/>
      <c r="S113" s="70">
        <f t="shared" si="78"/>
        <v>0</v>
      </c>
      <c r="T113" s="71">
        <f t="shared" si="79"/>
        <v>327600</v>
      </c>
    </row>
    <row r="114" spans="1:21" x14ac:dyDescent="0.25">
      <c r="A114" s="120">
        <v>61611</v>
      </c>
      <c r="B114" s="69" t="s">
        <v>117</v>
      </c>
      <c r="C114" s="69"/>
      <c r="D114" s="70"/>
      <c r="E114" s="70"/>
      <c r="F114" s="70"/>
      <c r="G114" s="116">
        <f t="shared" si="76"/>
        <v>0</v>
      </c>
      <c r="H114" s="117"/>
      <c r="I114" s="70"/>
      <c r="J114" s="70"/>
      <c r="K114" s="70"/>
      <c r="L114" s="70"/>
      <c r="M114" s="70"/>
      <c r="N114" s="72">
        <f t="shared" si="77"/>
        <v>0</v>
      </c>
      <c r="O114" s="117"/>
      <c r="P114" s="70"/>
      <c r="Q114" s="70"/>
      <c r="R114" s="70"/>
      <c r="S114" s="70">
        <f t="shared" si="78"/>
        <v>0</v>
      </c>
      <c r="T114" s="71">
        <f t="shared" si="79"/>
        <v>0</v>
      </c>
    </row>
    <row r="115" spans="1:21" x14ac:dyDescent="0.25">
      <c r="A115" s="124">
        <v>71</v>
      </c>
      <c r="B115" s="125" t="s">
        <v>118</v>
      </c>
      <c r="C115" s="125"/>
      <c r="D115" s="126">
        <f>D116</f>
        <v>0</v>
      </c>
      <c r="E115" s="126">
        <f>E116</f>
        <v>0</v>
      </c>
      <c r="F115" s="126">
        <f t="shared" ref="F115:T116" si="80">F116</f>
        <v>0</v>
      </c>
      <c r="G115" s="127">
        <f t="shared" si="80"/>
        <v>0</v>
      </c>
      <c r="H115" s="128">
        <f t="shared" si="80"/>
        <v>0</v>
      </c>
      <c r="I115" s="126">
        <f t="shared" si="80"/>
        <v>0</v>
      </c>
      <c r="J115" s="126">
        <f t="shared" si="80"/>
        <v>0</v>
      </c>
      <c r="K115" s="126">
        <f t="shared" si="80"/>
        <v>0</v>
      </c>
      <c r="L115" s="126">
        <f t="shared" si="80"/>
        <v>0</v>
      </c>
      <c r="M115" s="126">
        <f>M116</f>
        <v>0</v>
      </c>
      <c r="N115" s="129">
        <f t="shared" si="80"/>
        <v>0</v>
      </c>
      <c r="O115" s="113">
        <f t="shared" si="80"/>
        <v>0</v>
      </c>
      <c r="P115" s="63">
        <f t="shared" si="80"/>
        <v>0</v>
      </c>
      <c r="Q115" s="63">
        <f t="shared" si="80"/>
        <v>0</v>
      </c>
      <c r="R115" s="63">
        <f t="shared" si="80"/>
        <v>0</v>
      </c>
      <c r="S115" s="63">
        <f>S116</f>
        <v>0</v>
      </c>
      <c r="T115" s="66">
        <f>T116</f>
        <v>0</v>
      </c>
    </row>
    <row r="116" spans="1:21" x14ac:dyDescent="0.25">
      <c r="A116" s="121">
        <v>713</v>
      </c>
      <c r="B116" s="62" t="s">
        <v>119</v>
      </c>
      <c r="C116" s="62"/>
      <c r="D116" s="63">
        <f>D117</f>
        <v>0</v>
      </c>
      <c r="E116" s="63">
        <f>E117</f>
        <v>0</v>
      </c>
      <c r="F116" s="63">
        <f t="shared" si="80"/>
        <v>0</v>
      </c>
      <c r="G116" s="112">
        <f t="shared" si="80"/>
        <v>0</v>
      </c>
      <c r="H116" s="113">
        <f t="shared" si="80"/>
        <v>0</v>
      </c>
      <c r="I116" s="63">
        <f t="shared" si="80"/>
        <v>0</v>
      </c>
      <c r="J116" s="63">
        <f t="shared" si="80"/>
        <v>0</v>
      </c>
      <c r="K116" s="63">
        <f t="shared" si="80"/>
        <v>0</v>
      </c>
      <c r="L116" s="63">
        <f t="shared" si="80"/>
        <v>0</v>
      </c>
      <c r="M116" s="63">
        <f>M117</f>
        <v>0</v>
      </c>
      <c r="N116" s="66">
        <f t="shared" si="80"/>
        <v>0</v>
      </c>
      <c r="O116" s="113">
        <f t="shared" si="80"/>
        <v>0</v>
      </c>
      <c r="P116" s="63">
        <f t="shared" si="80"/>
        <v>0</v>
      </c>
      <c r="Q116" s="63">
        <f t="shared" si="80"/>
        <v>0</v>
      </c>
      <c r="R116" s="63">
        <f t="shared" si="80"/>
        <v>0</v>
      </c>
      <c r="S116" s="63">
        <f t="shared" si="80"/>
        <v>0</v>
      </c>
      <c r="T116" s="66">
        <f t="shared" si="80"/>
        <v>0</v>
      </c>
    </row>
    <row r="117" spans="1:21" x14ac:dyDescent="0.25">
      <c r="A117" s="120">
        <v>71304</v>
      </c>
      <c r="B117" s="69" t="s">
        <v>87</v>
      </c>
      <c r="C117" s="69"/>
      <c r="D117" s="70"/>
      <c r="E117" s="70"/>
      <c r="F117" s="70"/>
      <c r="G117" s="116">
        <f t="shared" ref="G117" si="81">C117+D117+E117+F117</f>
        <v>0</v>
      </c>
      <c r="H117" s="117"/>
      <c r="I117" s="70"/>
      <c r="J117" s="70"/>
      <c r="K117" s="70"/>
      <c r="L117" s="70"/>
      <c r="M117" s="94">
        <v>0</v>
      </c>
      <c r="N117" s="72">
        <f t="shared" ref="N117" si="82">SUM(H117:M117)</f>
        <v>0</v>
      </c>
      <c r="O117" s="117"/>
      <c r="P117" s="70"/>
      <c r="Q117" s="70"/>
      <c r="R117" s="70"/>
      <c r="S117" s="70">
        <f t="shared" ref="S117" si="83">SUM(O117:R117)</f>
        <v>0</v>
      </c>
      <c r="T117" s="71">
        <f t="shared" ref="T117" si="84">S117+N117+G117</f>
        <v>0</v>
      </c>
    </row>
    <row r="118" spans="1:21" x14ac:dyDescent="0.25">
      <c r="A118" s="124">
        <v>72</v>
      </c>
      <c r="B118" s="125" t="s">
        <v>120</v>
      </c>
      <c r="C118" s="125"/>
      <c r="D118" s="126">
        <f>D119</f>
        <v>0</v>
      </c>
      <c r="E118" s="126">
        <f>E119</f>
        <v>0</v>
      </c>
      <c r="F118" s="126">
        <f t="shared" ref="F118:T119" si="85">F119</f>
        <v>0</v>
      </c>
      <c r="G118" s="127">
        <f t="shared" si="85"/>
        <v>0</v>
      </c>
      <c r="H118" s="128">
        <f t="shared" si="85"/>
        <v>0</v>
      </c>
      <c r="I118" s="126">
        <f t="shared" si="85"/>
        <v>0</v>
      </c>
      <c r="J118" s="126">
        <f t="shared" si="85"/>
        <v>0</v>
      </c>
      <c r="K118" s="126">
        <f t="shared" si="85"/>
        <v>0</v>
      </c>
      <c r="L118" s="126">
        <f t="shared" si="85"/>
        <v>0</v>
      </c>
      <c r="M118" s="126">
        <f t="shared" si="85"/>
        <v>0</v>
      </c>
      <c r="N118" s="129">
        <f t="shared" si="85"/>
        <v>0</v>
      </c>
      <c r="O118" s="113">
        <f t="shared" si="85"/>
        <v>0</v>
      </c>
      <c r="P118" s="63">
        <f t="shared" si="85"/>
        <v>0</v>
      </c>
      <c r="Q118" s="63">
        <f t="shared" si="85"/>
        <v>0</v>
      </c>
      <c r="R118" s="63">
        <f t="shared" si="85"/>
        <v>0</v>
      </c>
      <c r="S118" s="63">
        <f>S119</f>
        <v>0</v>
      </c>
      <c r="T118" s="66">
        <f>T119</f>
        <v>0</v>
      </c>
    </row>
    <row r="119" spans="1:21" x14ac:dyDescent="0.25">
      <c r="A119" s="121">
        <v>721</v>
      </c>
      <c r="B119" s="62" t="s">
        <v>121</v>
      </c>
      <c r="C119" s="62"/>
      <c r="D119" s="63">
        <f>D120</f>
        <v>0</v>
      </c>
      <c r="E119" s="63">
        <f>E120</f>
        <v>0</v>
      </c>
      <c r="F119" s="63">
        <f t="shared" si="85"/>
        <v>0</v>
      </c>
      <c r="G119" s="112">
        <f t="shared" si="85"/>
        <v>0</v>
      </c>
      <c r="H119" s="113">
        <f t="shared" si="85"/>
        <v>0</v>
      </c>
      <c r="I119" s="63">
        <f t="shared" si="85"/>
        <v>0</v>
      </c>
      <c r="J119" s="63">
        <f t="shared" si="85"/>
        <v>0</v>
      </c>
      <c r="K119" s="63">
        <f t="shared" si="85"/>
        <v>0</v>
      </c>
      <c r="L119" s="63">
        <f t="shared" si="85"/>
        <v>0</v>
      </c>
      <c r="M119" s="63">
        <f t="shared" si="85"/>
        <v>0</v>
      </c>
      <c r="N119" s="66">
        <f t="shared" si="85"/>
        <v>0</v>
      </c>
      <c r="O119" s="113">
        <f t="shared" si="85"/>
        <v>0</v>
      </c>
      <c r="P119" s="63">
        <f t="shared" si="85"/>
        <v>0</v>
      </c>
      <c r="Q119" s="63">
        <f t="shared" si="85"/>
        <v>0</v>
      </c>
      <c r="R119" s="63">
        <f t="shared" si="85"/>
        <v>0</v>
      </c>
      <c r="S119" s="63">
        <f t="shared" si="85"/>
        <v>0</v>
      </c>
      <c r="T119" s="66">
        <f t="shared" si="85"/>
        <v>0</v>
      </c>
    </row>
    <row r="120" spans="1:21" x14ac:dyDescent="0.25">
      <c r="A120" s="120">
        <v>72101</v>
      </c>
      <c r="B120" s="69" t="s">
        <v>121</v>
      </c>
      <c r="C120" s="69"/>
      <c r="D120" s="70"/>
      <c r="E120" s="70"/>
      <c r="F120" s="70"/>
      <c r="G120" s="116">
        <f t="shared" ref="G120" si="86">C120+D120+E120+F120</f>
        <v>0</v>
      </c>
      <c r="H120" s="117"/>
      <c r="I120" s="70"/>
      <c r="J120" s="70"/>
      <c r="K120" s="70"/>
      <c r="L120" s="70"/>
      <c r="M120" s="70"/>
      <c r="N120" s="72">
        <f t="shared" ref="N120" si="87">SUM(H120:M120)</f>
        <v>0</v>
      </c>
      <c r="O120" s="117"/>
      <c r="P120" s="70"/>
      <c r="Q120" s="70"/>
      <c r="R120" s="70"/>
      <c r="S120" s="70">
        <f t="shared" ref="S120" si="88">SUM(O120:R120)</f>
        <v>0</v>
      </c>
      <c r="T120" s="71">
        <f t="shared" ref="T120" si="89">S120+N120+G120</f>
        <v>0</v>
      </c>
    </row>
    <row r="121" spans="1:21" x14ac:dyDescent="0.25">
      <c r="A121" s="114" t="s">
        <v>122</v>
      </c>
      <c r="B121" s="62" t="s">
        <v>123</v>
      </c>
      <c r="C121" s="63">
        <f>C9+C32+C81+C91+C98+C115+C118</f>
        <v>244505.59</v>
      </c>
      <c r="D121" s="63">
        <f t="shared" ref="D121:T121" si="90">D9+D32+D81+D91+D98+D115+D118</f>
        <v>110071</v>
      </c>
      <c r="E121" s="63">
        <f t="shared" si="90"/>
        <v>39543</v>
      </c>
      <c r="F121" s="63">
        <f t="shared" si="90"/>
        <v>114595.69</v>
      </c>
      <c r="G121" s="63">
        <f>G9+G32+G81+G91+G98+G115+G118</f>
        <v>508715.27999999997</v>
      </c>
      <c r="H121" s="63">
        <f t="shared" si="90"/>
        <v>44308.31</v>
      </c>
      <c r="I121" s="63">
        <f t="shared" si="90"/>
        <v>1587689.5</v>
      </c>
      <c r="J121" s="63">
        <f t="shared" si="90"/>
        <v>0</v>
      </c>
      <c r="K121" s="63">
        <f t="shared" si="90"/>
        <v>0</v>
      </c>
      <c r="L121" s="63">
        <f t="shared" si="90"/>
        <v>0</v>
      </c>
      <c r="M121" s="63">
        <f t="shared" si="90"/>
        <v>0</v>
      </c>
      <c r="N121" s="63">
        <f>N9+N32+N81+N91+N98+N115+N118</f>
        <v>1631997.81</v>
      </c>
      <c r="O121" s="63">
        <f t="shared" si="90"/>
        <v>248804.32</v>
      </c>
      <c r="P121" s="63">
        <f t="shared" si="90"/>
        <v>22280.959999999999</v>
      </c>
      <c r="Q121" s="63">
        <f t="shared" si="90"/>
        <v>12764.2</v>
      </c>
      <c r="R121" s="63">
        <f t="shared" si="90"/>
        <v>31265</v>
      </c>
      <c r="S121" s="63">
        <f>S9+S32+S81+S91+S98+S115+S118</f>
        <v>349204.99999999994</v>
      </c>
      <c r="T121" s="63">
        <f t="shared" si="90"/>
        <v>2153556.73</v>
      </c>
    </row>
    <row r="122" spans="1:21" x14ac:dyDescent="0.25">
      <c r="A122" s="114" t="s">
        <v>122</v>
      </c>
      <c r="B122" s="62" t="s">
        <v>124</v>
      </c>
      <c r="C122" s="63">
        <f>C121</f>
        <v>244505.59</v>
      </c>
      <c r="D122" s="63">
        <f t="shared" ref="D122:T123" si="91">D121</f>
        <v>110071</v>
      </c>
      <c r="E122" s="63">
        <f t="shared" si="91"/>
        <v>39543</v>
      </c>
      <c r="F122" s="63">
        <f t="shared" si="91"/>
        <v>114595.69</v>
      </c>
      <c r="G122" s="112">
        <f t="shared" si="91"/>
        <v>508715.27999999997</v>
      </c>
      <c r="H122" s="113">
        <f t="shared" si="91"/>
        <v>44308.31</v>
      </c>
      <c r="I122" s="63">
        <f t="shared" si="91"/>
        <v>1587689.5</v>
      </c>
      <c r="J122" s="63">
        <f t="shared" si="91"/>
        <v>0</v>
      </c>
      <c r="K122" s="63">
        <f t="shared" si="91"/>
        <v>0</v>
      </c>
      <c r="L122" s="63">
        <f t="shared" si="91"/>
        <v>0</v>
      </c>
      <c r="M122" s="63">
        <f t="shared" si="91"/>
        <v>0</v>
      </c>
      <c r="N122" s="66">
        <f t="shared" si="91"/>
        <v>1631997.81</v>
      </c>
      <c r="O122" s="113">
        <f t="shared" si="91"/>
        <v>248804.32</v>
      </c>
      <c r="P122" s="63">
        <f t="shared" si="91"/>
        <v>22280.959999999999</v>
      </c>
      <c r="Q122" s="63">
        <f t="shared" si="91"/>
        <v>12764.2</v>
      </c>
      <c r="R122" s="63">
        <f t="shared" si="91"/>
        <v>31265</v>
      </c>
      <c r="S122" s="63">
        <f t="shared" si="91"/>
        <v>349204.99999999994</v>
      </c>
      <c r="T122" s="66">
        <f t="shared" si="91"/>
        <v>2153556.73</v>
      </c>
    </row>
    <row r="123" spans="1:21" ht="15.75" thickBot="1" x14ac:dyDescent="0.3">
      <c r="A123" s="131" t="s">
        <v>125</v>
      </c>
      <c r="B123" s="132"/>
      <c r="C123" s="63">
        <f>C122</f>
        <v>244505.59</v>
      </c>
      <c r="D123" s="63">
        <f t="shared" si="91"/>
        <v>110071</v>
      </c>
      <c r="E123" s="63">
        <f t="shared" si="91"/>
        <v>39543</v>
      </c>
      <c r="F123" s="63">
        <f t="shared" si="91"/>
        <v>114595.69</v>
      </c>
      <c r="G123" s="112">
        <f>G122</f>
        <v>508715.27999999997</v>
      </c>
      <c r="H123" s="133">
        <f t="shared" si="91"/>
        <v>44308.31</v>
      </c>
      <c r="I123" s="82">
        <f t="shared" si="91"/>
        <v>1587689.5</v>
      </c>
      <c r="J123" s="82">
        <f t="shared" si="91"/>
        <v>0</v>
      </c>
      <c r="K123" s="82">
        <f t="shared" si="91"/>
        <v>0</v>
      </c>
      <c r="L123" s="82">
        <f t="shared" si="91"/>
        <v>0</v>
      </c>
      <c r="M123" s="82">
        <f t="shared" si="91"/>
        <v>0</v>
      </c>
      <c r="N123" s="83">
        <f>N122</f>
        <v>1631997.81</v>
      </c>
      <c r="O123" s="133">
        <f t="shared" si="91"/>
        <v>248804.32</v>
      </c>
      <c r="P123" s="82">
        <f t="shared" si="91"/>
        <v>22280.959999999999</v>
      </c>
      <c r="Q123" s="82">
        <f t="shared" si="91"/>
        <v>12764.2</v>
      </c>
      <c r="R123" s="82">
        <f t="shared" si="91"/>
        <v>31265</v>
      </c>
      <c r="S123" s="82">
        <f t="shared" si="91"/>
        <v>349204.99999999994</v>
      </c>
      <c r="T123" s="83">
        <f t="shared" si="91"/>
        <v>2153556.73</v>
      </c>
    </row>
    <row r="125" spans="1:21" hidden="1" x14ac:dyDescent="0.25">
      <c r="N125">
        <v>1513725.9</v>
      </c>
    </row>
    <row r="126" spans="1:21" hidden="1" x14ac:dyDescent="0.25">
      <c r="N126" s="84">
        <f>N125-N123</f>
        <v>-118271.91000000015</v>
      </c>
      <c r="T126" s="91">
        <v>285705</v>
      </c>
      <c r="U126" s="134"/>
    </row>
    <row r="127" spans="1:21" hidden="1" x14ac:dyDescent="0.25"/>
    <row r="128" spans="1:21" hidden="1" x14ac:dyDescent="0.25"/>
    <row r="129" hidden="1" x14ac:dyDescent="0.25"/>
  </sheetData>
  <mergeCells count="11">
    <mergeCell ref="C6:G6"/>
    <mergeCell ref="O6:S6"/>
    <mergeCell ref="C7:G7"/>
    <mergeCell ref="O7:S7"/>
    <mergeCell ref="A1:T1"/>
    <mergeCell ref="A2:T2"/>
    <mergeCell ref="A3:T3"/>
    <mergeCell ref="O4:S4"/>
    <mergeCell ref="C5:G5"/>
    <mergeCell ref="H5:N5"/>
    <mergeCell ref="O5:S5"/>
  </mergeCells>
  <pageMargins left="0.51181102362204722" right="0.51181102362204722" top="0.55118110236220474" bottom="0.55118110236220474" header="0.31496062992125984" footer="0.31496062992125984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Ingresos</vt:lpstr>
      <vt:lpstr>Fondos Propios</vt:lpstr>
      <vt:lpstr>FODES25%</vt:lpstr>
      <vt:lpstr>FODES 75%</vt:lpstr>
      <vt:lpstr>'FODES25%'!Títulos_a_imprimir</vt:lpstr>
      <vt:lpstr>'Fondos Propios'!Títulos_a_imprimir</vt:lpstr>
      <vt:lpstr>Ingresos!Títulos_a_imprimir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2018-11-20T14:07:24Z</dcterms:created>
  <dcterms:modified xsi:type="dcterms:W3CDTF">2019-03-04T17:14:32Z</dcterms:modified>
</cp:coreProperties>
</file>