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iliar UACI\Desktop\Informacion Oficiosa\4. Presupuesto\2020\"/>
    </mc:Choice>
  </mc:AlternateContent>
  <xr:revisionPtr revIDLastSave="0" documentId="13_ncr:1_{6C9861A3-0F84-47A5-84F3-AEEA9BC860C5}" xr6:coauthVersionLast="45" xr6:coauthVersionMax="45" xr10:uidLastSave="{00000000-0000-0000-0000-000000000000}"/>
  <bookViews>
    <workbookView xWindow="-120" yWindow="-120" windowWidth="29040" windowHeight="15840" tabRatio="467" xr2:uid="{00000000-000D-0000-FFFF-FFFF00000000}"/>
  </bookViews>
  <sheets>
    <sheet name="Ingresos" sheetId="6" r:id="rId1"/>
    <sheet name="Proyeccion FP 2019" sheetId="3" state="hidden" r:id="rId2"/>
    <sheet name="FODES25%" sheetId="7" r:id="rId3"/>
    <sheet name="Fondos Propios" sheetId="10" r:id="rId4"/>
    <sheet name="FODES 75%" sheetId="11" r:id="rId5"/>
    <sheet name="Sueldo Jornal (2)" sheetId="9" state="hidden" r:id="rId6"/>
    <sheet name="Inversion" sheetId="12" state="hidden" r:id="rId7"/>
  </sheets>
  <externalReferences>
    <externalReference r:id="rId8"/>
  </externalReferences>
  <definedNames>
    <definedName name="_xlnm._FilterDatabase" localSheetId="6" hidden="1">Inversion!$A$1:$F$42</definedName>
    <definedName name="_xlnm._FilterDatabase" localSheetId="1" hidden="1">'Proyeccion FP 2019'!$A$4:$K$52</definedName>
    <definedName name="_xlnm.Print_Area" localSheetId="6">Inversion!$A$1:$D$42</definedName>
    <definedName name="_xlnm.Print_Titles" localSheetId="2">'FODES25%'!$1:$8</definedName>
    <definedName name="_xlnm.Print_Titles" localSheetId="3">'Fondos Propios'!$1:$8</definedName>
    <definedName name="_xlnm.Print_Titles" localSheetId="0">Ingresos!$1:$8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6" l="1"/>
  <c r="F46" i="6"/>
  <c r="F40" i="6"/>
  <c r="F39" i="6" l="1"/>
  <c r="F35" i="6"/>
  <c r="F34" i="6" s="1"/>
  <c r="F31" i="6"/>
  <c r="F17" i="6"/>
  <c r="F16" i="6" s="1"/>
  <c r="F10" i="6"/>
  <c r="F9" i="6" s="1"/>
  <c r="D57" i="6"/>
  <c r="F63" i="6" l="1"/>
  <c r="J13" i="6"/>
  <c r="J11" i="6"/>
  <c r="J31" i="6"/>
  <c r="J15" i="6"/>
  <c r="J14" i="6"/>
  <c r="J10" i="6"/>
  <c r="J9" i="6" s="1"/>
  <c r="J17" i="6"/>
  <c r="J36" i="6"/>
  <c r="J47" i="6"/>
  <c r="J44" i="6"/>
  <c r="J16" i="6" l="1"/>
  <c r="O19" i="10"/>
  <c r="C96" i="7"/>
  <c r="C70" i="7"/>
  <c r="G70" i="7" s="1"/>
  <c r="O98" i="10"/>
  <c r="P98" i="10"/>
  <c r="S102" i="10"/>
  <c r="C76" i="7"/>
  <c r="E33" i="7"/>
  <c r="E59" i="7"/>
  <c r="D33" i="7"/>
  <c r="F33" i="7"/>
  <c r="C33" i="7"/>
  <c r="D53" i="7"/>
  <c r="E53" i="7"/>
  <c r="F53" i="7"/>
  <c r="C53" i="7"/>
  <c r="D59" i="7"/>
  <c r="F59" i="7"/>
  <c r="C59" i="7"/>
  <c r="G89" i="7"/>
  <c r="C88" i="7"/>
  <c r="C84" i="7" s="1"/>
  <c r="E32" i="7" l="1"/>
  <c r="C32" i="7"/>
  <c r="S77" i="10" l="1"/>
  <c r="G31" i="7" l="1"/>
  <c r="G30" i="7" s="1"/>
  <c r="G13" i="7"/>
  <c r="G96" i="7"/>
  <c r="R98" i="10"/>
  <c r="Q98" i="10"/>
  <c r="Q25" i="10"/>
  <c r="P25" i="10"/>
  <c r="O25" i="10"/>
  <c r="O24" i="10" s="1"/>
  <c r="R25" i="10"/>
  <c r="R22" i="10"/>
  <c r="P22" i="10"/>
  <c r="Q22" i="10"/>
  <c r="G74" i="7"/>
  <c r="G75" i="7"/>
  <c r="G42" i="7"/>
  <c r="D51" i="9"/>
  <c r="N113" i="9"/>
  <c r="N44" i="9"/>
  <c r="M121" i="9"/>
  <c r="O121" i="9"/>
  <c r="P121" i="9"/>
  <c r="Q121" i="9"/>
  <c r="R121" i="9"/>
  <c r="H121" i="9"/>
  <c r="I121" i="9"/>
  <c r="J121" i="9"/>
  <c r="D121" i="9"/>
  <c r="G120" i="9"/>
  <c r="L120" i="9" s="1"/>
  <c r="F119" i="9"/>
  <c r="F121" i="9" s="1"/>
  <c r="V125" i="9"/>
  <c r="W125" i="9"/>
  <c r="K44" i="9"/>
  <c r="N120" i="9" l="1"/>
  <c r="K120" i="9"/>
  <c r="G119" i="9"/>
  <c r="J44" i="9"/>
  <c r="H44" i="9"/>
  <c r="F107" i="9"/>
  <c r="E97" i="9"/>
  <c r="D97" i="9"/>
  <c r="E51" i="9"/>
  <c r="E29" i="9"/>
  <c r="D29" i="9"/>
  <c r="E24" i="9"/>
  <c r="D24" i="9"/>
  <c r="E7" i="9"/>
  <c r="D7" i="9"/>
  <c r="E71" i="9"/>
  <c r="E125" i="9" s="1"/>
  <c r="D71" i="9"/>
  <c r="E113" i="9"/>
  <c r="D113" i="9"/>
  <c r="F92" i="9"/>
  <c r="N92" i="9" s="1"/>
  <c r="F91" i="9"/>
  <c r="N91" i="9" s="1"/>
  <c r="D125" i="9" l="1"/>
  <c r="D52" i="9"/>
  <c r="K119" i="9"/>
  <c r="K121" i="9" s="1"/>
  <c r="G121" i="9"/>
  <c r="L119" i="9"/>
  <c r="L121" i="9" s="1"/>
  <c r="N119" i="9"/>
  <c r="N121" i="9" s="1"/>
  <c r="J91" i="9"/>
  <c r="K91" i="9"/>
  <c r="J92" i="9"/>
  <c r="K92" i="9"/>
  <c r="I44" i="9"/>
  <c r="G44" i="9"/>
  <c r="E52" i="9"/>
  <c r="L91" i="9"/>
  <c r="L92" i="9"/>
  <c r="L44" i="9"/>
  <c r="G91" i="9"/>
  <c r="G92" i="9"/>
  <c r="J30" i="3"/>
  <c r="J48" i="3"/>
  <c r="O44" i="9" l="1"/>
  <c r="P44" i="9" s="1"/>
  <c r="Q44" i="9" s="1"/>
  <c r="H46" i="3"/>
  <c r="G11" i="3" l="1"/>
  <c r="G5" i="3"/>
  <c r="G4" i="3" s="1"/>
  <c r="O99" i="10" l="1"/>
  <c r="C95" i="7" l="1"/>
  <c r="C30" i="7"/>
  <c r="C14" i="7"/>
  <c r="C94" i="7" l="1"/>
  <c r="D2" i="12"/>
  <c r="D7" i="12"/>
  <c r="D13" i="12"/>
  <c r="D18" i="12"/>
  <c r="D21" i="12"/>
  <c r="D26" i="12"/>
  <c r="D30" i="12"/>
  <c r="D33" i="12"/>
  <c r="D36" i="12"/>
  <c r="C42" i="12"/>
  <c r="D42" i="12" l="1"/>
  <c r="S120" i="11"/>
  <c r="S119" i="11" s="1"/>
  <c r="S118" i="11" s="1"/>
  <c r="N120" i="11"/>
  <c r="N119" i="11" s="1"/>
  <c r="N118" i="11" s="1"/>
  <c r="G120" i="11"/>
  <c r="G119" i="11" s="1"/>
  <c r="G118" i="11" s="1"/>
  <c r="R119" i="11"/>
  <c r="R118" i="11" s="1"/>
  <c r="Q119" i="11"/>
  <c r="Q118" i="11" s="1"/>
  <c r="P119" i="11"/>
  <c r="P118" i="11" s="1"/>
  <c r="O119" i="11"/>
  <c r="O118" i="11" s="1"/>
  <c r="M119" i="11"/>
  <c r="L119" i="11"/>
  <c r="L118" i="11" s="1"/>
  <c r="K119" i="11"/>
  <c r="K118" i="11" s="1"/>
  <c r="J119" i="11"/>
  <c r="J118" i="11" s="1"/>
  <c r="I119" i="11"/>
  <c r="I118" i="11" s="1"/>
  <c r="H119" i="11"/>
  <c r="H118" i="11" s="1"/>
  <c r="F119" i="11"/>
  <c r="F118" i="11" s="1"/>
  <c r="E119" i="11"/>
  <c r="E118" i="11" s="1"/>
  <c r="D119" i="11"/>
  <c r="D118" i="11" s="1"/>
  <c r="M118" i="11"/>
  <c r="S117" i="11"/>
  <c r="S116" i="11" s="1"/>
  <c r="S115" i="11" s="1"/>
  <c r="N117" i="11"/>
  <c r="N116" i="11" s="1"/>
  <c r="N115" i="11" s="1"/>
  <c r="G117" i="11"/>
  <c r="R116" i="11"/>
  <c r="R115" i="11" s="1"/>
  <c r="Q116" i="11"/>
  <c r="Q115" i="11" s="1"/>
  <c r="P116" i="11"/>
  <c r="P115" i="11" s="1"/>
  <c r="O116" i="11"/>
  <c r="O115" i="11" s="1"/>
  <c r="M116" i="11"/>
  <c r="M115" i="11" s="1"/>
  <c r="L116" i="11"/>
  <c r="K116" i="11"/>
  <c r="K115" i="11" s="1"/>
  <c r="J116" i="11"/>
  <c r="J115" i="11" s="1"/>
  <c r="I116" i="11"/>
  <c r="I115" i="11" s="1"/>
  <c r="H116" i="11"/>
  <c r="H115" i="11" s="1"/>
  <c r="G116" i="11"/>
  <c r="G115" i="11" s="1"/>
  <c r="F116" i="11"/>
  <c r="F115" i="11" s="1"/>
  <c r="E116" i="11"/>
  <c r="E115" i="11" s="1"/>
  <c r="D116" i="11"/>
  <c r="D115" i="11" s="1"/>
  <c r="L115" i="11"/>
  <c r="S114" i="11"/>
  <c r="N114" i="11"/>
  <c r="G114" i="11"/>
  <c r="S113" i="11"/>
  <c r="N113" i="11"/>
  <c r="G113" i="11"/>
  <c r="S112" i="11"/>
  <c r="N112" i="11"/>
  <c r="G112" i="11"/>
  <c r="S111" i="11"/>
  <c r="N111" i="11"/>
  <c r="G111" i="11"/>
  <c r="S110" i="11"/>
  <c r="N110" i="11"/>
  <c r="G110" i="11"/>
  <c r="S109" i="11"/>
  <c r="N109" i="11"/>
  <c r="G109" i="11"/>
  <c r="S108" i="11"/>
  <c r="N108" i="11"/>
  <c r="G108" i="11"/>
  <c r="R107" i="11"/>
  <c r="Q107" i="11"/>
  <c r="P107" i="11"/>
  <c r="O107" i="11"/>
  <c r="M107" i="11"/>
  <c r="L107" i="11"/>
  <c r="K107" i="11"/>
  <c r="J107" i="11"/>
  <c r="I107" i="11"/>
  <c r="H107" i="11"/>
  <c r="F107" i="11"/>
  <c r="E107" i="11"/>
  <c r="D107" i="11"/>
  <c r="S106" i="11"/>
  <c r="S105" i="11" s="1"/>
  <c r="N106" i="11"/>
  <c r="G106" i="11"/>
  <c r="G105" i="11" s="1"/>
  <c r="R105" i="11"/>
  <c r="Q105" i="11"/>
  <c r="P105" i="11"/>
  <c r="O105" i="11"/>
  <c r="M105" i="11"/>
  <c r="L105" i="11"/>
  <c r="K105" i="11"/>
  <c r="J105" i="11"/>
  <c r="I105" i="11"/>
  <c r="H105" i="11"/>
  <c r="F105" i="11"/>
  <c r="E105" i="11"/>
  <c r="D105" i="11"/>
  <c r="S104" i="11"/>
  <c r="S103" i="11" s="1"/>
  <c r="N104" i="11"/>
  <c r="N103" i="11" s="1"/>
  <c r="G104" i="11"/>
  <c r="G103" i="11" s="1"/>
  <c r="R103" i="11"/>
  <c r="Q103" i="11"/>
  <c r="P103" i="11"/>
  <c r="O103" i="11"/>
  <c r="M103" i="11"/>
  <c r="L103" i="11"/>
  <c r="K103" i="11"/>
  <c r="J103" i="11"/>
  <c r="I103" i="11"/>
  <c r="H103" i="11"/>
  <c r="F103" i="11"/>
  <c r="E103" i="11"/>
  <c r="D103" i="11"/>
  <c r="S102" i="11"/>
  <c r="N102" i="11"/>
  <c r="G102" i="11"/>
  <c r="S101" i="11"/>
  <c r="N101" i="11"/>
  <c r="G101" i="11"/>
  <c r="S100" i="11"/>
  <c r="N100" i="11"/>
  <c r="G100" i="11"/>
  <c r="R99" i="11"/>
  <c r="Q99" i="11"/>
  <c r="P99" i="11"/>
  <c r="O99" i="11"/>
  <c r="M99" i="11"/>
  <c r="L99" i="11"/>
  <c r="K99" i="11"/>
  <c r="J99" i="11"/>
  <c r="I99" i="11"/>
  <c r="H99" i="11"/>
  <c r="F99" i="11"/>
  <c r="E99" i="11"/>
  <c r="D99" i="11"/>
  <c r="S97" i="11"/>
  <c r="G97" i="11"/>
  <c r="S96" i="11"/>
  <c r="G96" i="11"/>
  <c r="S95" i="11"/>
  <c r="S94" i="11" s="1"/>
  <c r="G95" i="11"/>
  <c r="G94" i="11" s="1"/>
  <c r="R94" i="11"/>
  <c r="Q94" i="11"/>
  <c r="P94" i="11"/>
  <c r="O94" i="11"/>
  <c r="N94" i="11"/>
  <c r="M94" i="11"/>
  <c r="L94" i="11"/>
  <c r="K94" i="11"/>
  <c r="J94" i="11"/>
  <c r="I94" i="11"/>
  <c r="H94" i="11"/>
  <c r="F94" i="11"/>
  <c r="E94" i="11"/>
  <c r="D94" i="11"/>
  <c r="R93" i="11"/>
  <c r="R92" i="11" s="1"/>
  <c r="Q93" i="11"/>
  <c r="Q92" i="11" s="1"/>
  <c r="P93" i="11"/>
  <c r="P92" i="11" s="1"/>
  <c r="O93" i="11"/>
  <c r="D93" i="11"/>
  <c r="G93" i="11" s="1"/>
  <c r="G92" i="11" s="1"/>
  <c r="O92" i="11"/>
  <c r="N92" i="11"/>
  <c r="M92" i="11"/>
  <c r="L92" i="11"/>
  <c r="K92" i="11"/>
  <c r="J92" i="11"/>
  <c r="I92" i="11"/>
  <c r="H92" i="11"/>
  <c r="F92" i="11"/>
  <c r="F91" i="11" s="1"/>
  <c r="E92" i="11"/>
  <c r="E91" i="11" s="1"/>
  <c r="S90" i="11"/>
  <c r="G90" i="11"/>
  <c r="S89" i="11"/>
  <c r="G89" i="11"/>
  <c r="R88" i="11"/>
  <c r="Q88" i="11"/>
  <c r="P88" i="11"/>
  <c r="O88" i="11"/>
  <c r="N88" i="11"/>
  <c r="M88" i="11"/>
  <c r="L88" i="11"/>
  <c r="K88" i="11"/>
  <c r="J88" i="11"/>
  <c r="I88" i="11"/>
  <c r="H88" i="11"/>
  <c r="F88" i="11"/>
  <c r="E88" i="11"/>
  <c r="D88" i="11"/>
  <c r="S87" i="11"/>
  <c r="G87" i="11"/>
  <c r="S86" i="11"/>
  <c r="S85" i="11" s="1"/>
  <c r="G86" i="11"/>
  <c r="R85" i="11"/>
  <c r="Q85" i="11"/>
  <c r="P85" i="11"/>
  <c r="P81" i="11" s="1"/>
  <c r="O85" i="11"/>
  <c r="O81" i="11" s="1"/>
  <c r="N85" i="11"/>
  <c r="M85" i="11"/>
  <c r="L85" i="11"/>
  <c r="L81" i="11" s="1"/>
  <c r="K85" i="11"/>
  <c r="J85" i="11"/>
  <c r="I85" i="11"/>
  <c r="H85" i="11"/>
  <c r="H81" i="11" s="1"/>
  <c r="F85" i="11"/>
  <c r="E85" i="11"/>
  <c r="D85" i="11"/>
  <c r="S84" i="11"/>
  <c r="T84" i="11" s="1"/>
  <c r="G84" i="11"/>
  <c r="S83" i="11"/>
  <c r="G83" i="11"/>
  <c r="R82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F81" i="11" s="1"/>
  <c r="E82" i="11"/>
  <c r="D82" i="11"/>
  <c r="S80" i="11"/>
  <c r="S79" i="11" s="1"/>
  <c r="G80" i="11"/>
  <c r="G79" i="11" s="1"/>
  <c r="R79" i="11"/>
  <c r="Q79" i="11"/>
  <c r="P79" i="11"/>
  <c r="O79" i="11"/>
  <c r="N79" i="11"/>
  <c r="M79" i="11"/>
  <c r="L79" i="11"/>
  <c r="K79" i="11"/>
  <c r="J79" i="11"/>
  <c r="I79" i="11"/>
  <c r="H79" i="11"/>
  <c r="F79" i="11"/>
  <c r="E79" i="11"/>
  <c r="D79" i="11"/>
  <c r="S78" i="11"/>
  <c r="G78" i="11"/>
  <c r="S77" i="11"/>
  <c r="G77" i="11"/>
  <c r="S76" i="11"/>
  <c r="G76" i="11"/>
  <c r="S75" i="11"/>
  <c r="G75" i="11"/>
  <c r="S74" i="11"/>
  <c r="T74" i="11" s="1"/>
  <c r="G74" i="11"/>
  <c r="R73" i="11"/>
  <c r="Q73" i="11"/>
  <c r="P73" i="11"/>
  <c r="O73" i="11"/>
  <c r="N73" i="11"/>
  <c r="M73" i="11"/>
  <c r="L73" i="11"/>
  <c r="K73" i="11"/>
  <c r="J73" i="11"/>
  <c r="I73" i="11"/>
  <c r="H73" i="11"/>
  <c r="F73" i="11"/>
  <c r="E73" i="11"/>
  <c r="D73" i="11"/>
  <c r="S72" i="11"/>
  <c r="T72" i="11" s="1"/>
  <c r="G72" i="11"/>
  <c r="S71" i="11"/>
  <c r="G71" i="11"/>
  <c r="S70" i="11"/>
  <c r="G70" i="11"/>
  <c r="R69" i="11"/>
  <c r="Q69" i="11"/>
  <c r="P69" i="11"/>
  <c r="O69" i="11"/>
  <c r="N69" i="11"/>
  <c r="M69" i="11"/>
  <c r="L69" i="11"/>
  <c r="K69" i="11"/>
  <c r="J69" i="11"/>
  <c r="I69" i="11"/>
  <c r="H69" i="11"/>
  <c r="F69" i="11"/>
  <c r="E69" i="11"/>
  <c r="D69" i="11"/>
  <c r="S68" i="11"/>
  <c r="N68" i="11"/>
  <c r="G68" i="11"/>
  <c r="S67" i="11"/>
  <c r="N67" i="11"/>
  <c r="G67" i="11"/>
  <c r="O66" i="11"/>
  <c r="N66" i="11"/>
  <c r="G66" i="11"/>
  <c r="S65" i="11"/>
  <c r="N65" i="11"/>
  <c r="G65" i="11"/>
  <c r="S64" i="11"/>
  <c r="N64" i="11"/>
  <c r="G64" i="11"/>
  <c r="O63" i="11"/>
  <c r="S63" i="11" s="1"/>
  <c r="N63" i="11"/>
  <c r="G63" i="11"/>
  <c r="O62" i="11"/>
  <c r="S62" i="11" s="1"/>
  <c r="N62" i="11"/>
  <c r="G62" i="11"/>
  <c r="S61" i="11"/>
  <c r="N61" i="11"/>
  <c r="G61" i="11"/>
  <c r="S60" i="11"/>
  <c r="N60" i="11"/>
  <c r="G60" i="11"/>
  <c r="S59" i="11"/>
  <c r="N59" i="11"/>
  <c r="G59" i="11"/>
  <c r="R58" i="11"/>
  <c r="Q58" i="11"/>
  <c r="P58" i="11"/>
  <c r="M58" i="11"/>
  <c r="L58" i="11"/>
  <c r="K58" i="11"/>
  <c r="J58" i="11"/>
  <c r="I58" i="11"/>
  <c r="H58" i="11"/>
  <c r="F58" i="11"/>
  <c r="E58" i="11"/>
  <c r="D58" i="11"/>
  <c r="C58" i="11"/>
  <c r="S57" i="11"/>
  <c r="N57" i="11"/>
  <c r="G57" i="11"/>
  <c r="S56" i="11"/>
  <c r="N56" i="11"/>
  <c r="G56" i="11"/>
  <c r="S55" i="11"/>
  <c r="N55" i="11"/>
  <c r="C55" i="11"/>
  <c r="G55" i="11" s="1"/>
  <c r="S54" i="11"/>
  <c r="N54" i="11"/>
  <c r="C54" i="11"/>
  <c r="S53" i="11"/>
  <c r="N53" i="11"/>
  <c r="G53" i="11"/>
  <c r="R52" i="11"/>
  <c r="Q52" i="11"/>
  <c r="P52" i="11"/>
  <c r="O52" i="11"/>
  <c r="M52" i="11"/>
  <c r="L52" i="11"/>
  <c r="K52" i="11"/>
  <c r="J52" i="11"/>
  <c r="I52" i="11"/>
  <c r="H52" i="11"/>
  <c r="F52" i="11"/>
  <c r="E52" i="11"/>
  <c r="D52" i="11"/>
  <c r="S51" i="11"/>
  <c r="N51" i="11"/>
  <c r="G51" i="11"/>
  <c r="S50" i="11"/>
  <c r="N50" i="11"/>
  <c r="G50" i="11"/>
  <c r="S49" i="11"/>
  <c r="N49" i="11"/>
  <c r="G49" i="11"/>
  <c r="S48" i="11"/>
  <c r="N48" i="11"/>
  <c r="G48" i="11"/>
  <c r="S47" i="11"/>
  <c r="N47" i="11"/>
  <c r="G47" i="11"/>
  <c r="S46" i="11"/>
  <c r="N46" i="11"/>
  <c r="G46" i="11"/>
  <c r="S45" i="11"/>
  <c r="N45" i="11"/>
  <c r="G45" i="11"/>
  <c r="S44" i="11"/>
  <c r="N44" i="11"/>
  <c r="G44" i="11"/>
  <c r="S43" i="11"/>
  <c r="N43" i="11"/>
  <c r="G43" i="11"/>
  <c r="S42" i="11"/>
  <c r="N42" i="11"/>
  <c r="G42" i="11"/>
  <c r="S41" i="11"/>
  <c r="N41" i="11"/>
  <c r="G41" i="11"/>
  <c r="S40" i="11"/>
  <c r="N40" i="11"/>
  <c r="G40" i="11"/>
  <c r="S39" i="11"/>
  <c r="N39" i="11"/>
  <c r="G39" i="11"/>
  <c r="S38" i="11"/>
  <c r="N38" i="11"/>
  <c r="G38" i="11"/>
  <c r="S37" i="11"/>
  <c r="N37" i="11"/>
  <c r="G37" i="11"/>
  <c r="S36" i="11"/>
  <c r="N36" i="11"/>
  <c r="C36" i="11"/>
  <c r="S35" i="11"/>
  <c r="N35" i="11"/>
  <c r="G35" i="11"/>
  <c r="S34" i="11"/>
  <c r="N34" i="11"/>
  <c r="G34" i="11"/>
  <c r="R33" i="11"/>
  <c r="Q33" i="11"/>
  <c r="P33" i="11"/>
  <c r="O33" i="11"/>
  <c r="M33" i="11"/>
  <c r="L33" i="11"/>
  <c r="K33" i="11"/>
  <c r="J33" i="11"/>
  <c r="I33" i="11"/>
  <c r="H33" i="11"/>
  <c r="F33" i="11"/>
  <c r="E33" i="11"/>
  <c r="D33" i="11"/>
  <c r="S31" i="11"/>
  <c r="S30" i="11" s="1"/>
  <c r="N31" i="11"/>
  <c r="N30" i="11" s="1"/>
  <c r="G31" i="11"/>
  <c r="G30" i="11" s="1"/>
  <c r="R30" i="11"/>
  <c r="Q30" i="11"/>
  <c r="P30" i="11"/>
  <c r="O30" i="11"/>
  <c r="M30" i="11"/>
  <c r="L30" i="11"/>
  <c r="K30" i="11"/>
  <c r="J30" i="11"/>
  <c r="I30" i="11"/>
  <c r="H30" i="11"/>
  <c r="F30" i="11"/>
  <c r="E30" i="11"/>
  <c r="D30" i="11"/>
  <c r="C30" i="11"/>
  <c r="S29" i="11"/>
  <c r="N29" i="11"/>
  <c r="G29" i="11"/>
  <c r="S28" i="11"/>
  <c r="N28" i="11"/>
  <c r="G28" i="11"/>
  <c r="R27" i="11"/>
  <c r="Q27" i="11"/>
  <c r="P27" i="11"/>
  <c r="O27" i="11"/>
  <c r="M27" i="11"/>
  <c r="L27" i="11"/>
  <c r="K27" i="11"/>
  <c r="J27" i="11"/>
  <c r="I27" i="11"/>
  <c r="H27" i="11"/>
  <c r="F27" i="11"/>
  <c r="E27" i="11"/>
  <c r="D27" i="11"/>
  <c r="C27" i="11"/>
  <c r="S26" i="11"/>
  <c r="T26" i="11" s="1"/>
  <c r="S25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O23" i="11"/>
  <c r="S23" i="11" s="1"/>
  <c r="N23" i="11"/>
  <c r="G23" i="11"/>
  <c r="R22" i="11"/>
  <c r="R21" i="11" s="1"/>
  <c r="Q22" i="11"/>
  <c r="Q21" i="11" s="1"/>
  <c r="P22" i="11"/>
  <c r="O22" i="11"/>
  <c r="N22" i="11"/>
  <c r="G22" i="11"/>
  <c r="P21" i="11"/>
  <c r="M21" i="11"/>
  <c r="L21" i="11"/>
  <c r="K21" i="11"/>
  <c r="J21" i="11"/>
  <c r="I21" i="11"/>
  <c r="H21" i="11"/>
  <c r="F21" i="11"/>
  <c r="E21" i="11"/>
  <c r="D21" i="11"/>
  <c r="C21" i="11"/>
  <c r="O20" i="11"/>
  <c r="S20" i="11" s="1"/>
  <c r="N20" i="11"/>
  <c r="G20" i="11"/>
  <c r="R19" i="11"/>
  <c r="R18" i="11" s="1"/>
  <c r="Q19" i="11"/>
  <c r="Q18" i="11" s="1"/>
  <c r="P19" i="11"/>
  <c r="O19" i="11"/>
  <c r="N19" i="11"/>
  <c r="G19" i="11"/>
  <c r="P18" i="11"/>
  <c r="M18" i="11"/>
  <c r="L18" i="11"/>
  <c r="K18" i="11"/>
  <c r="J18" i="11"/>
  <c r="I18" i="11"/>
  <c r="H18" i="11"/>
  <c r="F18" i="11"/>
  <c r="E18" i="11"/>
  <c r="D18" i="11"/>
  <c r="C18" i="11"/>
  <c r="S17" i="11"/>
  <c r="N17" i="11"/>
  <c r="G17" i="11"/>
  <c r="S16" i="11"/>
  <c r="N16" i="11"/>
  <c r="G16" i="11"/>
  <c r="S15" i="11"/>
  <c r="N15" i="11"/>
  <c r="G15" i="11"/>
  <c r="R14" i="11"/>
  <c r="Q14" i="11"/>
  <c r="P14" i="11"/>
  <c r="O14" i="11"/>
  <c r="M14" i="11"/>
  <c r="L14" i="11"/>
  <c r="K14" i="11"/>
  <c r="J14" i="11"/>
  <c r="I14" i="11"/>
  <c r="H14" i="11"/>
  <c r="F14" i="11"/>
  <c r="E14" i="11"/>
  <c r="D14" i="11"/>
  <c r="C14" i="11"/>
  <c r="S13" i="11"/>
  <c r="N13" i="11"/>
  <c r="G13" i="11"/>
  <c r="S12" i="11"/>
  <c r="N12" i="11"/>
  <c r="F12" i="11"/>
  <c r="G12" i="11" s="1"/>
  <c r="S11" i="11"/>
  <c r="N11" i="11"/>
  <c r="F11" i="11"/>
  <c r="R10" i="11"/>
  <c r="Q10" i="11"/>
  <c r="P10" i="11"/>
  <c r="O10" i="11"/>
  <c r="M10" i="11"/>
  <c r="L10" i="11"/>
  <c r="K10" i="11"/>
  <c r="J10" i="11"/>
  <c r="I10" i="11"/>
  <c r="H10" i="11"/>
  <c r="E10" i="11"/>
  <c r="D10" i="11"/>
  <c r="C10" i="11"/>
  <c r="S14" i="11" l="1"/>
  <c r="T23" i="11"/>
  <c r="N33" i="11"/>
  <c r="T42" i="11"/>
  <c r="T46" i="11"/>
  <c r="T71" i="11"/>
  <c r="D98" i="11"/>
  <c r="K9" i="11"/>
  <c r="N18" i="11"/>
  <c r="N21" i="11"/>
  <c r="O98" i="11"/>
  <c r="K81" i="11"/>
  <c r="G21" i="11"/>
  <c r="T38" i="11"/>
  <c r="T50" i="11"/>
  <c r="N14" i="11"/>
  <c r="G69" i="11"/>
  <c r="D92" i="11"/>
  <c r="D91" i="11" s="1"/>
  <c r="O18" i="11"/>
  <c r="G18" i="11"/>
  <c r="T114" i="11"/>
  <c r="O58" i="11"/>
  <c r="G14" i="11"/>
  <c r="T17" i="11"/>
  <c r="G27" i="11"/>
  <c r="T35" i="11"/>
  <c r="D81" i="11"/>
  <c r="T106" i="11"/>
  <c r="T105" i="11" s="1"/>
  <c r="P98" i="11"/>
  <c r="T112" i="11"/>
  <c r="T113" i="11"/>
  <c r="T80" i="11"/>
  <c r="T79" i="11" s="1"/>
  <c r="S99" i="11"/>
  <c r="H98" i="11"/>
  <c r="L98" i="11"/>
  <c r="L121" i="11" s="1"/>
  <c r="L122" i="11" s="1"/>
  <c r="L123" i="11" s="1"/>
  <c r="T108" i="11"/>
  <c r="H9" i="11"/>
  <c r="L9" i="11"/>
  <c r="Q9" i="11"/>
  <c r="T16" i="11"/>
  <c r="O21" i="11"/>
  <c r="T15" i="11"/>
  <c r="C9" i="11"/>
  <c r="T53" i="11"/>
  <c r="N52" i="11"/>
  <c r="T57" i="11"/>
  <c r="F32" i="11"/>
  <c r="K32" i="11"/>
  <c r="T78" i="11"/>
  <c r="J81" i="11"/>
  <c r="N81" i="11"/>
  <c r="R81" i="11"/>
  <c r="T96" i="11"/>
  <c r="N27" i="11"/>
  <c r="G99" i="11"/>
  <c r="T111" i="11"/>
  <c r="Q98" i="11"/>
  <c r="J9" i="11"/>
  <c r="S27" i="11"/>
  <c r="D32" i="11"/>
  <c r="S82" i="11"/>
  <c r="T83" i="11"/>
  <c r="T82" i="11" s="1"/>
  <c r="G107" i="11"/>
  <c r="T120" i="11"/>
  <c r="T119" i="11" s="1"/>
  <c r="T118" i="11" s="1"/>
  <c r="R9" i="11"/>
  <c r="T12" i="11"/>
  <c r="O32" i="11"/>
  <c r="N58" i="11"/>
  <c r="T62" i="11"/>
  <c r="T109" i="11"/>
  <c r="T37" i="11"/>
  <c r="T41" i="11"/>
  <c r="T49" i="11"/>
  <c r="J32" i="11"/>
  <c r="R32" i="11"/>
  <c r="T65" i="11"/>
  <c r="T45" i="11"/>
  <c r="C52" i="11"/>
  <c r="T56" i="11"/>
  <c r="I81" i="11"/>
  <c r="M81" i="11"/>
  <c r="Q81" i="11"/>
  <c r="G91" i="11"/>
  <c r="S93" i="11"/>
  <c r="T93" i="11" s="1"/>
  <c r="T92" i="11" s="1"/>
  <c r="F98" i="11"/>
  <c r="J98" i="11"/>
  <c r="R98" i="11"/>
  <c r="M98" i="11"/>
  <c r="T110" i="11"/>
  <c r="S22" i="11"/>
  <c r="T22" i="11" s="1"/>
  <c r="T21" i="11" s="1"/>
  <c r="S33" i="11"/>
  <c r="T40" i="11"/>
  <c r="T44" i="11"/>
  <c r="T48" i="11"/>
  <c r="S52" i="11"/>
  <c r="T64" i="11"/>
  <c r="T68" i="11"/>
  <c r="T75" i="11"/>
  <c r="S73" i="11"/>
  <c r="T86" i="11"/>
  <c r="E81" i="11"/>
  <c r="T95" i="11"/>
  <c r="K98" i="11"/>
  <c r="N99" i="11"/>
  <c r="T102" i="11"/>
  <c r="E98" i="11"/>
  <c r="H32" i="11"/>
  <c r="L32" i="11"/>
  <c r="P32" i="11"/>
  <c r="T39" i="11"/>
  <c r="T43" i="11"/>
  <c r="T47" i="11"/>
  <c r="T51" i="11"/>
  <c r="G58" i="11"/>
  <c r="T61" i="11"/>
  <c r="G73" i="11"/>
  <c r="G85" i="11"/>
  <c r="G88" i="11"/>
  <c r="T97" i="11"/>
  <c r="S107" i="11"/>
  <c r="N105" i="11"/>
  <c r="T100" i="11"/>
  <c r="N107" i="11"/>
  <c r="I98" i="11"/>
  <c r="T101" i="11"/>
  <c r="S92" i="11"/>
  <c r="S91" i="11" s="1"/>
  <c r="T70" i="11"/>
  <c r="T69" i="11" s="1"/>
  <c r="S69" i="11"/>
  <c r="I9" i="11"/>
  <c r="M9" i="11"/>
  <c r="S10" i="11"/>
  <c r="N10" i="11"/>
  <c r="T13" i="11"/>
  <c r="T20" i="11"/>
  <c r="S24" i="11"/>
  <c r="T25" i="11"/>
  <c r="T24" i="11" s="1"/>
  <c r="I32" i="11"/>
  <c r="M32" i="11"/>
  <c r="Q32" i="11"/>
  <c r="T55" i="11"/>
  <c r="T60" i="11"/>
  <c r="T67" i="11"/>
  <c r="T77" i="11"/>
  <c r="T87" i="11"/>
  <c r="S88" i="11"/>
  <c r="S81" i="11" s="1"/>
  <c r="T90" i="11"/>
  <c r="S19" i="11"/>
  <c r="E32" i="11"/>
  <c r="T59" i="11"/>
  <c r="T63" i="11"/>
  <c r="T76" i="11"/>
  <c r="T89" i="11"/>
  <c r="C33" i="11"/>
  <c r="G36" i="11"/>
  <c r="G33" i="11" s="1"/>
  <c r="D9" i="11"/>
  <c r="T29" i="11"/>
  <c r="G54" i="11"/>
  <c r="T54" i="11" s="1"/>
  <c r="S66" i="11"/>
  <c r="T66" i="11" s="1"/>
  <c r="E9" i="11"/>
  <c r="P9" i="11"/>
  <c r="G11" i="11"/>
  <c r="F10" i="11"/>
  <c r="F9" i="11" s="1"/>
  <c r="T28" i="11"/>
  <c r="T31" i="11"/>
  <c r="T30" i="11" s="1"/>
  <c r="T34" i="11"/>
  <c r="T36" i="11"/>
  <c r="T104" i="11"/>
  <c r="T103" i="11" s="1"/>
  <c r="T117" i="11"/>
  <c r="T116" i="11" s="1"/>
  <c r="T115" i="11" s="1"/>
  <c r="T94" i="11" l="1"/>
  <c r="T88" i="11"/>
  <c r="O9" i="11"/>
  <c r="O121" i="11" s="1"/>
  <c r="O122" i="11" s="1"/>
  <c r="O123" i="11" s="1"/>
  <c r="H121" i="11"/>
  <c r="H122" i="11" s="1"/>
  <c r="H123" i="11" s="1"/>
  <c r="D121" i="11"/>
  <c r="D122" i="11" s="1"/>
  <c r="D123" i="11" s="1"/>
  <c r="T14" i="11"/>
  <c r="R121" i="11"/>
  <c r="R122" i="11" s="1"/>
  <c r="R123" i="11" s="1"/>
  <c r="K121" i="11"/>
  <c r="K122" i="11" s="1"/>
  <c r="K123" i="11" s="1"/>
  <c r="T107" i="11"/>
  <c r="G81" i="11"/>
  <c r="T99" i="11"/>
  <c r="G98" i="11"/>
  <c r="T52" i="11"/>
  <c r="C32" i="11"/>
  <c r="C121" i="11" s="1"/>
  <c r="C122" i="11" s="1"/>
  <c r="C123" i="11" s="1"/>
  <c r="Q121" i="11"/>
  <c r="Q122" i="11" s="1"/>
  <c r="Q123" i="11" s="1"/>
  <c r="S21" i="11"/>
  <c r="S98" i="11"/>
  <c r="N32" i="11"/>
  <c r="J121" i="11"/>
  <c r="J122" i="11" s="1"/>
  <c r="J123" i="11" s="1"/>
  <c r="P121" i="11"/>
  <c r="P122" i="11" s="1"/>
  <c r="P123" i="11" s="1"/>
  <c r="T27" i="11"/>
  <c r="F121" i="11"/>
  <c r="F122" i="11" s="1"/>
  <c r="F123" i="11" s="1"/>
  <c r="T85" i="11"/>
  <c r="N9" i="11"/>
  <c r="N98" i="11"/>
  <c r="T73" i="11"/>
  <c r="G10" i="11"/>
  <c r="G9" i="11" s="1"/>
  <c r="T11" i="11"/>
  <c r="T10" i="11" s="1"/>
  <c r="S58" i="11"/>
  <c r="S32" i="11" s="1"/>
  <c r="M121" i="11"/>
  <c r="M122" i="11" s="1"/>
  <c r="M123" i="11" s="1"/>
  <c r="T58" i="11"/>
  <c r="T33" i="11"/>
  <c r="G52" i="11"/>
  <c r="G32" i="11" s="1"/>
  <c r="T19" i="11"/>
  <c r="T18" i="11" s="1"/>
  <c r="S18" i="11"/>
  <c r="E121" i="11"/>
  <c r="E122" i="11" s="1"/>
  <c r="E123" i="11" s="1"/>
  <c r="I121" i="11"/>
  <c r="I122" i="11" s="1"/>
  <c r="I123" i="11" s="1"/>
  <c r="T91" i="11"/>
  <c r="T81" i="11" l="1"/>
  <c r="N121" i="11"/>
  <c r="N122" i="11" s="1"/>
  <c r="N123" i="11" s="1"/>
  <c r="N126" i="11" s="1"/>
  <c r="T98" i="11"/>
  <c r="T9" i="11"/>
  <c r="S9" i="11"/>
  <c r="S121" i="11" s="1"/>
  <c r="S122" i="11" s="1"/>
  <c r="S123" i="11" s="1"/>
  <c r="T32" i="11"/>
  <c r="G121" i="11"/>
  <c r="G122" i="11" s="1"/>
  <c r="G123" i="11" s="1"/>
  <c r="T121" i="11" l="1"/>
  <c r="T122" i="11" s="1"/>
  <c r="T123" i="11" s="1"/>
  <c r="O55" i="10"/>
  <c r="G15" i="7"/>
  <c r="S72" i="10"/>
  <c r="S71" i="10"/>
  <c r="S70" i="10"/>
  <c r="S69" i="10"/>
  <c r="S68" i="10"/>
  <c r="S67" i="10"/>
  <c r="S66" i="10"/>
  <c r="S65" i="10"/>
  <c r="S64" i="10"/>
  <c r="S63" i="10"/>
  <c r="S62" i="10"/>
  <c r="S60" i="10"/>
  <c r="S59" i="10"/>
  <c r="S58" i="10"/>
  <c r="S57" i="10"/>
  <c r="S56" i="10"/>
  <c r="S54" i="10"/>
  <c r="S52" i="10"/>
  <c r="S51" i="10"/>
  <c r="S50" i="10"/>
  <c r="S49" i="10"/>
  <c r="S47" i="10"/>
  <c r="S46" i="10"/>
  <c r="S45" i="10"/>
  <c r="S44" i="10"/>
  <c r="S43" i="10"/>
  <c r="S42" i="10"/>
  <c r="S40" i="10"/>
  <c r="S39" i="10"/>
  <c r="S38" i="10"/>
  <c r="S37" i="10"/>
  <c r="S32" i="10"/>
  <c r="S31" i="10"/>
  <c r="S30" i="10" s="1"/>
  <c r="S29" i="10"/>
  <c r="S28" i="10"/>
  <c r="S27" i="10" s="1"/>
  <c r="S26" i="10"/>
  <c r="S23" i="10"/>
  <c r="S19" i="10"/>
  <c r="S13" i="10"/>
  <c r="S12" i="10"/>
  <c r="O78" i="10"/>
  <c r="O73" i="10"/>
  <c r="O61" i="10"/>
  <c r="O33" i="10"/>
  <c r="O30" i="10"/>
  <c r="O27" i="10"/>
  <c r="S55" i="10" l="1"/>
  <c r="S61" i="10"/>
  <c r="S18" i="10" l="1"/>
  <c r="S25" i="10" l="1"/>
  <c r="S24" i="10" s="1"/>
  <c r="R21" i="10"/>
  <c r="O17" i="10"/>
  <c r="R97" i="10"/>
  <c r="Q97" i="10"/>
  <c r="Q71" i="9"/>
  <c r="P71" i="9"/>
  <c r="O71" i="9"/>
  <c r="M71" i="9"/>
  <c r="F70" i="9"/>
  <c r="N70" i="9" s="1"/>
  <c r="C10" i="10"/>
  <c r="D10" i="10"/>
  <c r="E10" i="10"/>
  <c r="H10" i="10"/>
  <c r="I10" i="10"/>
  <c r="J10" i="10"/>
  <c r="K10" i="10"/>
  <c r="L10" i="10"/>
  <c r="M10" i="10"/>
  <c r="F11" i="10"/>
  <c r="N11" i="10"/>
  <c r="F12" i="10"/>
  <c r="G12" i="10" s="1"/>
  <c r="N12" i="10"/>
  <c r="G13" i="10"/>
  <c r="N13" i="10"/>
  <c r="T13" i="10"/>
  <c r="S14" i="10"/>
  <c r="S15" i="10"/>
  <c r="S16" i="10"/>
  <c r="C17" i="10"/>
  <c r="D17" i="10"/>
  <c r="E17" i="10"/>
  <c r="F17" i="10"/>
  <c r="H17" i="10"/>
  <c r="I17" i="10"/>
  <c r="J17" i="10"/>
  <c r="K17" i="10"/>
  <c r="L17" i="10"/>
  <c r="M17" i="10"/>
  <c r="P17" i="10"/>
  <c r="Q17" i="10"/>
  <c r="R17" i="10"/>
  <c r="G18" i="10"/>
  <c r="N18" i="10"/>
  <c r="G19" i="10"/>
  <c r="N19" i="10"/>
  <c r="G20" i="10"/>
  <c r="N20" i="10"/>
  <c r="S20" i="10"/>
  <c r="C21" i="10"/>
  <c r="D21" i="10"/>
  <c r="E21" i="10"/>
  <c r="F21" i="10"/>
  <c r="H21" i="10"/>
  <c r="I21" i="10"/>
  <c r="J21" i="10"/>
  <c r="K21" i="10"/>
  <c r="L21" i="10"/>
  <c r="M21" i="10"/>
  <c r="G22" i="10"/>
  <c r="N22" i="10"/>
  <c r="Q21" i="10"/>
  <c r="G23" i="10"/>
  <c r="N23" i="10"/>
  <c r="C24" i="10"/>
  <c r="D24" i="10"/>
  <c r="E24" i="10"/>
  <c r="F24" i="10"/>
  <c r="H24" i="10"/>
  <c r="I24" i="10"/>
  <c r="J24" i="10"/>
  <c r="K24" i="10"/>
  <c r="L24" i="10"/>
  <c r="M24" i="10"/>
  <c r="G25" i="10"/>
  <c r="N25" i="10"/>
  <c r="P24" i="10"/>
  <c r="Q24" i="10"/>
  <c r="R24" i="10"/>
  <c r="G26" i="10"/>
  <c r="N26" i="10"/>
  <c r="C27" i="10"/>
  <c r="D27" i="10"/>
  <c r="E27" i="10"/>
  <c r="F27" i="10"/>
  <c r="G27" i="10"/>
  <c r="H27" i="10"/>
  <c r="I27" i="10"/>
  <c r="J27" i="10"/>
  <c r="K27" i="10"/>
  <c r="L27" i="10"/>
  <c r="M27" i="10"/>
  <c r="N27" i="10"/>
  <c r="P27" i="10"/>
  <c r="Q27" i="10"/>
  <c r="R27" i="10"/>
  <c r="T29" i="10"/>
  <c r="C30" i="10"/>
  <c r="D30" i="10"/>
  <c r="E30" i="10"/>
  <c r="F30" i="10"/>
  <c r="H30" i="10"/>
  <c r="I30" i="10"/>
  <c r="J30" i="10"/>
  <c r="K30" i="10"/>
  <c r="L30" i="10"/>
  <c r="M30" i="10"/>
  <c r="P30" i="10"/>
  <c r="Q30" i="10"/>
  <c r="R30" i="10"/>
  <c r="G31" i="10"/>
  <c r="N31" i="10"/>
  <c r="G32" i="10"/>
  <c r="N32" i="10"/>
  <c r="C33" i="10"/>
  <c r="D33" i="10"/>
  <c r="E33" i="10"/>
  <c r="F33" i="10"/>
  <c r="H33" i="10"/>
  <c r="I33" i="10"/>
  <c r="J33" i="10"/>
  <c r="K33" i="10"/>
  <c r="L33" i="10"/>
  <c r="M33" i="10"/>
  <c r="P33" i="10"/>
  <c r="Q33" i="10"/>
  <c r="R33" i="10"/>
  <c r="G34" i="10"/>
  <c r="G33" i="10" s="1"/>
  <c r="N34" i="10"/>
  <c r="N33" i="10" s="1"/>
  <c r="S34" i="10"/>
  <c r="S33" i="10" s="1"/>
  <c r="D36" i="10"/>
  <c r="E36" i="10"/>
  <c r="F36" i="10"/>
  <c r="H36" i="10"/>
  <c r="I36" i="10"/>
  <c r="J36" i="10"/>
  <c r="K36" i="10"/>
  <c r="L36" i="10"/>
  <c r="M36" i="10"/>
  <c r="P36" i="10"/>
  <c r="Q36" i="10"/>
  <c r="R36" i="10"/>
  <c r="G37" i="10"/>
  <c r="N37" i="10"/>
  <c r="G38" i="10"/>
  <c r="N38" i="10"/>
  <c r="C39" i="10"/>
  <c r="C36" i="10" s="1"/>
  <c r="N39" i="10"/>
  <c r="G40" i="10"/>
  <c r="N40" i="10"/>
  <c r="G41" i="10"/>
  <c r="N41" i="10"/>
  <c r="S41" i="10"/>
  <c r="G42" i="10"/>
  <c r="N42" i="10"/>
  <c r="G43" i="10"/>
  <c r="N43" i="10"/>
  <c r="G44" i="10"/>
  <c r="N44" i="10"/>
  <c r="G45" i="10"/>
  <c r="N45" i="10"/>
  <c r="G46" i="10"/>
  <c r="N46" i="10"/>
  <c r="G47" i="10"/>
  <c r="N47" i="10"/>
  <c r="G48" i="10"/>
  <c r="N48" i="10"/>
  <c r="G49" i="10"/>
  <c r="N49" i="10"/>
  <c r="G50" i="10"/>
  <c r="N50" i="10"/>
  <c r="G51" i="10"/>
  <c r="N51" i="10"/>
  <c r="G52" i="10"/>
  <c r="N52" i="10"/>
  <c r="T52" i="10" s="1"/>
  <c r="G53" i="10"/>
  <c r="N53" i="10"/>
  <c r="S53" i="10"/>
  <c r="G54" i="10"/>
  <c r="N54" i="10"/>
  <c r="D55" i="10"/>
  <c r="E55" i="10"/>
  <c r="F55" i="10"/>
  <c r="H55" i="10"/>
  <c r="I55" i="10"/>
  <c r="J55" i="10"/>
  <c r="K55" i="10"/>
  <c r="L55" i="10"/>
  <c r="M55" i="10"/>
  <c r="P55" i="10"/>
  <c r="Q55" i="10"/>
  <c r="R55" i="10"/>
  <c r="G56" i="10"/>
  <c r="N56" i="10"/>
  <c r="C57" i="10"/>
  <c r="G57" i="10" s="1"/>
  <c r="N57" i="10"/>
  <c r="C58" i="10"/>
  <c r="N58" i="10"/>
  <c r="G59" i="10"/>
  <c r="N59" i="10"/>
  <c r="G60" i="10"/>
  <c r="N60" i="10"/>
  <c r="C61" i="10"/>
  <c r="D61" i="10"/>
  <c r="E61" i="10"/>
  <c r="F61" i="10"/>
  <c r="H61" i="10"/>
  <c r="I61" i="10"/>
  <c r="J61" i="10"/>
  <c r="K61" i="10"/>
  <c r="L61" i="10"/>
  <c r="M61" i="10"/>
  <c r="P61" i="10"/>
  <c r="Q61" i="10"/>
  <c r="R61" i="10"/>
  <c r="G62" i="10"/>
  <c r="N62" i="10"/>
  <c r="G63" i="10"/>
  <c r="N63" i="10"/>
  <c r="G64" i="10"/>
  <c r="N64" i="10"/>
  <c r="G65" i="10"/>
  <c r="N65" i="10"/>
  <c r="G66" i="10"/>
  <c r="N66" i="10"/>
  <c r="G67" i="10"/>
  <c r="N67" i="10"/>
  <c r="G68" i="10"/>
  <c r="N68" i="10"/>
  <c r="G69" i="10"/>
  <c r="N69" i="10"/>
  <c r="G70" i="10"/>
  <c r="N70" i="10"/>
  <c r="G71" i="10"/>
  <c r="N71" i="10"/>
  <c r="D73" i="10"/>
  <c r="E73" i="10"/>
  <c r="F73" i="10"/>
  <c r="H73" i="10"/>
  <c r="I73" i="10"/>
  <c r="J73" i="10"/>
  <c r="K73" i="10"/>
  <c r="L73" i="10"/>
  <c r="M73" i="10"/>
  <c r="N73" i="10"/>
  <c r="P73" i="10"/>
  <c r="Q73" i="10"/>
  <c r="R73" i="10"/>
  <c r="G74" i="10"/>
  <c r="S74" i="10"/>
  <c r="G75" i="10"/>
  <c r="S75" i="10"/>
  <c r="G76" i="10"/>
  <c r="S76" i="10"/>
  <c r="D78" i="10"/>
  <c r="E78" i="10"/>
  <c r="F78" i="10"/>
  <c r="H78" i="10"/>
  <c r="I78" i="10"/>
  <c r="J78" i="10"/>
  <c r="K78" i="10"/>
  <c r="L78" i="10"/>
  <c r="M78" i="10"/>
  <c r="N78" i="10"/>
  <c r="P78" i="10"/>
  <c r="Q78" i="10"/>
  <c r="R78" i="10"/>
  <c r="G79" i="10"/>
  <c r="S79" i="10"/>
  <c r="G80" i="10"/>
  <c r="S80" i="10"/>
  <c r="G81" i="10"/>
  <c r="G82" i="10"/>
  <c r="S82" i="10"/>
  <c r="G83" i="10"/>
  <c r="S83" i="10"/>
  <c r="D84" i="10"/>
  <c r="E84" i="10"/>
  <c r="F84" i="10"/>
  <c r="H84" i="10"/>
  <c r="I84" i="10"/>
  <c r="J84" i="10"/>
  <c r="K84" i="10"/>
  <c r="L84" i="10"/>
  <c r="M84" i="10"/>
  <c r="N84" i="10"/>
  <c r="O84" i="10"/>
  <c r="P84" i="10"/>
  <c r="Q84" i="10"/>
  <c r="R84" i="10"/>
  <c r="G85" i="10"/>
  <c r="G84" i="10" s="1"/>
  <c r="S85" i="10"/>
  <c r="D87" i="10"/>
  <c r="E87" i="10"/>
  <c r="F87" i="10"/>
  <c r="H87" i="10"/>
  <c r="I87" i="10"/>
  <c r="J87" i="10"/>
  <c r="K87" i="10"/>
  <c r="L87" i="10"/>
  <c r="M87" i="10"/>
  <c r="N87" i="10"/>
  <c r="O87" i="10"/>
  <c r="P87" i="10"/>
  <c r="Q87" i="10"/>
  <c r="R87" i="10"/>
  <c r="G88" i="10"/>
  <c r="S88" i="10"/>
  <c r="G89" i="10"/>
  <c r="S89" i="10"/>
  <c r="D90" i="10"/>
  <c r="E90" i="10"/>
  <c r="F90" i="10"/>
  <c r="H90" i="10"/>
  <c r="I90" i="10"/>
  <c r="J90" i="10"/>
  <c r="K90" i="10"/>
  <c r="L90" i="10"/>
  <c r="M90" i="10"/>
  <c r="N90" i="10"/>
  <c r="O90" i="10"/>
  <c r="P90" i="10"/>
  <c r="Q90" i="10"/>
  <c r="R90" i="10"/>
  <c r="G91" i="10"/>
  <c r="S91" i="10"/>
  <c r="G92" i="10"/>
  <c r="S92" i="10"/>
  <c r="D93" i="10"/>
  <c r="E93" i="10"/>
  <c r="F93" i="10"/>
  <c r="H93" i="10"/>
  <c r="I93" i="10"/>
  <c r="J93" i="10"/>
  <c r="K93" i="10"/>
  <c r="L93" i="10"/>
  <c r="M93" i="10"/>
  <c r="N93" i="10"/>
  <c r="O93" i="10"/>
  <c r="P93" i="10"/>
  <c r="Q93" i="10"/>
  <c r="R93" i="10"/>
  <c r="G94" i="10"/>
  <c r="S94" i="10"/>
  <c r="G95" i="10"/>
  <c r="S95" i="10"/>
  <c r="E97" i="10"/>
  <c r="E96" i="10" s="1"/>
  <c r="F97" i="10"/>
  <c r="F96" i="10" s="1"/>
  <c r="H97" i="10"/>
  <c r="I97" i="10"/>
  <c r="J97" i="10"/>
  <c r="K97" i="10"/>
  <c r="L97" i="10"/>
  <c r="M97" i="10"/>
  <c r="N97" i="10"/>
  <c r="D98" i="10"/>
  <c r="D97" i="10" s="1"/>
  <c r="D96" i="10" s="1"/>
  <c r="O97" i="10"/>
  <c r="O96" i="10" s="1"/>
  <c r="D99" i="10"/>
  <c r="E99" i="10"/>
  <c r="F99" i="10"/>
  <c r="H99" i="10"/>
  <c r="I99" i="10"/>
  <c r="J99" i="10"/>
  <c r="K99" i="10"/>
  <c r="L99" i="10"/>
  <c r="M99" i="10"/>
  <c r="N99" i="10"/>
  <c r="P99" i="10"/>
  <c r="Q99" i="10"/>
  <c r="R99" i="10"/>
  <c r="G100" i="10"/>
  <c r="S100" i="10"/>
  <c r="G101" i="10"/>
  <c r="S101" i="10"/>
  <c r="G103" i="10"/>
  <c r="S103" i="10"/>
  <c r="D105" i="10"/>
  <c r="E105" i="10"/>
  <c r="F105" i="10"/>
  <c r="H105" i="10"/>
  <c r="I105" i="10"/>
  <c r="J105" i="10"/>
  <c r="K105" i="10"/>
  <c r="L105" i="10"/>
  <c r="M105" i="10"/>
  <c r="O105" i="10"/>
  <c r="P105" i="10"/>
  <c r="Q105" i="10"/>
  <c r="R105" i="10"/>
  <c r="G106" i="10"/>
  <c r="N106" i="10"/>
  <c r="S106" i="10"/>
  <c r="G107" i="10"/>
  <c r="N107" i="10"/>
  <c r="S107" i="10"/>
  <c r="G108" i="10"/>
  <c r="N108" i="10"/>
  <c r="S108" i="10"/>
  <c r="D109" i="10"/>
  <c r="E109" i="10"/>
  <c r="F109" i="10"/>
  <c r="H109" i="10"/>
  <c r="I109" i="10"/>
  <c r="J109" i="10"/>
  <c r="K109" i="10"/>
  <c r="L109" i="10"/>
  <c r="M109" i="10"/>
  <c r="O109" i="10"/>
  <c r="P109" i="10"/>
  <c r="Q109" i="10"/>
  <c r="R109" i="10"/>
  <c r="G110" i="10"/>
  <c r="G109" i="10" s="1"/>
  <c r="N110" i="10"/>
  <c r="N109" i="10" s="1"/>
  <c r="S110" i="10"/>
  <c r="S109" i="10" s="1"/>
  <c r="D111" i="10"/>
  <c r="E111" i="10"/>
  <c r="F111" i="10"/>
  <c r="H111" i="10"/>
  <c r="I111" i="10"/>
  <c r="J111" i="10"/>
  <c r="K111" i="10"/>
  <c r="L111" i="10"/>
  <c r="M111" i="10"/>
  <c r="O111" i="10"/>
  <c r="P111" i="10"/>
  <c r="Q111" i="10"/>
  <c r="R111" i="10"/>
  <c r="G112" i="10"/>
  <c r="G111" i="10" s="1"/>
  <c r="N112" i="10"/>
  <c r="N111" i="10" s="1"/>
  <c r="S112" i="10"/>
  <c r="D113" i="10"/>
  <c r="E113" i="10"/>
  <c r="F113" i="10"/>
  <c r="H113" i="10"/>
  <c r="I113" i="10"/>
  <c r="J113" i="10"/>
  <c r="K113" i="10"/>
  <c r="L113" i="10"/>
  <c r="M113" i="10"/>
  <c r="O113" i="10"/>
  <c r="P113" i="10"/>
  <c r="Q113" i="10"/>
  <c r="R113" i="10"/>
  <c r="G114" i="10"/>
  <c r="N114" i="10"/>
  <c r="S114" i="10"/>
  <c r="G115" i="10"/>
  <c r="N115" i="10"/>
  <c r="S115" i="10"/>
  <c r="G116" i="10"/>
  <c r="N116" i="10"/>
  <c r="S116" i="10"/>
  <c r="G117" i="10"/>
  <c r="N117" i="10"/>
  <c r="S117" i="10"/>
  <c r="G118" i="10"/>
  <c r="N118" i="10"/>
  <c r="S118" i="10"/>
  <c r="G119" i="10"/>
  <c r="N119" i="10"/>
  <c r="S119" i="10"/>
  <c r="G120" i="10"/>
  <c r="N120" i="10"/>
  <c r="S120" i="10"/>
  <c r="D122" i="10"/>
  <c r="D121" i="10" s="1"/>
  <c r="E122" i="10"/>
  <c r="E121" i="10" s="1"/>
  <c r="F122" i="10"/>
  <c r="F121" i="10" s="1"/>
  <c r="H122" i="10"/>
  <c r="H121" i="10" s="1"/>
  <c r="I122" i="10"/>
  <c r="I121" i="10" s="1"/>
  <c r="J122" i="10"/>
  <c r="J121" i="10" s="1"/>
  <c r="K122" i="10"/>
  <c r="K121" i="10" s="1"/>
  <c r="L122" i="10"/>
  <c r="L121" i="10" s="1"/>
  <c r="M122" i="10"/>
  <c r="M121" i="10" s="1"/>
  <c r="O122" i="10"/>
  <c r="O121" i="10" s="1"/>
  <c r="P122" i="10"/>
  <c r="P121" i="10" s="1"/>
  <c r="Q122" i="10"/>
  <c r="Q121" i="10" s="1"/>
  <c r="R122" i="10"/>
  <c r="R121" i="10" s="1"/>
  <c r="G123" i="10"/>
  <c r="G122" i="10" s="1"/>
  <c r="G121" i="10" s="1"/>
  <c r="N123" i="10"/>
  <c r="N122" i="10" s="1"/>
  <c r="N121" i="10" s="1"/>
  <c r="S123" i="10"/>
  <c r="S122" i="10" s="1"/>
  <c r="S121" i="10" s="1"/>
  <c r="D125" i="10"/>
  <c r="D124" i="10" s="1"/>
  <c r="E125" i="10"/>
  <c r="E124" i="10" s="1"/>
  <c r="F125" i="10"/>
  <c r="F124" i="10" s="1"/>
  <c r="H125" i="10"/>
  <c r="H124" i="10" s="1"/>
  <c r="I125" i="10"/>
  <c r="I124" i="10" s="1"/>
  <c r="J125" i="10"/>
  <c r="J124" i="10" s="1"/>
  <c r="K125" i="10"/>
  <c r="K124" i="10" s="1"/>
  <c r="L125" i="10"/>
  <c r="L124" i="10" s="1"/>
  <c r="M125" i="10"/>
  <c r="M124" i="10" s="1"/>
  <c r="O125" i="10"/>
  <c r="O124" i="10" s="1"/>
  <c r="P125" i="10"/>
  <c r="P124" i="10" s="1"/>
  <c r="Q125" i="10"/>
  <c r="Q124" i="10" s="1"/>
  <c r="R125" i="10"/>
  <c r="R124" i="10" s="1"/>
  <c r="G126" i="10"/>
  <c r="N126" i="10"/>
  <c r="N125" i="10" s="1"/>
  <c r="N124" i="10" s="1"/>
  <c r="S126" i="10"/>
  <c r="S125" i="10" s="1"/>
  <c r="S124" i="10" s="1"/>
  <c r="T60" i="10" l="1"/>
  <c r="T92" i="10"/>
  <c r="T18" i="10"/>
  <c r="T120" i="10"/>
  <c r="T43" i="10"/>
  <c r="T116" i="10"/>
  <c r="G90" i="10"/>
  <c r="S90" i="10"/>
  <c r="T89" i="10"/>
  <c r="T38" i="10"/>
  <c r="G30" i="10"/>
  <c r="S99" i="10"/>
  <c r="D86" i="10"/>
  <c r="N55" i="10"/>
  <c r="T32" i="10"/>
  <c r="T19" i="10"/>
  <c r="S93" i="10"/>
  <c r="T83" i="10"/>
  <c r="T71" i="10"/>
  <c r="N30" i="10"/>
  <c r="T26" i="10"/>
  <c r="T119" i="10"/>
  <c r="T115" i="10"/>
  <c r="T54" i="10"/>
  <c r="T70" i="10"/>
  <c r="T68" i="10"/>
  <c r="T47" i="10"/>
  <c r="T45" i="10"/>
  <c r="J70" i="9"/>
  <c r="K70" i="9"/>
  <c r="L70" i="9"/>
  <c r="J9" i="10"/>
  <c r="K86" i="10"/>
  <c r="T64" i="10"/>
  <c r="T50" i="10"/>
  <c r="G24" i="10"/>
  <c r="T23" i="10"/>
  <c r="G21" i="10"/>
  <c r="T117" i="10"/>
  <c r="R104" i="10"/>
  <c r="G93" i="10"/>
  <c r="T85" i="10"/>
  <c r="T84" i="10" s="1"/>
  <c r="T67" i="10"/>
  <c r="T63" i="10"/>
  <c r="T59" i="10"/>
  <c r="T51" i="10"/>
  <c r="T49" i="10"/>
  <c r="T46" i="10"/>
  <c r="T44" i="10"/>
  <c r="T12" i="10"/>
  <c r="T118" i="10"/>
  <c r="T114" i="10"/>
  <c r="T113" i="10" s="1"/>
  <c r="T108" i="10"/>
  <c r="G105" i="10"/>
  <c r="J104" i="10"/>
  <c r="T94" i="10"/>
  <c r="G87" i="10"/>
  <c r="F86" i="10"/>
  <c r="T75" i="10"/>
  <c r="T41" i="10"/>
  <c r="K35" i="10"/>
  <c r="Q96" i="10"/>
  <c r="G113" i="10"/>
  <c r="O104" i="10"/>
  <c r="O86" i="10"/>
  <c r="M104" i="10"/>
  <c r="I104" i="10"/>
  <c r="G98" i="10"/>
  <c r="G97" i="10" s="1"/>
  <c r="R86" i="10"/>
  <c r="N86" i="10"/>
  <c r="J86" i="10"/>
  <c r="T82" i="10"/>
  <c r="T76" i="10"/>
  <c r="G61" i="10"/>
  <c r="T53" i="10"/>
  <c r="S48" i="10"/>
  <c r="T48" i="10" s="1"/>
  <c r="O36" i="10"/>
  <c r="O35" i="10" s="1"/>
  <c r="T42" i="10"/>
  <c r="G39" i="10"/>
  <c r="G36" i="10" s="1"/>
  <c r="R35" i="10"/>
  <c r="L35" i="10"/>
  <c r="H35" i="10"/>
  <c r="T31" i="10"/>
  <c r="T25" i="10"/>
  <c r="T24" i="10" s="1"/>
  <c r="N24" i="10"/>
  <c r="L9" i="10"/>
  <c r="H9" i="10"/>
  <c r="S113" i="10"/>
  <c r="T112" i="10"/>
  <c r="T111" i="10" s="1"/>
  <c r="S105" i="10"/>
  <c r="Q104" i="10"/>
  <c r="Q86" i="10"/>
  <c r="M86" i="10"/>
  <c r="I86" i="10"/>
  <c r="E86" i="10"/>
  <c r="S84" i="10"/>
  <c r="S73" i="10"/>
  <c r="Q35" i="10"/>
  <c r="F35" i="10"/>
  <c r="N17" i="10"/>
  <c r="F10" i="10"/>
  <c r="F9" i="10" s="1"/>
  <c r="E104" i="10"/>
  <c r="T126" i="10"/>
  <c r="T125" i="10" s="1"/>
  <c r="T124" i="10" s="1"/>
  <c r="N113" i="10"/>
  <c r="F104" i="10"/>
  <c r="T110" i="10"/>
  <c r="T109" i="10" s="1"/>
  <c r="N105" i="10"/>
  <c r="T103" i="10"/>
  <c r="R96" i="10"/>
  <c r="T95" i="10"/>
  <c r="T91" i="10"/>
  <c r="T90" i="10" s="1"/>
  <c r="P86" i="10"/>
  <c r="L86" i="10"/>
  <c r="H86" i="10"/>
  <c r="G73" i="10"/>
  <c r="J35" i="10"/>
  <c r="N21" i="10"/>
  <c r="T20" i="10"/>
  <c r="G17" i="10"/>
  <c r="D9" i="10"/>
  <c r="S98" i="10"/>
  <c r="S97" i="10" s="1"/>
  <c r="S17" i="10"/>
  <c r="T80" i="10"/>
  <c r="T69" i="10"/>
  <c r="T40" i="10"/>
  <c r="G70" i="9"/>
  <c r="G99" i="10"/>
  <c r="T100" i="10"/>
  <c r="H104" i="10"/>
  <c r="P104" i="10"/>
  <c r="K9" i="10"/>
  <c r="E9" i="10"/>
  <c r="G125" i="10"/>
  <c r="G124" i="10" s="1"/>
  <c r="T123" i="10"/>
  <c r="T122" i="10" s="1"/>
  <c r="T121" i="10" s="1"/>
  <c r="G96" i="10"/>
  <c r="G78" i="10"/>
  <c r="T74" i="10"/>
  <c r="N61" i="10"/>
  <c r="T66" i="10"/>
  <c r="T57" i="10"/>
  <c r="N36" i="10"/>
  <c r="P35" i="10"/>
  <c r="E35" i="10"/>
  <c r="N10" i="10"/>
  <c r="L104" i="10"/>
  <c r="T65" i="10"/>
  <c r="G58" i="10"/>
  <c r="T58" i="10" s="1"/>
  <c r="C55" i="10"/>
  <c r="C35" i="10" s="1"/>
  <c r="T101" i="10"/>
  <c r="S87" i="10"/>
  <c r="T88" i="10"/>
  <c r="T87" i="10" s="1"/>
  <c r="S81" i="10"/>
  <c r="T81" i="10" s="1"/>
  <c r="T62" i="10"/>
  <c r="T28" i="10"/>
  <c r="T27" i="10" s="1"/>
  <c r="S111" i="10"/>
  <c r="D104" i="10"/>
  <c r="T107" i="10"/>
  <c r="K104" i="10"/>
  <c r="M35" i="10"/>
  <c r="I35" i="10"/>
  <c r="D35" i="10"/>
  <c r="M9" i="10"/>
  <c r="I9" i="10"/>
  <c r="C9" i="10"/>
  <c r="C127" i="10" s="1"/>
  <c r="C128" i="10" s="1"/>
  <c r="C129" i="10" s="1"/>
  <c r="T106" i="10"/>
  <c r="T79" i="10"/>
  <c r="T56" i="10"/>
  <c r="T37" i="10"/>
  <c r="T34" i="10"/>
  <c r="T33" i="10" s="1"/>
  <c r="P21" i="10"/>
  <c r="P97" i="10"/>
  <c r="P96" i="10" s="1"/>
  <c r="G11" i="10"/>
  <c r="G10" i="10" s="1"/>
  <c r="T17" i="10" l="1"/>
  <c r="T93" i="10"/>
  <c r="G86" i="10"/>
  <c r="S86" i="10"/>
  <c r="L127" i="10"/>
  <c r="L128" i="10" s="1"/>
  <c r="L129" i="10" s="1"/>
  <c r="N35" i="10"/>
  <c r="F127" i="10"/>
  <c r="F128" i="10" s="1"/>
  <c r="F129" i="10" s="1"/>
  <c r="G9" i="10"/>
  <c r="T30" i="10"/>
  <c r="G104" i="10"/>
  <c r="S96" i="10"/>
  <c r="T73" i="10"/>
  <c r="S78" i="10"/>
  <c r="M127" i="10"/>
  <c r="M128" i="10" s="1"/>
  <c r="M129" i="10" s="1"/>
  <c r="S104" i="10"/>
  <c r="T39" i="10"/>
  <c r="T36" i="10" s="1"/>
  <c r="D127" i="10"/>
  <c r="D128" i="10" s="1"/>
  <c r="D129" i="10" s="1"/>
  <c r="H127" i="10"/>
  <c r="H128" i="10" s="1"/>
  <c r="H129" i="10" s="1"/>
  <c r="J127" i="10"/>
  <c r="J128" i="10" s="1"/>
  <c r="J129" i="10" s="1"/>
  <c r="N104" i="10"/>
  <c r="T105" i="10"/>
  <c r="T104" i="10" s="1"/>
  <c r="N9" i="10"/>
  <c r="S36" i="10"/>
  <c r="T98" i="10"/>
  <c r="T97" i="10" s="1"/>
  <c r="T78" i="10"/>
  <c r="T55" i="10"/>
  <c r="T86" i="10"/>
  <c r="E127" i="10"/>
  <c r="E128" i="10" s="1"/>
  <c r="E129" i="10" s="1"/>
  <c r="I127" i="10"/>
  <c r="I128" i="10" s="1"/>
  <c r="I129" i="10" s="1"/>
  <c r="T61" i="10"/>
  <c r="K127" i="10"/>
  <c r="K128" i="10" s="1"/>
  <c r="K129" i="10" s="1"/>
  <c r="G55" i="10"/>
  <c r="G35" i="10" s="1"/>
  <c r="T99" i="10"/>
  <c r="G127" i="10" l="1"/>
  <c r="G128" i="10" s="1"/>
  <c r="G129" i="10" s="1"/>
  <c r="T96" i="10"/>
  <c r="S35" i="10"/>
  <c r="N127" i="10"/>
  <c r="N128" i="10" s="1"/>
  <c r="N129" i="10" s="1"/>
  <c r="T35" i="10"/>
  <c r="F50" i="9" l="1"/>
  <c r="F49" i="9"/>
  <c r="F36" i="9"/>
  <c r="C151" i="9"/>
  <c r="C150" i="9"/>
  <c r="C149" i="9"/>
  <c r="G148" i="9"/>
  <c r="C148" i="9" s="1"/>
  <c r="G147" i="9"/>
  <c r="G146" i="9"/>
  <c r="C146" i="9" s="1"/>
  <c r="G145" i="9"/>
  <c r="C145" i="9" s="1"/>
  <c r="G144" i="9"/>
  <c r="C144" i="9" s="1"/>
  <c r="G143" i="9"/>
  <c r="C143" i="9" s="1"/>
  <c r="U113" i="9"/>
  <c r="U125" i="9" s="1"/>
  <c r="T113" i="9"/>
  <c r="T125" i="9" s="1"/>
  <c r="S113" i="9"/>
  <c r="S125" i="9" s="1"/>
  <c r="R113" i="9"/>
  <c r="Q113" i="9"/>
  <c r="P113" i="9"/>
  <c r="O113" i="9"/>
  <c r="M113" i="9"/>
  <c r="F110" i="9"/>
  <c r="F109" i="9"/>
  <c r="R103" i="9"/>
  <c r="Q103" i="9"/>
  <c r="P103" i="9"/>
  <c r="O103" i="9"/>
  <c r="M103" i="9"/>
  <c r="F102" i="9"/>
  <c r="F101" i="9"/>
  <c r="P97" i="9"/>
  <c r="O97" i="9"/>
  <c r="M97" i="9"/>
  <c r="F96" i="9"/>
  <c r="N96" i="9" s="1"/>
  <c r="F95" i="9"/>
  <c r="N95" i="9" s="1"/>
  <c r="F94" i="9"/>
  <c r="N94" i="9" s="1"/>
  <c r="F93" i="9"/>
  <c r="N93" i="9" s="1"/>
  <c r="F90" i="9"/>
  <c r="N90" i="9" s="1"/>
  <c r="F89" i="9"/>
  <c r="N89" i="9" s="1"/>
  <c r="F88" i="9"/>
  <c r="F87" i="9"/>
  <c r="F86" i="9"/>
  <c r="F85" i="9"/>
  <c r="N85" i="9" s="1"/>
  <c r="F84" i="9"/>
  <c r="F83" i="9"/>
  <c r="F82" i="9"/>
  <c r="F81" i="9"/>
  <c r="N81" i="9" s="1"/>
  <c r="F80" i="9"/>
  <c r="F79" i="9"/>
  <c r="N79" i="9" s="1"/>
  <c r="F69" i="9"/>
  <c r="N69" i="9" s="1"/>
  <c r="F68" i="9"/>
  <c r="N68" i="9" s="1"/>
  <c r="F67" i="9"/>
  <c r="N67" i="9" s="1"/>
  <c r="F66" i="9"/>
  <c r="N66" i="9" s="1"/>
  <c r="F65" i="9"/>
  <c r="F64" i="9"/>
  <c r="N64" i="9" s="1"/>
  <c r="F63" i="9"/>
  <c r="F62" i="9"/>
  <c r="F61" i="9"/>
  <c r="N61" i="9" s="1"/>
  <c r="F60" i="9"/>
  <c r="F59" i="9"/>
  <c r="N59" i="9" s="1"/>
  <c r="F48" i="9"/>
  <c r="F47" i="9"/>
  <c r="F46" i="9"/>
  <c r="F45" i="9"/>
  <c r="F43" i="9"/>
  <c r="F42" i="9"/>
  <c r="F41" i="9"/>
  <c r="F40" i="9"/>
  <c r="F39" i="9"/>
  <c r="F38" i="9"/>
  <c r="F37" i="9"/>
  <c r="F35" i="9"/>
  <c r="F34" i="9"/>
  <c r="F33" i="9"/>
  <c r="F32" i="9"/>
  <c r="F31" i="9"/>
  <c r="F30" i="9"/>
  <c r="M29" i="9"/>
  <c r="F28" i="9"/>
  <c r="F27" i="9"/>
  <c r="F26" i="9"/>
  <c r="F25" i="9"/>
  <c r="F23" i="9"/>
  <c r="F22" i="9"/>
  <c r="F21" i="9"/>
  <c r="F20" i="9"/>
  <c r="F19" i="9"/>
  <c r="F18" i="9"/>
  <c r="F17" i="9"/>
  <c r="F16" i="9"/>
  <c r="F15" i="9"/>
  <c r="N15" i="9" s="1"/>
  <c r="F14" i="9"/>
  <c r="N14" i="9" s="1"/>
  <c r="F13" i="9"/>
  <c r="N13" i="9" s="1"/>
  <c r="F12" i="9"/>
  <c r="N12" i="9" s="1"/>
  <c r="F11" i="9"/>
  <c r="N11" i="9" s="1"/>
  <c r="F10" i="9"/>
  <c r="N10" i="9" s="1"/>
  <c r="F9" i="9"/>
  <c r="N9" i="9" s="1"/>
  <c r="F8" i="9"/>
  <c r="N8" i="9" s="1"/>
  <c r="M7" i="9"/>
  <c r="F6" i="9"/>
  <c r="F5" i="9"/>
  <c r="F4" i="9"/>
  <c r="G123" i="7"/>
  <c r="F122" i="7"/>
  <c r="F121" i="7" s="1"/>
  <c r="E122" i="7"/>
  <c r="E121" i="7" s="1"/>
  <c r="D122" i="7"/>
  <c r="D121" i="7" s="1"/>
  <c r="G120" i="7"/>
  <c r="F119" i="7"/>
  <c r="F118" i="7" s="1"/>
  <c r="E119" i="7"/>
  <c r="E118" i="7" s="1"/>
  <c r="D119" i="7"/>
  <c r="D118" i="7" s="1"/>
  <c r="G117" i="7"/>
  <c r="G116" i="7"/>
  <c r="G115" i="7"/>
  <c r="G114" i="7"/>
  <c r="G113" i="7"/>
  <c r="G112" i="7"/>
  <c r="G111" i="7"/>
  <c r="F110" i="7"/>
  <c r="E110" i="7"/>
  <c r="D110" i="7"/>
  <c r="G109" i="7"/>
  <c r="G108" i="7" s="1"/>
  <c r="F108" i="7"/>
  <c r="E108" i="7"/>
  <c r="D108" i="7"/>
  <c r="G107" i="7"/>
  <c r="G106" i="7" s="1"/>
  <c r="F106" i="7"/>
  <c r="E106" i="7"/>
  <c r="D106" i="7"/>
  <c r="G105" i="7"/>
  <c r="G104" i="7"/>
  <c r="G103" i="7"/>
  <c r="F102" i="7"/>
  <c r="E102" i="7"/>
  <c r="D102" i="7"/>
  <c r="G100" i="7"/>
  <c r="G99" i="7"/>
  <c r="G98" i="7"/>
  <c r="F97" i="7"/>
  <c r="E97" i="7"/>
  <c r="D97" i="7"/>
  <c r="F95" i="7"/>
  <c r="F94" i="7" s="1"/>
  <c r="E95" i="7"/>
  <c r="G93" i="7"/>
  <c r="G92" i="7"/>
  <c r="F91" i="7"/>
  <c r="E91" i="7"/>
  <c r="D91" i="7"/>
  <c r="G90" i="7"/>
  <c r="G88" i="7" s="1"/>
  <c r="F88" i="7"/>
  <c r="E88" i="7"/>
  <c r="D88" i="7"/>
  <c r="G87" i="7"/>
  <c r="G86" i="7"/>
  <c r="F85" i="7"/>
  <c r="E85" i="7"/>
  <c r="D85" i="7"/>
  <c r="G83" i="7"/>
  <c r="G82" i="7" s="1"/>
  <c r="F82" i="7"/>
  <c r="E82" i="7"/>
  <c r="D82" i="7"/>
  <c r="G81" i="7"/>
  <c r="G80" i="7"/>
  <c r="G79" i="7"/>
  <c r="G78" i="7"/>
  <c r="G77" i="7"/>
  <c r="F76" i="7"/>
  <c r="E76" i="7"/>
  <c r="D76" i="7"/>
  <c r="G73" i="7"/>
  <c r="G72" i="7"/>
  <c r="F71" i="7"/>
  <c r="E71" i="7"/>
  <c r="D71" i="7"/>
  <c r="G69" i="7"/>
  <c r="G68" i="7"/>
  <c r="G67" i="7"/>
  <c r="G66" i="7"/>
  <c r="G65" i="7"/>
  <c r="G64" i="7"/>
  <c r="G63" i="7"/>
  <c r="G62" i="7"/>
  <c r="G61" i="7"/>
  <c r="G60" i="7"/>
  <c r="G58" i="7"/>
  <c r="G57" i="7"/>
  <c r="G56" i="7"/>
  <c r="G55" i="7"/>
  <c r="G52" i="7"/>
  <c r="G51" i="7"/>
  <c r="G49" i="7"/>
  <c r="G48" i="7"/>
  <c r="G47" i="7"/>
  <c r="G46" i="7"/>
  <c r="G45" i="7"/>
  <c r="G44" i="7"/>
  <c r="G43" i="7"/>
  <c r="G41" i="7"/>
  <c r="G40" i="7"/>
  <c r="G39" i="7"/>
  <c r="G38" i="7"/>
  <c r="G37" i="7"/>
  <c r="G36" i="7"/>
  <c r="G35" i="7"/>
  <c r="G34" i="7"/>
  <c r="F30" i="7"/>
  <c r="E30" i="7"/>
  <c r="D30" i="7"/>
  <c r="G29" i="7"/>
  <c r="G28" i="7"/>
  <c r="F27" i="7"/>
  <c r="E27" i="7"/>
  <c r="D27" i="7"/>
  <c r="C27" i="7"/>
  <c r="G24" i="7"/>
  <c r="F24" i="7"/>
  <c r="E24" i="7"/>
  <c r="D24" i="7"/>
  <c r="C24" i="7"/>
  <c r="G23" i="7"/>
  <c r="G22" i="7"/>
  <c r="F21" i="7"/>
  <c r="E21" i="7"/>
  <c r="D21" i="7"/>
  <c r="C21" i="7"/>
  <c r="G20" i="7"/>
  <c r="G19" i="7"/>
  <c r="F18" i="7"/>
  <c r="E18" i="7"/>
  <c r="D18" i="7"/>
  <c r="C18" i="7"/>
  <c r="G17" i="7"/>
  <c r="G16" i="7"/>
  <c r="F14" i="7"/>
  <c r="E14" i="7"/>
  <c r="D14" i="7"/>
  <c r="F84" i="7" l="1"/>
  <c r="G71" i="7"/>
  <c r="G95" i="7"/>
  <c r="G21" i="7"/>
  <c r="D84" i="7"/>
  <c r="G97" i="7"/>
  <c r="I5" i="9"/>
  <c r="N5" i="9"/>
  <c r="K27" i="9"/>
  <c r="N27" i="9"/>
  <c r="R125" i="9"/>
  <c r="K28" i="9"/>
  <c r="N28" i="9"/>
  <c r="K26" i="9"/>
  <c r="N26" i="9"/>
  <c r="K102" i="9"/>
  <c r="N102" i="9"/>
  <c r="N6" i="9"/>
  <c r="I6" i="9"/>
  <c r="N4" i="9"/>
  <c r="I4" i="9"/>
  <c r="H4" i="9"/>
  <c r="K25" i="9"/>
  <c r="N25" i="9"/>
  <c r="K101" i="9"/>
  <c r="K103" i="9" s="1"/>
  <c r="N101" i="9"/>
  <c r="G59" i="7"/>
  <c r="G76" i="7"/>
  <c r="G18" i="7"/>
  <c r="G33" i="7"/>
  <c r="G85" i="7"/>
  <c r="K20" i="9"/>
  <c r="N20" i="9"/>
  <c r="K38" i="9"/>
  <c r="N38" i="9"/>
  <c r="K17" i="9"/>
  <c r="N17" i="9"/>
  <c r="K21" i="9"/>
  <c r="N21" i="9"/>
  <c r="K30" i="9"/>
  <c r="N30" i="9"/>
  <c r="K34" i="9"/>
  <c r="N34" i="9"/>
  <c r="K39" i="9"/>
  <c r="N39" i="9"/>
  <c r="K43" i="9"/>
  <c r="N43" i="9"/>
  <c r="K48" i="9"/>
  <c r="N48" i="9"/>
  <c r="K62" i="9"/>
  <c r="N62" i="9"/>
  <c r="K83" i="9"/>
  <c r="N83" i="9"/>
  <c r="K87" i="9"/>
  <c r="N87" i="9"/>
  <c r="K36" i="9"/>
  <c r="N36" i="9"/>
  <c r="K33" i="9"/>
  <c r="N33" i="9"/>
  <c r="K47" i="9"/>
  <c r="N47" i="9"/>
  <c r="K65" i="9"/>
  <c r="N65" i="9"/>
  <c r="K82" i="9"/>
  <c r="N82" i="9"/>
  <c r="K86" i="9"/>
  <c r="N86" i="9"/>
  <c r="K18" i="9"/>
  <c r="N18" i="9"/>
  <c r="K22" i="9"/>
  <c r="N22" i="9"/>
  <c r="K31" i="9"/>
  <c r="N31" i="9"/>
  <c r="K35" i="9"/>
  <c r="N35" i="9"/>
  <c r="K40" i="9"/>
  <c r="N40" i="9"/>
  <c r="K45" i="9"/>
  <c r="N45" i="9"/>
  <c r="K63" i="9"/>
  <c r="N63" i="9"/>
  <c r="K80" i="9"/>
  <c r="N80" i="9"/>
  <c r="K84" i="9"/>
  <c r="N84" i="9"/>
  <c r="K88" i="9"/>
  <c r="N88" i="9"/>
  <c r="K49" i="9"/>
  <c r="N49" i="9"/>
  <c r="K16" i="9"/>
  <c r="N16" i="9"/>
  <c r="K42" i="9"/>
  <c r="N42" i="9"/>
  <c r="K19" i="9"/>
  <c r="N19" i="9"/>
  <c r="K23" i="9"/>
  <c r="N23" i="9"/>
  <c r="K32" i="9"/>
  <c r="N32" i="9"/>
  <c r="K37" i="9"/>
  <c r="N37" i="9"/>
  <c r="K41" i="9"/>
  <c r="N41" i="9"/>
  <c r="K46" i="9"/>
  <c r="N46" i="9"/>
  <c r="K60" i="9"/>
  <c r="N60" i="9"/>
  <c r="K50" i="9"/>
  <c r="N50" i="9"/>
  <c r="L6" i="9"/>
  <c r="K6" i="9"/>
  <c r="K14" i="9"/>
  <c r="L14" i="9"/>
  <c r="J59" i="9"/>
  <c r="K59" i="9"/>
  <c r="J94" i="9"/>
  <c r="K94" i="9"/>
  <c r="J68" i="9"/>
  <c r="K68" i="9"/>
  <c r="J89" i="9"/>
  <c r="K89" i="9"/>
  <c r="J4" i="9"/>
  <c r="K4" i="9"/>
  <c r="L4" i="9"/>
  <c r="K8" i="9"/>
  <c r="L8" i="9"/>
  <c r="K12" i="9"/>
  <c r="L12" i="9"/>
  <c r="J61" i="9"/>
  <c r="K61" i="9"/>
  <c r="J69" i="9"/>
  <c r="K69" i="9"/>
  <c r="J90" i="9"/>
  <c r="K90" i="9"/>
  <c r="J96" i="9"/>
  <c r="K96" i="9"/>
  <c r="L10" i="9"/>
  <c r="K10" i="9"/>
  <c r="J67" i="9"/>
  <c r="K67" i="9"/>
  <c r="M11" i="9"/>
  <c r="M24" i="9" s="1"/>
  <c r="K11" i="9"/>
  <c r="L15" i="9"/>
  <c r="K15" i="9"/>
  <c r="J64" i="9"/>
  <c r="K64" i="9"/>
  <c r="J81" i="9"/>
  <c r="K81" i="9"/>
  <c r="J85" i="9"/>
  <c r="K85" i="9"/>
  <c r="J95" i="9"/>
  <c r="K95" i="9"/>
  <c r="K5" i="9"/>
  <c r="L5" i="9"/>
  <c r="L9" i="9"/>
  <c r="K9" i="9"/>
  <c r="L13" i="9"/>
  <c r="K13" i="9"/>
  <c r="J66" i="9"/>
  <c r="K66" i="9"/>
  <c r="J79" i="9"/>
  <c r="K79" i="9"/>
  <c r="J93" i="9"/>
  <c r="K93" i="9"/>
  <c r="H6" i="9"/>
  <c r="J6" i="9"/>
  <c r="J27" i="9"/>
  <c r="I27" i="9"/>
  <c r="H27" i="9"/>
  <c r="L84" i="9"/>
  <c r="J84" i="9"/>
  <c r="G25" i="9"/>
  <c r="I25" i="9"/>
  <c r="J25" i="9"/>
  <c r="H25" i="9"/>
  <c r="L82" i="9"/>
  <c r="J82" i="9"/>
  <c r="L86" i="9"/>
  <c r="J86" i="9"/>
  <c r="F113" i="9"/>
  <c r="F114" i="9" s="1"/>
  <c r="J113" i="9"/>
  <c r="L80" i="9"/>
  <c r="J80" i="9"/>
  <c r="L88" i="9"/>
  <c r="J88" i="9"/>
  <c r="J102" i="9"/>
  <c r="H28" i="9"/>
  <c r="J28" i="9"/>
  <c r="I28" i="9"/>
  <c r="J5" i="9"/>
  <c r="G5" i="9"/>
  <c r="H5" i="9"/>
  <c r="J26" i="9"/>
  <c r="H26" i="9"/>
  <c r="I26" i="9"/>
  <c r="L83" i="9"/>
  <c r="J83" i="9"/>
  <c r="L87" i="9"/>
  <c r="J87" i="9"/>
  <c r="J101" i="9"/>
  <c r="G10" i="9"/>
  <c r="J10" i="9"/>
  <c r="I10" i="9"/>
  <c r="H10" i="9"/>
  <c r="J18" i="9"/>
  <c r="I18" i="9"/>
  <c r="H18" i="9"/>
  <c r="J35" i="9"/>
  <c r="I35" i="9"/>
  <c r="H35" i="9"/>
  <c r="L63" i="9"/>
  <c r="J63" i="9"/>
  <c r="H15" i="9"/>
  <c r="J15" i="9"/>
  <c r="I15" i="9"/>
  <c r="J23" i="9"/>
  <c r="I23" i="9"/>
  <c r="H23" i="9"/>
  <c r="H32" i="9"/>
  <c r="J32" i="9"/>
  <c r="I32" i="9"/>
  <c r="I37" i="9"/>
  <c r="H37" i="9"/>
  <c r="J37" i="9"/>
  <c r="J46" i="9"/>
  <c r="H46" i="9"/>
  <c r="I46" i="9"/>
  <c r="L60" i="9"/>
  <c r="J60" i="9"/>
  <c r="G36" i="9"/>
  <c r="H36" i="9"/>
  <c r="J36" i="9"/>
  <c r="I36" i="9"/>
  <c r="G8" i="9"/>
  <c r="H8" i="9"/>
  <c r="J8" i="9"/>
  <c r="I8" i="9"/>
  <c r="H12" i="9"/>
  <c r="J12" i="9"/>
  <c r="I12" i="9"/>
  <c r="H16" i="9"/>
  <c r="J16" i="9"/>
  <c r="I16" i="9"/>
  <c r="G20" i="9"/>
  <c r="H20" i="9"/>
  <c r="J20" i="9"/>
  <c r="I20" i="9"/>
  <c r="J33" i="9"/>
  <c r="H33" i="9"/>
  <c r="I33" i="9"/>
  <c r="J38" i="9"/>
  <c r="I38" i="9"/>
  <c r="H38" i="9"/>
  <c r="J42" i="9"/>
  <c r="I42" i="9"/>
  <c r="H42" i="9"/>
  <c r="I47" i="9"/>
  <c r="H47" i="9"/>
  <c r="J47" i="9"/>
  <c r="J65" i="9"/>
  <c r="I49" i="9"/>
  <c r="H49" i="9"/>
  <c r="J49" i="9"/>
  <c r="J14" i="9"/>
  <c r="I14" i="9"/>
  <c r="H14" i="9"/>
  <c r="J22" i="9"/>
  <c r="I22" i="9"/>
  <c r="H22" i="9"/>
  <c r="H31" i="9"/>
  <c r="J31" i="9"/>
  <c r="I31" i="9"/>
  <c r="H40" i="9"/>
  <c r="I40" i="9"/>
  <c r="J40" i="9"/>
  <c r="J45" i="9"/>
  <c r="H45" i="9"/>
  <c r="I45" i="9"/>
  <c r="J11" i="9"/>
  <c r="I11" i="9"/>
  <c r="H11" i="9"/>
  <c r="J19" i="9"/>
  <c r="I19" i="9"/>
  <c r="H19" i="9"/>
  <c r="H41" i="9"/>
  <c r="J41" i="9"/>
  <c r="I41" i="9"/>
  <c r="H9" i="9"/>
  <c r="J9" i="9"/>
  <c r="I9" i="9"/>
  <c r="I13" i="9"/>
  <c r="H13" i="9"/>
  <c r="J13" i="9"/>
  <c r="J17" i="9"/>
  <c r="H17" i="9"/>
  <c r="I17" i="9"/>
  <c r="I21" i="9"/>
  <c r="H21" i="9"/>
  <c r="J21" i="9"/>
  <c r="G30" i="9"/>
  <c r="J30" i="9"/>
  <c r="I30" i="9"/>
  <c r="H30" i="9"/>
  <c r="J34" i="9"/>
  <c r="I34" i="9"/>
  <c r="H34" i="9"/>
  <c r="H39" i="9"/>
  <c r="J39" i="9"/>
  <c r="I39" i="9"/>
  <c r="J43" i="9"/>
  <c r="I43" i="9"/>
  <c r="H43" i="9"/>
  <c r="H48" i="9"/>
  <c r="I48" i="9"/>
  <c r="J48" i="9"/>
  <c r="L62" i="9"/>
  <c r="J62" i="9"/>
  <c r="G50" i="9"/>
  <c r="J50" i="9"/>
  <c r="I50" i="9"/>
  <c r="H50" i="9"/>
  <c r="G6" i="9"/>
  <c r="G11" i="9"/>
  <c r="G13" i="9"/>
  <c r="L16" i="9"/>
  <c r="G16" i="9"/>
  <c r="L23" i="9"/>
  <c r="G23" i="9"/>
  <c r="L27" i="9"/>
  <c r="G27" i="9"/>
  <c r="L31" i="9"/>
  <c r="G31" i="9"/>
  <c r="L35" i="9"/>
  <c r="G35" i="9"/>
  <c r="L40" i="9"/>
  <c r="G40" i="9"/>
  <c r="L45" i="9"/>
  <c r="G45" i="9"/>
  <c r="G4" i="9"/>
  <c r="G9" i="9"/>
  <c r="L17" i="9"/>
  <c r="G17" i="9"/>
  <c r="L21" i="9"/>
  <c r="G21" i="9"/>
  <c r="L28" i="9"/>
  <c r="G28" i="9"/>
  <c r="L32" i="9"/>
  <c r="G32" i="9"/>
  <c r="L37" i="9"/>
  <c r="G37" i="9"/>
  <c r="L41" i="9"/>
  <c r="G41" i="9"/>
  <c r="L46" i="9"/>
  <c r="G46" i="9"/>
  <c r="G12" i="9"/>
  <c r="G14" i="9"/>
  <c r="L18" i="9"/>
  <c r="G18" i="9"/>
  <c r="L22" i="9"/>
  <c r="G22" i="9"/>
  <c r="M33" i="9"/>
  <c r="M51" i="9" s="1"/>
  <c r="G33" i="9"/>
  <c r="L38" i="9"/>
  <c r="G38" i="9"/>
  <c r="L42" i="9"/>
  <c r="G42" i="9"/>
  <c r="L47" i="9"/>
  <c r="G47" i="9"/>
  <c r="G49" i="9"/>
  <c r="G15" i="9"/>
  <c r="L19" i="9"/>
  <c r="G19" i="9"/>
  <c r="L26" i="9"/>
  <c r="G26" i="9"/>
  <c r="L34" i="9"/>
  <c r="G34" i="9"/>
  <c r="L39" i="9"/>
  <c r="G39" i="9"/>
  <c r="L43" i="9"/>
  <c r="G43" i="9"/>
  <c r="L48" i="9"/>
  <c r="G48" i="9"/>
  <c r="F97" i="9"/>
  <c r="F98" i="9" s="1"/>
  <c r="F7" i="9"/>
  <c r="I7" i="9" s="1"/>
  <c r="O11" i="10" s="1"/>
  <c r="F29" i="9"/>
  <c r="L79" i="9"/>
  <c r="F51" i="9"/>
  <c r="J51" i="9" s="1"/>
  <c r="F24" i="9"/>
  <c r="E101" i="7"/>
  <c r="E84" i="7"/>
  <c r="E94" i="7"/>
  <c r="G94" i="7" s="1"/>
  <c r="G110" i="7"/>
  <c r="G68" i="9"/>
  <c r="L68" i="9"/>
  <c r="G95" i="9"/>
  <c r="L95" i="9"/>
  <c r="G119" i="7"/>
  <c r="G118" i="7" s="1"/>
  <c r="G122" i="7"/>
  <c r="G121" i="7" s="1"/>
  <c r="L69" i="9"/>
  <c r="L90" i="9"/>
  <c r="G90" i="9"/>
  <c r="G96" i="9"/>
  <c r="L96" i="9"/>
  <c r="F32" i="7"/>
  <c r="G91" i="7"/>
  <c r="G102" i="7"/>
  <c r="F101" i="7"/>
  <c r="L59" i="9"/>
  <c r="F71" i="9"/>
  <c r="F72" i="9" s="1"/>
  <c r="L66" i="9"/>
  <c r="L93" i="9"/>
  <c r="G14" i="7"/>
  <c r="G27" i="7"/>
  <c r="D101" i="7"/>
  <c r="G67" i="9"/>
  <c r="L67" i="9"/>
  <c r="L94" i="9"/>
  <c r="D32" i="7"/>
  <c r="L30" i="9"/>
  <c r="L50" i="9"/>
  <c r="G88" i="9"/>
  <c r="L49" i="9"/>
  <c r="G60" i="9"/>
  <c r="G81" i="9"/>
  <c r="L36" i="9"/>
  <c r="G62" i="9"/>
  <c r="G110" i="9"/>
  <c r="G66" i="9"/>
  <c r="G84" i="9"/>
  <c r="G65" i="9"/>
  <c r="G79" i="9"/>
  <c r="G86" i="9"/>
  <c r="G94" i="9"/>
  <c r="F103" i="9"/>
  <c r="F104" i="9" s="1"/>
  <c r="G102" i="9"/>
  <c r="G82" i="9"/>
  <c r="G101" i="9"/>
  <c r="C152" i="9"/>
  <c r="G61" i="9"/>
  <c r="L61" i="9"/>
  <c r="L20" i="9"/>
  <c r="L25" i="9"/>
  <c r="G64" i="9"/>
  <c r="L64" i="9"/>
  <c r="G109" i="9"/>
  <c r="G85" i="9"/>
  <c r="G89" i="9"/>
  <c r="G59" i="9"/>
  <c r="G63" i="9"/>
  <c r="G69" i="9"/>
  <c r="G80" i="9"/>
  <c r="L85" i="9"/>
  <c r="L89" i="9"/>
  <c r="G83" i="9"/>
  <c r="G87" i="9"/>
  <c r="G93" i="9"/>
  <c r="L102" i="9"/>
  <c r="L101" i="9"/>
  <c r="G54" i="7"/>
  <c r="G53" i="7" s="1"/>
  <c r="N71" i="9" l="1"/>
  <c r="N103" i="9"/>
  <c r="O26" i="9"/>
  <c r="P26" i="9" s="1"/>
  <c r="G84" i="7"/>
  <c r="L51" i="9"/>
  <c r="K51" i="9"/>
  <c r="O10" i="10"/>
  <c r="G29" i="9"/>
  <c r="N97" i="9"/>
  <c r="G32" i="7"/>
  <c r="F52" i="9"/>
  <c r="F53" i="9" s="1"/>
  <c r="M52" i="9"/>
  <c r="G131" i="9" s="1"/>
  <c r="K97" i="9"/>
  <c r="K71" i="9"/>
  <c r="J97" i="9"/>
  <c r="I29" i="9"/>
  <c r="Q11" i="10" s="1"/>
  <c r="Q10" i="10" s="1"/>
  <c r="Q9" i="10" s="1"/>
  <c r="Q127" i="10" s="1"/>
  <c r="Q128" i="10" s="1"/>
  <c r="Q129" i="10" s="1"/>
  <c r="J29" i="9"/>
  <c r="E12" i="7" s="1"/>
  <c r="H29" i="9"/>
  <c r="E11" i="7" s="1"/>
  <c r="L29" i="9"/>
  <c r="H7" i="9"/>
  <c r="C11" i="7" s="1"/>
  <c r="J7" i="9"/>
  <c r="C12" i="7" s="1"/>
  <c r="O4" i="9"/>
  <c r="P4" i="9" s="1"/>
  <c r="Q4" i="9" s="1"/>
  <c r="G24" i="9"/>
  <c r="H24" i="9"/>
  <c r="D11" i="7" s="1"/>
  <c r="J24" i="9"/>
  <c r="D12" i="7" s="1"/>
  <c r="I24" i="9"/>
  <c r="P11" i="10" s="1"/>
  <c r="P10" i="10" s="1"/>
  <c r="P9" i="10" s="1"/>
  <c r="P127" i="10" s="1"/>
  <c r="P128" i="10" s="1"/>
  <c r="P129" i="10" s="1"/>
  <c r="G51" i="9"/>
  <c r="H51" i="9"/>
  <c r="F11" i="7" s="1"/>
  <c r="I51" i="9"/>
  <c r="R11" i="10" s="1"/>
  <c r="R10" i="10" s="1"/>
  <c r="R9" i="10" s="1"/>
  <c r="R127" i="10" s="1"/>
  <c r="R128" i="10" s="1"/>
  <c r="R129" i="10" s="1"/>
  <c r="G7" i="9"/>
  <c r="O27" i="9"/>
  <c r="P27" i="9" s="1"/>
  <c r="Q27" i="9" s="1"/>
  <c r="L97" i="9"/>
  <c r="J71" i="9"/>
  <c r="G113" i="9"/>
  <c r="L71" i="9"/>
  <c r="G71" i="9"/>
  <c r="G101" i="7"/>
  <c r="O12" i="9"/>
  <c r="P12" i="9" s="1"/>
  <c r="Q12" i="9" s="1"/>
  <c r="N51" i="9"/>
  <c r="Q26" i="9"/>
  <c r="O22" i="9"/>
  <c r="P22" i="9" s="1"/>
  <c r="Q22" i="9" s="1"/>
  <c r="O49" i="9"/>
  <c r="P49" i="9" s="1"/>
  <c r="Q49" i="9" s="1"/>
  <c r="O50" i="9"/>
  <c r="P50" i="9" s="1"/>
  <c r="Q50" i="9" s="1"/>
  <c r="L113" i="9"/>
  <c r="O14" i="9"/>
  <c r="P14" i="9" s="1"/>
  <c r="Q14" i="9" s="1"/>
  <c r="O34" i="9"/>
  <c r="P34" i="9" s="1"/>
  <c r="Q34" i="9" s="1"/>
  <c r="O40" i="9"/>
  <c r="P40" i="9" s="1"/>
  <c r="Q40" i="9" s="1"/>
  <c r="O13" i="9"/>
  <c r="P13" i="9" s="1"/>
  <c r="Q13" i="9" s="1"/>
  <c r="O36" i="9"/>
  <c r="P36" i="9" s="1"/>
  <c r="Q36" i="9" s="1"/>
  <c r="O17" i="9"/>
  <c r="P17" i="9" s="1"/>
  <c r="Q17" i="9" s="1"/>
  <c r="O47" i="9"/>
  <c r="P47" i="9" s="1"/>
  <c r="Q47" i="9" s="1"/>
  <c r="O32" i="9"/>
  <c r="P32" i="9" s="1"/>
  <c r="Q32" i="9" s="1"/>
  <c r="O19" i="9"/>
  <c r="P19" i="9" s="1"/>
  <c r="Q19" i="9" s="1"/>
  <c r="O37" i="9"/>
  <c r="P37" i="9" s="1"/>
  <c r="Q37" i="9" s="1"/>
  <c r="K113" i="9"/>
  <c r="G97" i="9"/>
  <c r="O33" i="9"/>
  <c r="P33" i="9" s="1"/>
  <c r="Q33" i="9" s="1"/>
  <c r="O15" i="9"/>
  <c r="P15" i="9" s="1"/>
  <c r="Q15" i="9" s="1"/>
  <c r="O5" i="9"/>
  <c r="P5" i="9" s="1"/>
  <c r="Q5" i="9" s="1"/>
  <c r="L7" i="9"/>
  <c r="O48" i="9"/>
  <c r="P48" i="9" s="1"/>
  <c r="Q48" i="9" s="1"/>
  <c r="O6" i="9"/>
  <c r="P6" i="9" s="1"/>
  <c r="Q6" i="9" s="1"/>
  <c r="O43" i="9"/>
  <c r="P43" i="9" s="1"/>
  <c r="Q43" i="9" s="1"/>
  <c r="O28" i="9"/>
  <c r="P28" i="9" s="1"/>
  <c r="Q28" i="9" s="1"/>
  <c r="O11" i="9"/>
  <c r="P11" i="9" s="1"/>
  <c r="Q11" i="9" s="1"/>
  <c r="O42" i="9"/>
  <c r="P42" i="9" s="1"/>
  <c r="Q42" i="9" s="1"/>
  <c r="O45" i="9"/>
  <c r="P45" i="9" s="1"/>
  <c r="Q45" i="9" s="1"/>
  <c r="G103" i="9"/>
  <c r="O21" i="9"/>
  <c r="P21" i="9" s="1"/>
  <c r="Q21" i="9" s="1"/>
  <c r="O23" i="9"/>
  <c r="P23" i="9" s="1"/>
  <c r="Q23" i="9" s="1"/>
  <c r="O39" i="9"/>
  <c r="P39" i="9" s="1"/>
  <c r="Q39" i="9" s="1"/>
  <c r="J103" i="9"/>
  <c r="L103" i="9"/>
  <c r="O46" i="9"/>
  <c r="P46" i="9" s="1"/>
  <c r="Q46" i="9" s="1"/>
  <c r="O16" i="9"/>
  <c r="P16" i="9" s="1"/>
  <c r="Q16" i="9" s="1"/>
  <c r="N29" i="9"/>
  <c r="O31" i="9"/>
  <c r="P31" i="9" s="1"/>
  <c r="Q31" i="9" s="1"/>
  <c r="O9" i="9"/>
  <c r="P9" i="9" s="1"/>
  <c r="Q9" i="9" s="1"/>
  <c r="O18" i="9"/>
  <c r="P18" i="9" s="1"/>
  <c r="Q18" i="9" s="1"/>
  <c r="O35" i="9"/>
  <c r="P35" i="9" s="1"/>
  <c r="Q35" i="9" s="1"/>
  <c r="O38" i="9"/>
  <c r="P38" i="9" s="1"/>
  <c r="Q38" i="9" s="1"/>
  <c r="O10" i="9"/>
  <c r="P10" i="9" s="1"/>
  <c r="N24" i="9"/>
  <c r="L24" i="9"/>
  <c r="O8" i="9"/>
  <c r="O41" i="9"/>
  <c r="P41" i="9" s="1"/>
  <c r="Q41" i="9" s="1"/>
  <c r="K24" i="9"/>
  <c r="N7" i="9"/>
  <c r="O20" i="9"/>
  <c r="P20" i="9" s="1"/>
  <c r="Q20" i="9" s="1"/>
  <c r="O25" i="9"/>
  <c r="K29" i="9"/>
  <c r="O30" i="9"/>
  <c r="K7" i="9"/>
  <c r="F12" i="7" l="1"/>
  <c r="K52" i="9"/>
  <c r="K122" i="9" s="1"/>
  <c r="O22" i="10"/>
  <c r="M53" i="9"/>
  <c r="C10" i="7"/>
  <c r="C9" i="7" s="1"/>
  <c r="C124" i="7" s="1"/>
  <c r="C125" i="7" s="1"/>
  <c r="C126" i="7" s="1"/>
  <c r="S11" i="10"/>
  <c r="G11" i="7"/>
  <c r="G135" i="9"/>
  <c r="G134" i="9"/>
  <c r="M125" i="9"/>
  <c r="M156" i="9" s="1"/>
  <c r="M157" i="9" s="1"/>
  <c r="E10" i="7"/>
  <c r="E9" i="7" s="1"/>
  <c r="N52" i="9"/>
  <c r="G132" i="9" s="1"/>
  <c r="G52" i="9"/>
  <c r="G128" i="9" s="1"/>
  <c r="G12" i="7"/>
  <c r="J52" i="9"/>
  <c r="J124" i="9" s="1"/>
  <c r="I52" i="9"/>
  <c r="H52" i="9"/>
  <c r="S53" i="9"/>
  <c r="T53" i="9" s="1"/>
  <c r="O51" i="9"/>
  <c r="L52" i="9"/>
  <c r="G130" i="9" s="1"/>
  <c r="P25" i="9"/>
  <c r="O29" i="9"/>
  <c r="O24" i="9"/>
  <c r="P8" i="9"/>
  <c r="O7" i="9"/>
  <c r="P30" i="9"/>
  <c r="P51" i="9" s="1"/>
  <c r="G129" i="9" l="1"/>
  <c r="K125" i="9"/>
  <c r="K126" i="9" s="1"/>
  <c r="E124" i="7"/>
  <c r="E125" i="7" s="1"/>
  <c r="E126" i="7" s="1"/>
  <c r="S22" i="10"/>
  <c r="O21" i="10"/>
  <c r="O9" i="10" s="1"/>
  <c r="O127" i="10" s="1"/>
  <c r="O128" i="10" s="1"/>
  <c r="O129" i="10" s="1"/>
  <c r="T11" i="10"/>
  <c r="T10" i="10" s="1"/>
  <c r="S10" i="10"/>
  <c r="J125" i="9"/>
  <c r="L122" i="9"/>
  <c r="N125" i="9"/>
  <c r="N156" i="9" s="1"/>
  <c r="N157" i="9" s="1"/>
  <c r="N122" i="9"/>
  <c r="L125" i="9"/>
  <c r="L156" i="9" s="1"/>
  <c r="L157" i="9" s="1"/>
  <c r="N53" i="9"/>
  <c r="K53" i="9"/>
  <c r="F10" i="7"/>
  <c r="F9" i="7" s="1"/>
  <c r="F124" i="7" s="1"/>
  <c r="F125" i="7" s="1"/>
  <c r="F126" i="7" s="1"/>
  <c r="G10" i="7"/>
  <c r="G9" i="7" s="1"/>
  <c r="D10" i="7"/>
  <c r="D9" i="7" s="1"/>
  <c r="J128" i="9"/>
  <c r="K128" i="9" s="1"/>
  <c r="L53" i="9"/>
  <c r="O52" i="9"/>
  <c r="P29" i="9"/>
  <c r="Q25" i="9"/>
  <c r="Q29" i="9" s="1"/>
  <c r="P24" i="9"/>
  <c r="Q8" i="9"/>
  <c r="Q24" i="9" s="1"/>
  <c r="Q30" i="9"/>
  <c r="Q51" i="9" s="1"/>
  <c r="P7" i="9"/>
  <c r="Q7" i="9"/>
  <c r="K156" i="9"/>
  <c r="K157" i="9" s="1"/>
  <c r="T22" i="10" l="1"/>
  <c r="T21" i="10" s="1"/>
  <c r="T9" i="10" s="1"/>
  <c r="T127" i="10" s="1"/>
  <c r="T128" i="10" s="1"/>
  <c r="T129" i="10" s="1"/>
  <c r="S21" i="10"/>
  <c r="S9" i="10"/>
  <c r="S127" i="10" s="1"/>
  <c r="D124" i="7"/>
  <c r="D125" i="7" s="1"/>
  <c r="D126" i="7" s="1"/>
  <c r="G124" i="7"/>
  <c r="O125" i="9"/>
  <c r="O156" i="9" s="1"/>
  <c r="O157" i="9" s="1"/>
  <c r="O160" i="9" s="1"/>
  <c r="Q52" i="9"/>
  <c r="P52" i="9"/>
  <c r="S128" i="10" l="1"/>
  <c r="S129" i="10" s="1"/>
  <c r="S195" i="10" s="1"/>
  <c r="S133" i="10"/>
  <c r="Q125" i="9"/>
  <c r="Q156" i="9" s="1"/>
  <c r="P125" i="9"/>
  <c r="P156" i="9" s="1"/>
  <c r="G125" i="7"/>
  <c r="G126" i="7" l="1"/>
  <c r="G130" i="7" s="1"/>
  <c r="C53" i="6"/>
  <c r="C52" i="6" s="1"/>
  <c r="I63" i="6"/>
  <c r="H63" i="6"/>
  <c r="G63" i="6"/>
  <c r="E63" i="6"/>
  <c r="C63" i="6"/>
  <c r="J62" i="6"/>
  <c r="J61" i="6"/>
  <c r="J60" i="6"/>
  <c r="J57" i="6"/>
  <c r="J56" i="6" s="1"/>
  <c r="D56" i="6"/>
  <c r="D55" i="6" s="1"/>
  <c r="D63" i="6" s="1"/>
  <c r="I53" i="6"/>
  <c r="I52" i="6" s="1"/>
  <c r="H53" i="6"/>
  <c r="H52" i="6" s="1"/>
  <c r="G53" i="6"/>
  <c r="G52" i="6" s="1"/>
  <c r="F53" i="6"/>
  <c r="F52" i="6" s="1"/>
  <c r="E53" i="6"/>
  <c r="D52" i="6"/>
  <c r="J51" i="6"/>
  <c r="J50" i="6"/>
  <c r="J49" i="6"/>
  <c r="J48" i="6"/>
  <c r="J46" i="6"/>
  <c r="J45" i="6"/>
  <c r="J43" i="6"/>
  <c r="J42" i="6"/>
  <c r="J41" i="6"/>
  <c r="J38" i="6"/>
  <c r="J37" i="6"/>
  <c r="J35" i="6"/>
  <c r="J33" i="6"/>
  <c r="J32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2" i="6"/>
  <c r="J34" i="6" l="1"/>
  <c r="J55" i="6"/>
  <c r="J54" i="6" s="1"/>
  <c r="J59" i="6"/>
  <c r="J58" i="6" s="1"/>
  <c r="J53" i="6"/>
  <c r="J52" i="6" s="1"/>
  <c r="J40" i="6"/>
  <c r="J39" i="6" s="1"/>
  <c r="K60" i="6"/>
  <c r="E52" i="6"/>
  <c r="J63" i="6" l="1"/>
  <c r="E46" i="3"/>
  <c r="E45" i="3"/>
  <c r="C36" i="3"/>
  <c r="C47" i="3"/>
  <c r="C42" i="3"/>
  <c r="C4" i="3"/>
  <c r="C52" i="3"/>
  <c r="E48" i="3"/>
  <c r="F48" i="3" s="1"/>
  <c r="H48" i="3" s="1"/>
  <c r="C31" i="3"/>
  <c r="C28" i="3" s="1"/>
  <c r="C25" i="3"/>
  <c r="C11" i="3"/>
  <c r="I29" i="3"/>
  <c r="J29" i="3" s="1"/>
  <c r="C51" i="3" l="1"/>
  <c r="C35" i="3"/>
  <c r="C10" i="3"/>
  <c r="C50" i="3" s="1"/>
  <c r="H45" i="3"/>
  <c r="I45" i="3" s="1"/>
  <c r="J45" i="3" s="1"/>
  <c r="F30" i="3"/>
  <c r="H30" i="3" s="1"/>
  <c r="H29" i="3" s="1"/>
  <c r="F32" i="3"/>
  <c r="H32" i="3" s="1"/>
  <c r="F40" i="3"/>
  <c r="H40" i="3" s="1"/>
  <c r="F43" i="3"/>
  <c r="H43" i="3" s="1"/>
  <c r="F49" i="3"/>
  <c r="H49" i="3" s="1"/>
  <c r="I40" i="3" l="1"/>
  <c r="J40" i="3" s="1"/>
  <c r="F47" i="3"/>
  <c r="I32" i="3"/>
  <c r="F29" i="3"/>
  <c r="I43" i="3"/>
  <c r="J43" i="3" s="1"/>
  <c r="E44" i="3"/>
  <c r="F44" i="3" s="1"/>
  <c r="F42" i="3" s="1"/>
  <c r="E24" i="3"/>
  <c r="F24" i="3" s="1"/>
  <c r="E20" i="3"/>
  <c r="F20" i="3" s="1"/>
  <c r="E17" i="3"/>
  <c r="F17" i="3" s="1"/>
  <c r="E15" i="3"/>
  <c r="F15" i="3" s="1"/>
  <c r="E14" i="3"/>
  <c r="F14" i="3" s="1"/>
  <c r="E39" i="3"/>
  <c r="F39" i="3" s="1"/>
  <c r="H39" i="3" s="1"/>
  <c r="E34" i="3"/>
  <c r="F34" i="3" s="1"/>
  <c r="H34" i="3" s="1"/>
  <c r="E27" i="3"/>
  <c r="F27" i="3" s="1"/>
  <c r="H27" i="3" s="1"/>
  <c r="E26" i="3"/>
  <c r="F26" i="3" s="1"/>
  <c r="F25" i="3" s="1"/>
  <c r="E23" i="3"/>
  <c r="F23" i="3" s="1"/>
  <c r="E22" i="3"/>
  <c r="F22" i="3" s="1"/>
  <c r="H22" i="3" s="1"/>
  <c r="E21" i="3"/>
  <c r="F21" i="3" s="1"/>
  <c r="E19" i="3"/>
  <c r="F19" i="3" s="1"/>
  <c r="E18" i="3"/>
  <c r="F18" i="3" s="1"/>
  <c r="H18" i="3" s="1"/>
  <c r="E16" i="3"/>
  <c r="F16" i="3" s="1"/>
  <c r="H16" i="3" s="1"/>
  <c r="E13" i="3"/>
  <c r="F13" i="3" s="1"/>
  <c r="H13" i="3" s="1"/>
  <c r="E12" i="3"/>
  <c r="F12" i="3" s="1"/>
  <c r="H12" i="3" s="1"/>
  <c r="E8" i="3"/>
  <c r="F8" i="3" s="1"/>
  <c r="H8" i="3" s="1"/>
  <c r="E7" i="3"/>
  <c r="F7" i="3" s="1"/>
  <c r="E6" i="3"/>
  <c r="F6" i="3" s="1"/>
  <c r="H7" i="3" l="1"/>
  <c r="I7" i="3" s="1"/>
  <c r="J7" i="3" s="1"/>
  <c r="F11" i="3"/>
  <c r="I12" i="3"/>
  <c r="J12" i="3" s="1"/>
  <c r="I27" i="3"/>
  <c r="J27" i="3" s="1"/>
  <c r="E42" i="3"/>
  <c r="E41" i="3"/>
  <c r="E38" i="3"/>
  <c r="E37" i="3"/>
  <c r="F37" i="3" s="1"/>
  <c r="H37" i="3" s="1"/>
  <c r="E29" i="3"/>
  <c r="G29" i="3"/>
  <c r="D29" i="3"/>
  <c r="I34" i="3"/>
  <c r="J34" i="3" s="1"/>
  <c r="E33" i="3"/>
  <c r="I22" i="3"/>
  <c r="J22" i="3" s="1"/>
  <c r="I18" i="3"/>
  <c r="J18" i="3" s="1"/>
  <c r="I16" i="3"/>
  <c r="J16" i="3" s="1"/>
  <c r="I13" i="3"/>
  <c r="J13" i="3" s="1"/>
  <c r="E9" i="3"/>
  <c r="F9" i="3" s="1"/>
  <c r="H9" i="3" s="1"/>
  <c r="I8" i="3"/>
  <c r="J8" i="3" s="1"/>
  <c r="E47" i="3"/>
  <c r="G47" i="3"/>
  <c r="G42" i="3"/>
  <c r="G36" i="3"/>
  <c r="I9" i="3" l="1"/>
  <c r="J9" i="3" s="1"/>
  <c r="F5" i="3"/>
  <c r="I37" i="3"/>
  <c r="J37" i="3" s="1"/>
  <c r="G35" i="3"/>
  <c r="F38" i="3"/>
  <c r="F33" i="3"/>
  <c r="H33" i="3" s="1"/>
  <c r="E36" i="3"/>
  <c r="I49" i="3"/>
  <c r="J49" i="3" s="1"/>
  <c r="H47" i="3"/>
  <c r="F41" i="3"/>
  <c r="H41" i="3" s="1"/>
  <c r="E52" i="3"/>
  <c r="F52" i="3" s="1"/>
  <c r="F54" i="3" s="1"/>
  <c r="I39" i="3"/>
  <c r="J39" i="3" s="1"/>
  <c r="F36" i="3" l="1"/>
  <c r="F35" i="3" s="1"/>
  <c r="I41" i="3"/>
  <c r="H31" i="3"/>
  <c r="H28" i="3" s="1"/>
  <c r="F31" i="3"/>
  <c r="F28" i="3" s="1"/>
  <c r="E35" i="3"/>
  <c r="I47" i="3"/>
  <c r="J47" i="3" s="1"/>
  <c r="G52" i="3"/>
  <c r="D47" i="3"/>
  <c r="E31" i="3"/>
  <c r="G31" i="3"/>
  <c r="G28" i="3" s="1"/>
  <c r="D31" i="3"/>
  <c r="D28" i="3" s="1"/>
  <c r="E11" i="3"/>
  <c r="E5" i="3"/>
  <c r="D44" i="3"/>
  <c r="H44" i="3" s="1"/>
  <c r="D38" i="3"/>
  <c r="H38" i="3" s="1"/>
  <c r="D26" i="3"/>
  <c r="H26" i="3" s="1"/>
  <c r="H25" i="3" s="1"/>
  <c r="D24" i="3"/>
  <c r="H24" i="3" s="1"/>
  <c r="D23" i="3"/>
  <c r="H23" i="3" s="1"/>
  <c r="D21" i="3"/>
  <c r="H21" i="3" s="1"/>
  <c r="D20" i="3"/>
  <c r="H20" i="3" s="1"/>
  <c r="D19" i="3"/>
  <c r="H19" i="3" s="1"/>
  <c r="D17" i="3"/>
  <c r="H17" i="3" s="1"/>
  <c r="D15" i="3"/>
  <c r="H15" i="3" s="1"/>
  <c r="D14" i="3"/>
  <c r="H14" i="3" s="1"/>
  <c r="D6" i="3"/>
  <c r="H6" i="3" s="1"/>
  <c r="J41" i="3" l="1"/>
  <c r="I6" i="3"/>
  <c r="J6" i="3" s="1"/>
  <c r="D5" i="3"/>
  <c r="D4" i="3" s="1"/>
  <c r="I19" i="3"/>
  <c r="J19" i="3" s="1"/>
  <c r="I24" i="3"/>
  <c r="J24" i="3" s="1"/>
  <c r="I14" i="3"/>
  <c r="J14" i="3" s="1"/>
  <c r="I26" i="3"/>
  <c r="J26" i="3" s="1"/>
  <c r="I20" i="3"/>
  <c r="J20" i="3" s="1"/>
  <c r="I33" i="3"/>
  <c r="J33" i="3" s="1"/>
  <c r="I21" i="3"/>
  <c r="J21" i="3" s="1"/>
  <c r="I38" i="3"/>
  <c r="J38" i="3" s="1"/>
  <c r="I17" i="3"/>
  <c r="J17" i="3" s="1"/>
  <c r="I23" i="3"/>
  <c r="J23" i="3" s="1"/>
  <c r="D25" i="3"/>
  <c r="I15" i="3"/>
  <c r="J15" i="3" s="1"/>
  <c r="I44" i="3"/>
  <c r="J44" i="3" s="1"/>
  <c r="H42" i="3"/>
  <c r="D11" i="3"/>
  <c r="D10" i="3" s="1"/>
  <c r="D36" i="3"/>
  <c r="D35" i="3" s="1"/>
  <c r="D52" i="3"/>
  <c r="D42" i="3"/>
  <c r="E28" i="3"/>
  <c r="G25" i="3"/>
  <c r="E25" i="3"/>
  <c r="I36" i="3" l="1"/>
  <c r="J36" i="3" s="1"/>
  <c r="H36" i="3"/>
  <c r="H35" i="3" s="1"/>
  <c r="I25" i="3"/>
  <c r="J25" i="3" s="1"/>
  <c r="H11" i="3"/>
  <c r="H10" i="3" s="1"/>
  <c r="I31" i="3"/>
  <c r="J31" i="3" s="1"/>
  <c r="D50" i="3"/>
  <c r="I11" i="3"/>
  <c r="J11" i="3" s="1"/>
  <c r="G51" i="3"/>
  <c r="G10" i="3"/>
  <c r="G50" i="3" s="1"/>
  <c r="D51" i="3"/>
  <c r="E51" i="3"/>
  <c r="F51" i="3" s="1"/>
  <c r="I42" i="3"/>
  <c r="J42" i="3" s="1"/>
  <c r="H52" i="3"/>
  <c r="H5" i="3"/>
  <c r="H4" i="3" s="1"/>
  <c r="E10" i="3"/>
  <c r="F10" i="3" s="1"/>
  <c r="E4" i="3"/>
  <c r="F4" i="3" s="1"/>
  <c r="I10" i="3" l="1"/>
  <c r="J10" i="3" s="1"/>
  <c r="I28" i="3"/>
  <c r="J28" i="3" s="1"/>
  <c r="I52" i="3"/>
  <c r="J52" i="3" s="1"/>
  <c r="I5" i="3"/>
  <c r="J5" i="3" s="1"/>
  <c r="H50" i="3"/>
  <c r="H51" i="3"/>
  <c r="I35" i="3"/>
  <c r="J35" i="3" s="1"/>
  <c r="E50" i="3"/>
  <c r="F50" i="3" s="1"/>
  <c r="I4" i="3" l="1"/>
  <c r="J4" i="3" s="1"/>
  <c r="I51" i="3"/>
  <c r="J51" i="3" s="1"/>
  <c r="I50" i="3" l="1"/>
  <c r="J5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Delmy Ramos</author>
  </authors>
  <commentList>
    <comment ref="E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ingresos del 01 de enero al 31de octubre 2018</t>
        </r>
      </text>
    </comment>
    <comment ref="G24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Delmy Ramos:</t>
        </r>
        <r>
          <rPr>
            <sz val="9"/>
            <color indexed="81"/>
            <rFont val="Tahoma"/>
            <family val="2"/>
          </rPr>
          <t xml:space="preserve">
Este monto $ 425.00 lo han ubicado en la 1212424, Mantenimiento y Construccion de parques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G13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10 MESES DE DIETA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S18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Sueldos a mestros y otros</t>
        </r>
      </text>
    </comment>
    <comment ref="S56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PARA TRES MESES</t>
        </r>
      </text>
    </comment>
    <comment ref="S60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TRES MESES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Delmy Ramos</author>
    <author>Alc_Chirilagua</author>
  </authors>
  <commentList>
    <comment ref="D20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Delmy Ramos:</t>
        </r>
        <r>
          <rPr>
            <sz val="9"/>
            <color indexed="81"/>
            <rFont val="Tahoma"/>
            <family val="2"/>
          </rPr>
          <t xml:space="preserve">
4 dias</t>
        </r>
      </text>
    </comment>
    <comment ref="J20" authorId="1" shapeId="0" xr:uid="{00000000-0006-0000-0500-000002000000}">
      <text>
        <r>
          <rPr>
            <b/>
            <sz val="9"/>
            <color indexed="81"/>
            <rFont val="Tahoma"/>
            <family val="2"/>
          </rPr>
          <t>Alc_Chirilagua:</t>
        </r>
        <r>
          <rPr>
            <sz val="9"/>
            <color indexed="81"/>
            <rFont val="Tahoma"/>
            <family val="2"/>
          </rPr>
          <t xml:space="preserve">
a partir de mayo de 2018</t>
        </r>
      </text>
    </comment>
    <comment ref="D37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Delmy Ramos:</t>
        </r>
        <r>
          <rPr>
            <sz val="9"/>
            <color indexed="81"/>
            <rFont val="Tahoma"/>
            <family val="2"/>
          </rPr>
          <t xml:space="preserve">
a medio tiempo</t>
        </r>
      </text>
    </comment>
    <comment ref="D70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Delmy Ramos:</t>
        </r>
        <r>
          <rPr>
            <sz val="9"/>
            <color indexed="81"/>
            <rFont val="Tahoma"/>
            <family val="2"/>
          </rPr>
          <t xml:space="preserve">
agregar un dia mas a las labores</t>
        </r>
      </text>
    </comment>
    <comment ref="B93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Tiempo Completo</t>
        </r>
      </text>
    </comment>
    <comment ref="B96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1/2 tiempo para ISSS</t>
        </r>
      </text>
    </comment>
    <comment ref="C109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Delmy Ramos:</t>
        </r>
        <r>
          <rPr>
            <sz val="9"/>
            <color indexed="81"/>
            <rFont val="Tahoma"/>
            <family val="2"/>
          </rPr>
          <t xml:space="preserve">
Honorarios</t>
        </r>
      </text>
    </comment>
    <comment ref="D110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Delmy Ramos:</t>
        </r>
        <r>
          <rPr>
            <sz val="9"/>
            <color indexed="81"/>
            <rFont val="Tahoma"/>
            <family val="2"/>
          </rPr>
          <t xml:space="preserve">
Contrato</t>
        </r>
      </text>
    </comment>
    <comment ref="C111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Delmy Ramos:</t>
        </r>
        <r>
          <rPr>
            <sz val="9"/>
            <color indexed="81"/>
            <rFont val="Tahoma"/>
            <family val="2"/>
          </rPr>
          <t xml:space="preserve">
Honorarios</t>
        </r>
      </text>
    </comment>
  </commentList>
</comments>
</file>

<file path=xl/sharedStrings.xml><?xml version="1.0" encoding="utf-8"?>
<sst xmlns="http://schemas.openxmlformats.org/spreadsheetml/2006/main" count="990" uniqueCount="599">
  <si>
    <t>Código Presupuestario</t>
  </si>
  <si>
    <t>Concepto</t>
  </si>
  <si>
    <t>Total</t>
  </si>
  <si>
    <t>IMPUESTOS</t>
  </si>
  <si>
    <t>De Comercio</t>
  </si>
  <si>
    <t>Vialidad</t>
  </si>
  <si>
    <t>TASAS Y DERECHOS</t>
  </si>
  <si>
    <t>TASAS</t>
  </si>
  <si>
    <t>Alumbrado Público</t>
  </si>
  <si>
    <t>Aseo Público</t>
  </si>
  <si>
    <t>Cementerios Municipales</t>
  </si>
  <si>
    <t>Fiestas</t>
  </si>
  <si>
    <t>Mercados</t>
  </si>
  <si>
    <t>Rastro y Tiangue</t>
  </si>
  <si>
    <t>DERECHOS</t>
  </si>
  <si>
    <t>Permisos y Licencias Municipales</t>
  </si>
  <si>
    <t>Cotejo de Fierros</t>
  </si>
  <si>
    <t>15</t>
  </si>
  <si>
    <t>INGRESOS FINANCIEROS Y OTROS</t>
  </si>
  <si>
    <t>153</t>
  </si>
  <si>
    <t>Total Rubro</t>
  </si>
  <si>
    <t>Total Cuenta</t>
  </si>
  <si>
    <t>Total Objeto Específico</t>
  </si>
  <si>
    <t>En US Dólares</t>
  </si>
  <si>
    <t>TOTAL</t>
  </si>
  <si>
    <t>PROMEDIO</t>
  </si>
  <si>
    <t>IMPUESTOS  MUNICIPALES</t>
  </si>
  <si>
    <t>De servicio</t>
  </si>
  <si>
    <t>Bares y Restaurantes</t>
  </si>
  <si>
    <t>1181818</t>
  </si>
  <si>
    <t>1210505</t>
  </si>
  <si>
    <t>Servicios de Certificacion o Visado doc.</t>
  </si>
  <si>
    <t>1210606</t>
  </si>
  <si>
    <t>Por Expedicion de Doc. De Identificacion</t>
  </si>
  <si>
    <t>1210808</t>
  </si>
  <si>
    <t>1210909</t>
  </si>
  <si>
    <t>1211111</t>
  </si>
  <si>
    <t>1211212</t>
  </si>
  <si>
    <t>Desechos</t>
  </si>
  <si>
    <t>1211414</t>
  </si>
  <si>
    <t>1211515</t>
  </si>
  <si>
    <t>1211717</t>
  </si>
  <si>
    <t>Pavimentacion</t>
  </si>
  <si>
    <t>1211818</t>
  </si>
  <si>
    <t>1211919</t>
  </si>
  <si>
    <t>1212323</t>
  </si>
  <si>
    <t>Baños y Lavaderos Publicos</t>
  </si>
  <si>
    <t>1219999</t>
  </si>
  <si>
    <t>Tasas Diverssas</t>
  </si>
  <si>
    <t>1221010</t>
  </si>
  <si>
    <t>1221111</t>
  </si>
  <si>
    <t>14</t>
  </si>
  <si>
    <t>VENTA DE BIENES Y SERVICIOS</t>
  </si>
  <si>
    <t>1420102</t>
  </si>
  <si>
    <t>Servicios de agua</t>
  </si>
  <si>
    <t>1429999</t>
  </si>
  <si>
    <t>Servicios Diversos</t>
  </si>
  <si>
    <t>1530101</t>
  </si>
  <si>
    <t xml:space="preserve">Multa por Mora de Impuestos </t>
  </si>
  <si>
    <t>1530202</t>
  </si>
  <si>
    <t>Interese por mora de impuestos</t>
  </si>
  <si>
    <t>1531212</t>
  </si>
  <si>
    <t>Multa del Registro del Estado Familiar</t>
  </si>
  <si>
    <t>1539999</t>
  </si>
  <si>
    <t>Multa de Intereses Diversos</t>
  </si>
  <si>
    <t>142</t>
  </si>
  <si>
    <t>INGRESOS POR PRESTACION DE SERVICIOS PUBLICOS</t>
  </si>
  <si>
    <t>MULTA E INTERESES POR MORA</t>
  </si>
  <si>
    <t>154</t>
  </si>
  <si>
    <t>ARRENDAMIENTO DE BIENES</t>
  </si>
  <si>
    <t>1540101</t>
  </si>
  <si>
    <t>Arrendamiento de bienes muebles</t>
  </si>
  <si>
    <t>1549999</t>
  </si>
  <si>
    <t>Arrendamiento de bines diversos</t>
  </si>
  <si>
    <t>1420101</t>
  </si>
  <si>
    <t>Servicios de Energia Electrica</t>
  </si>
  <si>
    <t>157</t>
  </si>
  <si>
    <t>1579999</t>
  </si>
  <si>
    <t>OTROS INGRESOS NO CLASIFICADOS</t>
  </si>
  <si>
    <t>Ingresos Diversos</t>
  </si>
  <si>
    <t>141</t>
  </si>
  <si>
    <t>VENTA DE BIENES</t>
  </si>
  <si>
    <t>1419999</t>
  </si>
  <si>
    <t>Venta de Bienes diversos</t>
  </si>
  <si>
    <t>1531414</t>
  </si>
  <si>
    <t>Otras Multas Municipales</t>
  </si>
  <si>
    <t>ALCALDIA MUNICIPAL DE CHIRILAGUA</t>
  </si>
  <si>
    <t>FUENTE DE FINANCIAMIENTO 1 (FF1)</t>
  </si>
  <si>
    <t>FODES 25%</t>
  </si>
  <si>
    <t>CODIGO</t>
  </si>
  <si>
    <t>CONCEPTO</t>
  </si>
  <si>
    <t>AREA DE GESTION</t>
  </si>
  <si>
    <t>CONDUCCION ADMINISTRATIVA</t>
  </si>
  <si>
    <t>0101 Dir. Superior</t>
  </si>
  <si>
    <t>0102 Admon. Financiera</t>
  </si>
  <si>
    <t>0201 Serv. Mp. Div.</t>
  </si>
  <si>
    <t>0202 Serv. Ext.</t>
  </si>
  <si>
    <t>REMUNERACIONES</t>
  </si>
  <si>
    <t>REMUNERACIONES PERMANENTES</t>
  </si>
  <si>
    <t>SUELDOS</t>
  </si>
  <si>
    <t>AGUINALDOS</t>
  </si>
  <si>
    <t>DIETAS</t>
  </si>
  <si>
    <t>REMUNERACIONES EVENTUALES</t>
  </si>
  <si>
    <t>SALARIOS POR JORNAL</t>
  </si>
  <si>
    <t>CONTRIB. PATRON. A INST. SEG. SOCIAL PUB.</t>
  </si>
  <si>
    <t>POR REMUNERACIONES PERMANENTES</t>
  </si>
  <si>
    <t>POR REMUNERACIONES EVENTUALES</t>
  </si>
  <si>
    <t>CONTRIB. PATRON. A INST. SEG. SOCIAL PRIV.</t>
  </si>
  <si>
    <t>INDEMNIZACIONES</t>
  </si>
  <si>
    <t>INDEMNIZACIONES SERVICIOS PERMANENTES</t>
  </si>
  <si>
    <t>INDEMNIZACIONES SERVICIOS EVENTUALES</t>
  </si>
  <si>
    <t>GASTOS DE REPRESENTACION</t>
  </si>
  <si>
    <t>POR PRESTACION DE SERVICIOS EN EL PAIS</t>
  </si>
  <si>
    <t>POR PRESTACION DE SERVICIOS EN EL EXT.</t>
  </si>
  <si>
    <t>REMUNERACIONES DIVERSAS</t>
  </si>
  <si>
    <t>HONORARIOS</t>
  </si>
  <si>
    <t>ADQUISICIONES DE BIENES Y SERVICIOS</t>
  </si>
  <si>
    <t>BIENES DE USO Y CONSUMO</t>
  </si>
  <si>
    <t>PRODUCTOS ALIMENTICIOS PARA PERSONAS</t>
  </si>
  <si>
    <t>PRODUCTOS AGROP. Y FORESTALES</t>
  </si>
  <si>
    <t>PRODUCTOS TEXTILES Y DE VESTUARIO</t>
  </si>
  <si>
    <t>PRODUCTOS DE PAPEL Y CARTON</t>
  </si>
  <si>
    <t>PRODUCTOS DE CUERO Y CAUCHO</t>
  </si>
  <si>
    <t>PRODUCTOS QUIMICOS</t>
  </si>
  <si>
    <t>PRODUCTOS FARMACEUTICOS Y MED.</t>
  </si>
  <si>
    <t>LLANTAS Y NEUMATICOS</t>
  </si>
  <si>
    <t>COMBUSTIBLES Y LUBRICANTES</t>
  </si>
  <si>
    <t>MINERALES NO METALICOS Y PROD. DER.</t>
  </si>
  <si>
    <t>MINERALES METALICOS Y PROD. DER.</t>
  </si>
  <si>
    <t>MATERIALES DE OFICINA</t>
  </si>
  <si>
    <t>MATERIALES INFORMATICOS</t>
  </si>
  <si>
    <t>LIBROS, TEXTOS Y UTILES DE ENSEÑANZA</t>
  </si>
  <si>
    <t>HERRAMIENTAS, REPUESTOS Y ACCESORIOS</t>
  </si>
  <si>
    <t>MATERIALES ELECTRICOS</t>
  </si>
  <si>
    <t>ESPECIES MUNICIPALES DIVERSAS</t>
  </si>
  <si>
    <t>SERVICIOS BASICOS</t>
  </si>
  <si>
    <t>SERVICIOS DE ENERGIA ELECTRICA</t>
  </si>
  <si>
    <t>SERVICIOS DE AGUA</t>
  </si>
  <si>
    <t>SERVICIOS DE TELECOMUNICACIONES</t>
  </si>
  <si>
    <t>CORREOS</t>
  </si>
  <si>
    <t>ALUMBRADO PUBLICO</t>
  </si>
  <si>
    <t>SERVICIOS GENERALES Y ARRENDAMIENTOS</t>
  </si>
  <si>
    <t>MANTTO. Y REP. DE BIENES MUEBLES</t>
  </si>
  <si>
    <t>MANTTO. Y REP. DE VEHICULOS</t>
  </si>
  <si>
    <t>MANTENIMIENTO Y REPARACION DE BIENES</t>
  </si>
  <si>
    <t>TRANSPORTE, FLETES Y ALMACENAMIENTO</t>
  </si>
  <si>
    <t>SERVICIOS DE PUBLICIDAD</t>
  </si>
  <si>
    <t>SERVICIOS DE LIMPIEZA Y FUMIGACIONES</t>
  </si>
  <si>
    <t>SERVICIOS EDUCATIVOS</t>
  </si>
  <si>
    <t>IMPRESIONES, PUBLICACIONES Y REPROD.</t>
  </si>
  <si>
    <t>ATENCIONES OFICIALES</t>
  </si>
  <si>
    <t>ARRENDAMIENTO DE BIENES MUEBLES</t>
  </si>
  <si>
    <t>PASAJES Y VIATICOS</t>
  </si>
  <si>
    <t>PASAJES AL INTERIOR</t>
  </si>
  <si>
    <t>PASAJES AL EXTERIOR</t>
  </si>
  <si>
    <t>VIATICOS POR COMISION INTERNA</t>
  </si>
  <si>
    <t>SERVICIOS TECNICOS Y PROFESIONALES</t>
  </si>
  <si>
    <t>SERVICIOS DE MEDIO AMBIENTE Y RECURSOS</t>
  </si>
  <si>
    <t>SERVICIOS JURIDICOS</t>
  </si>
  <si>
    <t>SERVICIOS DE CONTABILIDAD Y AUDITORIA</t>
  </si>
  <si>
    <t>SERVICIOS DE CAPACITACION</t>
  </si>
  <si>
    <t>CONSULTORIAS, ESTUDIOS E INVESTIG. DIVERSAS</t>
  </si>
  <si>
    <t>TRATAMIENTO DE DESECHOS</t>
  </si>
  <si>
    <t>DEPOSITO DE DESECHOS</t>
  </si>
  <si>
    <t>GASTOS FINANCIEROS Y OTROS</t>
  </si>
  <si>
    <t>INTERESES Y COMISIONES DE LA DEUDA PUBLICA</t>
  </si>
  <si>
    <t>DE INSTITUCIONES DESCENT. NO EMPRESARIALES</t>
  </si>
  <si>
    <t>DE EMPRESAS PUBLICAS FINANCIERAS</t>
  </si>
  <si>
    <t>SEGUROS, COMISIONES Y GASTOS BANCARIOS</t>
  </si>
  <si>
    <t>PRIMAS Y GASTOS DE SEGUROS DE BIENES</t>
  </si>
  <si>
    <t>COMISIONES Y GASTOS BANCARIOS (POR CERT. CH)</t>
  </si>
  <si>
    <t>OTROS GASTOS NO CLASIFICADOS</t>
  </si>
  <si>
    <t>MULTAS Y COSTAS JUDICIALES</t>
  </si>
  <si>
    <t>GASTOS DIVERSOS</t>
  </si>
  <si>
    <t>TRANSFERENCIAS CORRIENTES</t>
  </si>
  <si>
    <t>TRANSFERENCIAS CORRIENTES SECTOR PUBLIC.</t>
  </si>
  <si>
    <t>TRANSFERENCIAS CORRIENTES. SECTOR PUB.</t>
  </si>
  <si>
    <t>TRANSFERENCIAS CORRIENTES SECTOR PRIVADO</t>
  </si>
  <si>
    <t>EMPRESAS PRIVADAS NO FINANCIERAS</t>
  </si>
  <si>
    <t>A ORGANISMOS SIN FINES DE LUCRO</t>
  </si>
  <si>
    <t>BECAS</t>
  </si>
  <si>
    <t>INVERSIONES EN ACTIVOS FIJOS</t>
  </si>
  <si>
    <t>BIENES MUEBLES</t>
  </si>
  <si>
    <t>MAQUINARIA Y EQUIPO</t>
  </si>
  <si>
    <t>EQUIPOS INFORMATICOS</t>
  </si>
  <si>
    <t>BIENES MUEBLES DIVERSOS</t>
  </si>
  <si>
    <t>BIENES INMUEBLES</t>
  </si>
  <si>
    <t>TERRENOS</t>
  </si>
  <si>
    <t>ESTUDIOS DE PREINVERSION</t>
  </si>
  <si>
    <t>PROYECTOS Y PROGRAMAS DE INVERSION DIV.</t>
  </si>
  <si>
    <t>INFRAESTRUCTURA</t>
  </si>
  <si>
    <t>VIALES</t>
  </si>
  <si>
    <t>DE EDUCACION Y RECREACION</t>
  </si>
  <si>
    <t>ELECTRICAS Y COMUNICACIONES</t>
  </si>
  <si>
    <t>SUPERVISION DE INFRAESTRUCTURA</t>
  </si>
  <si>
    <t>OBRAS DE INFRAESTRUCTURA DIVERSA</t>
  </si>
  <si>
    <t>SALUD Y SANEAMIENTO</t>
  </si>
  <si>
    <t>OFICINAS ADMINISTRATIVAS</t>
  </si>
  <si>
    <t>AMORTIZACION DE ENDEUDAMIENTO PUBLICO</t>
  </si>
  <si>
    <t>AMOTIZACION EMPRESTITOS INT.</t>
  </si>
  <si>
    <t>SALDO AÑOS ANTERIORES</t>
  </si>
  <si>
    <t>CUENTAS POR PAGAR AÑOS ANTERIORES</t>
  </si>
  <si>
    <t>TOTALES</t>
  </si>
  <si>
    <t>RUBRO DE AGRUPACION</t>
  </si>
  <si>
    <t>CUENTA PRESUPUESTARIA</t>
  </si>
  <si>
    <t>TOTALES DE OBJETOS ESPECIFICOS</t>
  </si>
  <si>
    <t>FONDOS PROPIOS</t>
  </si>
  <si>
    <t>Sub Total</t>
  </si>
  <si>
    <t>Rentabilida de Cuentas Bancarias</t>
  </si>
  <si>
    <t>Fianzas</t>
  </si>
  <si>
    <t>FIANZAS</t>
  </si>
  <si>
    <t xml:space="preserve">Deficit </t>
  </si>
  <si>
    <t>Deficit</t>
  </si>
  <si>
    <t>DEPARTAMENTO DE SAN MIGUEL</t>
  </si>
  <si>
    <t>(En Dolares de los Estados Unidos de America)</t>
  </si>
  <si>
    <t>DETALLE CONSOLIDADO DE INGRESOS POR ESPECIFICO Y FUENTE DE FINANCIAMIENTO</t>
  </si>
  <si>
    <t>(2) DENOMINACION</t>
  </si>
  <si>
    <t>(3) Fondo General</t>
  </si>
  <si>
    <t>(9) Fondos Propios</t>
  </si>
  <si>
    <t>( 10) FONDOS FISDL</t>
  </si>
  <si>
    <t>(11) Préstamos Internos</t>
  </si>
  <si>
    <t>(12) Fondos BCIE</t>
  </si>
  <si>
    <t xml:space="preserve">(13) T O T A L  </t>
  </si>
  <si>
    <t>(4) FODES</t>
  </si>
  <si>
    <t>(7) OTROS</t>
  </si>
  <si>
    <t>(5) Funcionamiento</t>
  </si>
  <si>
    <t>(6) Inversión</t>
  </si>
  <si>
    <t>FISDL/PFGL</t>
  </si>
  <si>
    <t xml:space="preserve">Impuestos                                                       </t>
  </si>
  <si>
    <t xml:space="preserve">Impuestos municipales                                           </t>
  </si>
  <si>
    <t xml:space="preserve">De comercio                                                      </t>
  </si>
  <si>
    <t>Financieros</t>
  </si>
  <si>
    <t>De servicios</t>
  </si>
  <si>
    <t xml:space="preserve">Bares y restaurantes        </t>
  </si>
  <si>
    <t>Tasas y derechos</t>
  </si>
  <si>
    <t>Tasas</t>
  </si>
  <si>
    <t xml:space="preserve">Por servicios de certificacion o visado        </t>
  </si>
  <si>
    <t xml:space="preserve">Por expedicion de documentos de identificacion                 </t>
  </si>
  <si>
    <t>Alumbrado publico</t>
  </si>
  <si>
    <t>Aseo publico</t>
  </si>
  <si>
    <t>Cementerios municipales</t>
  </si>
  <si>
    <t>Postes, torres y antenas</t>
  </si>
  <si>
    <t>Rastro y tiangue</t>
  </si>
  <si>
    <t>Baños y lavaderos publicos</t>
  </si>
  <si>
    <t>Tasas diversas</t>
  </si>
  <si>
    <t>Derechos</t>
  </si>
  <si>
    <t>Permisos y licencias municipales</t>
  </si>
  <si>
    <t>Cotejo de fierros</t>
  </si>
  <si>
    <t>Ventas de bienes y servicios</t>
  </si>
  <si>
    <t>Ingresos por prestacion de servicios publicos</t>
  </si>
  <si>
    <t>14201</t>
  </si>
  <si>
    <t>Prestacion de servicios basicos</t>
  </si>
  <si>
    <t>Servicios diversos</t>
  </si>
  <si>
    <t>Venta de bienes diversos</t>
  </si>
  <si>
    <t>Ingresos financieros y otros</t>
  </si>
  <si>
    <t>Multas e intereses por mora</t>
  </si>
  <si>
    <t>Multas por mora de impuestos</t>
  </si>
  <si>
    <t>Intereses por mora de impuestos</t>
  </si>
  <si>
    <t>Multas por registro civil</t>
  </si>
  <si>
    <t>Multas e intereses diversos</t>
  </si>
  <si>
    <t>Arrendamiento de bienes</t>
  </si>
  <si>
    <t>Arrendamientos de bienes diversos</t>
  </si>
  <si>
    <t>Otros ingresos no clasificados</t>
  </si>
  <si>
    <t>Rentabilidad de cuentas bancarias</t>
  </si>
  <si>
    <t>Ingresos diversos</t>
  </si>
  <si>
    <t>16</t>
  </si>
  <si>
    <t xml:space="preserve">Transferencias Corrientes </t>
  </si>
  <si>
    <t>162</t>
  </si>
  <si>
    <t>Transferencias Corrientes del Sector Publico</t>
  </si>
  <si>
    <t>16201</t>
  </si>
  <si>
    <t>Transf. Ctes. Del S.P.</t>
  </si>
  <si>
    <t>22</t>
  </si>
  <si>
    <t>Transferencias de Capital</t>
  </si>
  <si>
    <t>222</t>
  </si>
  <si>
    <t>Transferencias de Capital del sector Publico</t>
  </si>
  <si>
    <t>22201</t>
  </si>
  <si>
    <t>Transf. De Capital del S.P.</t>
  </si>
  <si>
    <t>32</t>
  </si>
  <si>
    <t>Saldo de Años Anteriores</t>
  </si>
  <si>
    <t>321</t>
  </si>
  <si>
    <t>Saldo de Caja y Bancos</t>
  </si>
  <si>
    <t>32102</t>
  </si>
  <si>
    <t>Saldo Inicial en caja y bancos</t>
  </si>
  <si>
    <t>32202</t>
  </si>
  <si>
    <t>Cuentas por cobrar de años anteriores</t>
  </si>
  <si>
    <t>(14) TOTAL INGRESOS</t>
  </si>
  <si>
    <t>INSUMOS BASICOS:</t>
  </si>
  <si>
    <t>1. BASE DE GENERACION DE AVISOS DE CONTRIBUYENTES</t>
  </si>
  <si>
    <t>2. HISTORIAL DE RECUPERACION DE MOROSIDAD</t>
  </si>
  <si>
    <t>3. HISTORIAL DE SALDOS BANCARIOS</t>
  </si>
  <si>
    <t>4. TRANSFERENCIAS GOES</t>
  </si>
  <si>
    <t>5. INFORME DE CREDITOS SOLICITADOS</t>
  </si>
  <si>
    <t>6. DONACIONES</t>
  </si>
  <si>
    <t>PRESUPUESTO MUNICIPAL 2018</t>
  </si>
  <si>
    <t>FODES 25% -GASTOS DE FUNCIONAMIENTO</t>
  </si>
  <si>
    <t>INSAFORP</t>
  </si>
  <si>
    <t>N°</t>
  </si>
  <si>
    <t>NOMBRE</t>
  </si>
  <si>
    <t>CARGO</t>
  </si>
  <si>
    <t>SALARIO</t>
  </si>
  <si>
    <t>Aumentos</t>
  </si>
  <si>
    <t xml:space="preserve">Total con Aumento </t>
  </si>
  <si>
    <t>Total Anual</t>
  </si>
  <si>
    <t>Aguinaldo</t>
  </si>
  <si>
    <t>ISSS Patronal</t>
  </si>
  <si>
    <t>AFP´s</t>
  </si>
  <si>
    <t>INPEP</t>
  </si>
  <si>
    <t>Total de Cuotas Patronales</t>
  </si>
  <si>
    <t>Patronal anual</t>
  </si>
  <si>
    <t>Total Sueldo y Cuotas Pat.</t>
  </si>
  <si>
    <t>MODALIDAD</t>
  </si>
  <si>
    <t>Manuel Antonio Vasquez Blanco</t>
  </si>
  <si>
    <t>Alcalde Municipal</t>
  </si>
  <si>
    <t>Mauricio Antonio Zambrano Campos</t>
  </si>
  <si>
    <t>Síndico Municipal</t>
  </si>
  <si>
    <t>Salarios</t>
  </si>
  <si>
    <t>Cristian Omar Amaya Medrano</t>
  </si>
  <si>
    <t>Secretario Municipal</t>
  </si>
  <si>
    <t>Ley de Salarios</t>
  </si>
  <si>
    <t>LINEA DE TRABAJO 0101</t>
  </si>
  <si>
    <t xml:space="preserve">Edwin Elias Sorto Guzmán </t>
  </si>
  <si>
    <t>Gertrudis Concepción Olmos de Espinoza</t>
  </si>
  <si>
    <t>Auxiliar de Tesorería</t>
  </si>
  <si>
    <t xml:space="preserve">Yuri Alvida Guandique Hernandez </t>
  </si>
  <si>
    <t>Caridad del Carmen Parada de Pérez</t>
  </si>
  <si>
    <t>Colectora</t>
  </si>
  <si>
    <t>Hugo Rolando Arias Gómez</t>
  </si>
  <si>
    <t>Contador Municipal</t>
  </si>
  <si>
    <t>Ciro Dionisio Machado Umaña</t>
  </si>
  <si>
    <t>Auxiliar de Contabiliad</t>
  </si>
  <si>
    <t>Zulma Patricia Fuentes Ríos</t>
  </si>
  <si>
    <t>Auxiliar de la UATM</t>
  </si>
  <si>
    <t>Ángel Gabriel Berríos Rivas</t>
  </si>
  <si>
    <t>Fidel Omar García Campos</t>
  </si>
  <si>
    <t>Jefe UACI</t>
  </si>
  <si>
    <t>Ana Luisa Miramontes</t>
  </si>
  <si>
    <t>Auxiliar de UACI</t>
  </si>
  <si>
    <t>Angel Eduardo Reyes Nuila</t>
  </si>
  <si>
    <t>Técnico Administrativo UACI</t>
  </si>
  <si>
    <t>Mafredis Menjivar Gonzalez</t>
  </si>
  <si>
    <t xml:space="preserve">Contrato </t>
  </si>
  <si>
    <t>Delmy Aracely Ramos de Granados</t>
  </si>
  <si>
    <t>Auditora Interna</t>
  </si>
  <si>
    <t>Contrato Servicios Profesionales</t>
  </si>
  <si>
    <t>Reina Patricia Salgado Mejia</t>
  </si>
  <si>
    <t>Secretaria del Despacho Municipal</t>
  </si>
  <si>
    <t>LINEA DE TRABAJO 0102</t>
  </si>
  <si>
    <t>Brendis Lisseth Del Cid de Herrera</t>
  </si>
  <si>
    <t>Jefe del REF</t>
  </si>
  <si>
    <t>Evangelina Lemus Mendoza</t>
  </si>
  <si>
    <t>Auxiliar del REF</t>
  </si>
  <si>
    <t>Marvín Yomar Henríquez Rodas</t>
  </si>
  <si>
    <t>Sandra Yanira García de Campos</t>
  </si>
  <si>
    <t>Brenda Vanessa Guerrero Romero</t>
  </si>
  <si>
    <t>LINEA DE TRABAJO 0201</t>
  </si>
  <si>
    <t>Francisco Javier Amaya Quinteros</t>
  </si>
  <si>
    <t>Encargado de la Unidad de Juventud y Deporte</t>
  </si>
  <si>
    <t>Jose Eliodoro Portillo Lara</t>
  </si>
  <si>
    <t>Aux. de Unidad de la Juventud y Deporte</t>
  </si>
  <si>
    <t>Fredi Balmoris Herrera Álvarez</t>
  </si>
  <si>
    <t>María Isabel Penado Bonilla</t>
  </si>
  <si>
    <t>Encargada de Tiangue</t>
  </si>
  <si>
    <t>Flor Marisol Ramos Alvarez</t>
  </si>
  <si>
    <t>Ordenanza</t>
  </si>
  <si>
    <t>Atilio Vásquez</t>
  </si>
  <si>
    <t>José Sebastian Alvarez Orellana</t>
  </si>
  <si>
    <t xml:space="preserve">motorista ambulancia </t>
  </si>
  <si>
    <t>José Ricardo Torres</t>
  </si>
  <si>
    <t>motorista</t>
  </si>
  <si>
    <t>Vilma Haydee Rodriguez</t>
  </si>
  <si>
    <t>Recepcionista</t>
  </si>
  <si>
    <t>Auxiliar de Desarrollo comunal</t>
  </si>
  <si>
    <t>LINEA DE TRABAJO 0202</t>
  </si>
  <si>
    <t>TOTAL DE PERMANENTES</t>
  </si>
  <si>
    <t>Anual</t>
  </si>
  <si>
    <t>PERSONAL DE PROYECTOS Y POR CONTRATO</t>
  </si>
  <si>
    <t>Guadalupe Coreas de Solis</t>
  </si>
  <si>
    <t>Juan Antonio Ramos Lemus</t>
  </si>
  <si>
    <t>Carmen Coreas Vásquez</t>
  </si>
  <si>
    <t>Ecargada de mantto. De mercado provisional</t>
  </si>
  <si>
    <t>Balmore Antonio Castro Rivas</t>
  </si>
  <si>
    <t>Mantenimiento Estadio C. Moon</t>
  </si>
  <si>
    <t>Antonio Romero Arevalo</t>
  </si>
  <si>
    <t>Vigilante del Mercado</t>
  </si>
  <si>
    <t xml:space="preserve">Felix Angel Henriquez Ramos </t>
  </si>
  <si>
    <t>Encargado de baños Públicos, Sector Oriente del Malecón, en el Cuco</t>
  </si>
  <si>
    <t>Leonidas Cruz</t>
  </si>
  <si>
    <t>Encargado de limpieza y ornato en el Malecom</t>
  </si>
  <si>
    <t>Santos Luis Romero</t>
  </si>
  <si>
    <t>Encargado de Mantenimiento de Parque y Malecón</t>
  </si>
  <si>
    <t>Ismelda Carolina Sandoval de Berríos</t>
  </si>
  <si>
    <t>Encargada de Baños Públicos, Sector Oriente del Malecón, en el Cuco</t>
  </si>
  <si>
    <t>Amílcar Antonio Pineda Fuentes</t>
  </si>
  <si>
    <t>Vigilante del Parque Municipal</t>
  </si>
  <si>
    <t>Juan Rivera Arias</t>
  </si>
  <si>
    <t>Auxiliar de Mantenimiento del Parque Municipal</t>
  </si>
  <si>
    <t>Total Proyecto de Mantenimiento de Sitios Publicos</t>
  </si>
  <si>
    <t>José Felipe Ramos</t>
  </si>
  <si>
    <t>Barrendero</t>
  </si>
  <si>
    <t>Fernando Castillo Galeas</t>
  </si>
  <si>
    <t>Motorista</t>
  </si>
  <si>
    <t>José Mario Méndez Amaya</t>
  </si>
  <si>
    <t>José Rafael Viera Díaz</t>
  </si>
  <si>
    <t>Noel Alexander Ventura Ayala</t>
  </si>
  <si>
    <t>Julio César Esquivel Vaquerano</t>
  </si>
  <si>
    <t>Barrendero Plaza Pública</t>
  </si>
  <si>
    <t>Ever Mauricio Díaz</t>
  </si>
  <si>
    <t>Barrendero Col. Las Flores.</t>
  </si>
  <si>
    <t>Jose David Diaz Morales</t>
  </si>
  <si>
    <t>barrendero</t>
  </si>
  <si>
    <t>José Eduardo Ortega</t>
  </si>
  <si>
    <t>Matto. Pta. TTMTO.</t>
  </si>
  <si>
    <t>Lucas Contreras Pérez</t>
  </si>
  <si>
    <t>Auxiliar Planta Col. F</t>
  </si>
  <si>
    <t>Mauro Edenilson Sorto Henriquez</t>
  </si>
  <si>
    <t>Santos Virgilio Rivas Portillo</t>
  </si>
  <si>
    <t>Cargador</t>
  </si>
  <si>
    <t>Roberto Antonio Berrios Torres</t>
  </si>
  <si>
    <t>Cargadores de Camion recolectar</t>
  </si>
  <si>
    <t>Cristino Molina Fuentes</t>
  </si>
  <si>
    <t>Barrendero en cuco</t>
  </si>
  <si>
    <t>Raúl Tobar</t>
  </si>
  <si>
    <t>Barrendero en Cuco</t>
  </si>
  <si>
    <t>Elias Carcamo</t>
  </si>
  <si>
    <t>Total de Proyecto Aseo y Recoleccion de Desechos</t>
  </si>
  <si>
    <t>Edgar David Saravia Hernandez</t>
  </si>
  <si>
    <t>Santos Pablo Rodríguez Bonilla</t>
  </si>
  <si>
    <t>Electricista</t>
  </si>
  <si>
    <t>Aux. Electricista</t>
  </si>
  <si>
    <t>Total Proyecto Electrico</t>
  </si>
  <si>
    <t>Rosa Emerita Quintanilla Guardado</t>
  </si>
  <si>
    <t>Juridico</t>
  </si>
  <si>
    <t>Promotor de Alfabetización</t>
  </si>
  <si>
    <t>Total Alfabetizacion y Juridico</t>
  </si>
  <si>
    <t>Otros no contemplados en FP como sueldos</t>
  </si>
  <si>
    <t>Sueldos  fondos propios y 25%</t>
  </si>
  <si>
    <t>Patronal ISSS</t>
  </si>
  <si>
    <t>Patronal AFP</t>
  </si>
  <si>
    <t>Patronal INPEP</t>
  </si>
  <si>
    <t>Aporte INSAFORP</t>
  </si>
  <si>
    <t>ISSS Proyectos y otros</t>
  </si>
  <si>
    <t xml:space="preserve">AFP Proyectos y otros </t>
  </si>
  <si>
    <t>Aguinaldos de otros x proy.</t>
  </si>
  <si>
    <t>Lilian Vasquez</t>
  </si>
  <si>
    <t>PERSONAL EVENTUAL</t>
  </si>
  <si>
    <t>Presupuesto</t>
  </si>
  <si>
    <t xml:space="preserve">cantidad </t>
  </si>
  <si>
    <t>Salvavidas fin de semana</t>
  </si>
  <si>
    <t>Salvalvidas VACACIONES DE MARZO</t>
  </si>
  <si>
    <t>Salvavidas VACACIONES DE AGOSTO</t>
  </si>
  <si>
    <t>Salvavidas VACACIONES DE DICIEMBRE</t>
  </si>
  <si>
    <t>Barrenderos vacaciones marzo, agosto y diciembre</t>
  </si>
  <si>
    <t>Atencion del Estadio en fin de semana</t>
  </si>
  <si>
    <t>1 Motorista de Camion Cisterna (medio tiempo)</t>
  </si>
  <si>
    <t>1 Motorista de Camion Hiunday (medio tiempo)</t>
  </si>
  <si>
    <t xml:space="preserve">Barrenderos eventuales </t>
  </si>
  <si>
    <t>Aseo</t>
  </si>
  <si>
    <t>NOTAS</t>
  </si>
  <si>
    <t>PROYECTO DE UNIDAD AGROPECUARIA, QUE incluiria sueldos, actividades y compra de insumos agropecuarios</t>
  </si>
  <si>
    <t xml:space="preserve">PROYECTO DE CONVIVENCIA Y PREVENCION DE LA VIOLENCIA, DEPORTES, …..(Escuela de futbol) </t>
  </si>
  <si>
    <t>PROYECTO DE ASEO, RECOLECCION, TRANSPORTE Y DISPOSICIÓN FINAL DE DESECHOS SOLIDOS (De Enero a Septiembre 2016)</t>
  </si>
  <si>
    <t>PROYECTO DE AMPLIACION, REPARACION Y MANTENIMIENTO DE ALUMBRADO PUBLICO</t>
  </si>
  <si>
    <t>PROYECTO DE REPARACION Y MANTENIMIENTO DE CALLES URBANAS Y CAMINOS VECINALES</t>
  </si>
  <si>
    <t>PROYECTO DE MANTENIMIENTO DE MAQUINARIA, VEHICULOS Y CORTADORAS DE GRAMA</t>
  </si>
  <si>
    <t>PROYECTO DE MANTENIMIENTO Y REPARACION DE SITIOS PUBLICOS (PARQUES, PLAZAS, ……)</t>
  </si>
  <si>
    <t>PROYECTO DE OBRAS DIVERSAS</t>
  </si>
  <si>
    <t>APERTURAR CUENTAS DE PREINVERSION</t>
  </si>
  <si>
    <t>Tesorera Municipal</t>
  </si>
  <si>
    <t>Luis Ernesto Sorto Lemus</t>
  </si>
  <si>
    <t>Grissel Lisbeth Vásquez Chicas</t>
  </si>
  <si>
    <t>Oficial de Acceso a la Informacion Publica</t>
  </si>
  <si>
    <t>Encargado de Comunciaciones</t>
  </si>
  <si>
    <t xml:space="preserve">Oscar Armando Velasquez Quinteros </t>
  </si>
  <si>
    <t>Martha Yesenia Berríos Santos</t>
  </si>
  <si>
    <t>Tatiana Marisol Cisneros</t>
  </si>
  <si>
    <t>Jaime Abraham Meléndez Sorto</t>
  </si>
  <si>
    <t>Encargado de la Unidad de Desarrollo Comunal</t>
  </si>
  <si>
    <t>Darwin Odil Lovo</t>
  </si>
  <si>
    <t>Sandy Maribi Cruz</t>
  </si>
  <si>
    <t>Encargada de Mantto. De casa de la juventud y museo municipal</t>
  </si>
  <si>
    <t>Encargado de Cementerio</t>
  </si>
  <si>
    <t>Encargada de Baños Públicos de parque municipal</t>
  </si>
  <si>
    <t>Julian Alexander Portillo García</t>
  </si>
  <si>
    <t>Olga Mely Acosta Rivera</t>
  </si>
  <si>
    <t>Jefe de UATM</t>
  </si>
  <si>
    <t>Encargda de UGDA</t>
  </si>
  <si>
    <t>A PERSONAS NATURALES</t>
  </si>
  <si>
    <t>ARRENDAMIENTO DE BIENES INMUEBLES</t>
  </si>
  <si>
    <t>SUELDOS POR CONTRATO</t>
  </si>
  <si>
    <t>0501 Amort. Endeu. Púb.</t>
  </si>
  <si>
    <t>0305 Préstamos</t>
  </si>
  <si>
    <t>0401 Proy. Des. Econ.</t>
  </si>
  <si>
    <t>0302 Proy. Des. Social</t>
  </si>
  <si>
    <t>0301 Preinversión</t>
  </si>
  <si>
    <t>CONDUC. ADMINISTRAR (AG 1)</t>
  </si>
  <si>
    <t>SUB TOTAL</t>
  </si>
  <si>
    <t>(AG5)</t>
  </si>
  <si>
    <t>AG3</t>
  </si>
  <si>
    <t>AG 4</t>
  </si>
  <si>
    <t>Deuda Púb.</t>
  </si>
  <si>
    <t>Des. Social</t>
  </si>
  <si>
    <t>Des. Econom.</t>
  </si>
  <si>
    <t>GRAN</t>
  </si>
  <si>
    <t>FODES 75%</t>
  </si>
  <si>
    <t>FUENTE DE FINANCIAMIENTO 2 (FF29</t>
  </si>
  <si>
    <t>Jose Flores Pineda</t>
  </si>
  <si>
    <t>Maquinaria y Equipo</t>
  </si>
  <si>
    <t>Compra de una Pipa</t>
  </si>
  <si>
    <t>Compra de una Retroexcabadora</t>
  </si>
  <si>
    <t>Vial</t>
  </si>
  <si>
    <t>Concreteado de calle en Barrio los Pozos</t>
  </si>
  <si>
    <t>Infraestructura</t>
  </si>
  <si>
    <t>Ampliacion de Alcaldia Municipal</t>
  </si>
  <si>
    <t>Salud y saneamiento Ambiental</t>
  </si>
  <si>
    <t>Mejoramiento de red de agua potable en Barrio El Caimito y Colonia Nueva</t>
  </si>
  <si>
    <t>Sector Urbano</t>
  </si>
  <si>
    <t>De Educacion y Recreacion</t>
  </si>
  <si>
    <t>Adecauacion de cancha de Futbol en Caserio Olommeguita</t>
  </si>
  <si>
    <t>Concreteados de tramos de calles</t>
  </si>
  <si>
    <t>Canton La Estrechura</t>
  </si>
  <si>
    <t>Empedrado de calle principal de Colonia Santa Maria</t>
  </si>
  <si>
    <t xml:space="preserve">Mejoramiento de tramos de calles </t>
  </si>
  <si>
    <t>Canton Tierra Blanca</t>
  </si>
  <si>
    <t>Concreteado de tramo de calle en canton Nueva Concepcion</t>
  </si>
  <si>
    <t>Concreteado en calle de Caserio el Salto y la Cumbre</t>
  </si>
  <si>
    <t xml:space="preserve">compra de terreno para Construccion de casa Comunal </t>
  </si>
  <si>
    <t>Canton San Pedro</t>
  </si>
  <si>
    <t>Construccion de Baden en San Diego</t>
  </si>
  <si>
    <t>Concreteado de entrada hacia el Caserio El Rucio</t>
  </si>
  <si>
    <t>Construccion de galeras en los Desvios</t>
  </si>
  <si>
    <t>Concreteado de tramo de calle en Caserio Zapatagua</t>
  </si>
  <si>
    <t>Canton Gualoso</t>
  </si>
  <si>
    <t>Concreteado de tramo de calle en caserio la Cribe</t>
  </si>
  <si>
    <t>Concreteado de tramo de calle que conduce al Canton Gudalupe</t>
  </si>
  <si>
    <t>Canton Guadalupe</t>
  </si>
  <si>
    <t>Reparacion de bodega del Centro Escolar Casero El Castaño</t>
  </si>
  <si>
    <t>Construccion de tanque el Caserio el Castaño</t>
  </si>
  <si>
    <t xml:space="preserve">empedrado seco </t>
  </si>
  <si>
    <t>Perforacion de pozo en el Canton el Capulin</t>
  </si>
  <si>
    <t xml:space="preserve">Canton El Capulin </t>
  </si>
  <si>
    <t>Concreteado de calle que conduce al tanque de agua potable en caserio la Ceiba</t>
  </si>
  <si>
    <t>Concreteado de calle que conduce a caserio Palo Blanco</t>
  </si>
  <si>
    <t>Construccion de casa Comunal en Caserio El Chilar</t>
  </si>
  <si>
    <t>Construccion de paque Central en Canton Chilanguera</t>
  </si>
  <si>
    <t>Perforacion de pozo en Caserio Valle Nuevo</t>
  </si>
  <si>
    <t>Canton Chilanguera</t>
  </si>
  <si>
    <t>Mejoramiento de calle  en Hacienda San Roman</t>
  </si>
  <si>
    <t>Perforacion de Pozo en Caserio El Cancho</t>
  </si>
  <si>
    <t xml:space="preserve">Infraestructura </t>
  </si>
  <si>
    <t xml:space="preserve">Construcion de parque en colinia La Española </t>
  </si>
  <si>
    <t>Equipamiento de pozo en caserio Conchaguita para agua potable</t>
  </si>
  <si>
    <t>canton El Cuco</t>
  </si>
  <si>
    <t>Monto</t>
  </si>
  <si>
    <t>Rubro</t>
  </si>
  <si>
    <t>Nombre del proyecto</t>
  </si>
  <si>
    <t>Promedio 3 años +</t>
  </si>
  <si>
    <t>Pedro Crespo</t>
  </si>
  <si>
    <t>Postes Torres y Antenas</t>
  </si>
  <si>
    <t>sumatoria 3 años</t>
  </si>
  <si>
    <t>promedio 3 años</t>
  </si>
  <si>
    <t>Encargada de Turismo</t>
  </si>
  <si>
    <t>Encargado de Unidad Medio Ambiente</t>
  </si>
  <si>
    <t>Auxiliar de Unidad de Genero</t>
  </si>
  <si>
    <t>Auxiliar Unidad de Medio Ambiente</t>
  </si>
  <si>
    <t>Chacho</t>
  </si>
  <si>
    <t>Encargado de Planta Col. Flores</t>
  </si>
  <si>
    <t>Barendero</t>
  </si>
  <si>
    <t>Gestion de proyectos</t>
  </si>
  <si>
    <t>José Sorto</t>
  </si>
  <si>
    <t>Tecnicos Escuela de Futbol (eventuales)</t>
  </si>
  <si>
    <t>DETALLE DE PERSONAL, CARGOS Y SALARIOS    2020</t>
  </si>
  <si>
    <t>PERSONAL PROYECTO DE SITIOS PUBLICOS</t>
  </si>
  <si>
    <t>Proyecto Electrico</t>
  </si>
  <si>
    <t xml:space="preserve">Contrato por servicios profesionales </t>
  </si>
  <si>
    <t>Proyecto de Juventud</t>
  </si>
  <si>
    <t>Pasantilla</t>
  </si>
  <si>
    <t>Proyecto Aseo y Recoleccion de Desechos Solidos</t>
  </si>
  <si>
    <t>Total FODES 25%</t>
  </si>
  <si>
    <t>Total Fondo Municipal</t>
  </si>
  <si>
    <t>Jefe de la Unidad de Genero</t>
  </si>
  <si>
    <t>Encargada de UNA</t>
  </si>
  <si>
    <t>REMUNERACIONES A CONCEJALES</t>
  </si>
  <si>
    <t>11 miembros del Concejo</t>
  </si>
  <si>
    <t>1 miembro del concejo</t>
  </si>
  <si>
    <t>Total de reumuneraciones al Concejo</t>
  </si>
  <si>
    <t xml:space="preserve">Totales </t>
  </si>
  <si>
    <t>Total Sueldos y Salarios</t>
  </si>
  <si>
    <t>VIATICOS POR COMISION EXTERNA</t>
  </si>
  <si>
    <t>.</t>
  </si>
  <si>
    <t>PRESUPUESTO MUNICIPAL 2020</t>
  </si>
  <si>
    <t>FORMULACIÓN DEL PRESUPUESTO MUNICIPAL DE INGRESOS 2020</t>
  </si>
  <si>
    <t>este servicio no se presta</t>
  </si>
  <si>
    <t>Otras multas municipales</t>
  </si>
  <si>
    <t xml:space="preserve">Este rubro no se da </t>
  </si>
  <si>
    <t>se deben quitar los 3688.84 para calcular promedio real, ya que este monto es iungreso extraordinario</t>
  </si>
  <si>
    <t>disminuir por las ordennzas de excension de intereses y multas</t>
  </si>
  <si>
    <t>15401</t>
  </si>
  <si>
    <t>15314</t>
  </si>
  <si>
    <t>PRESUPUESTO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</si>
</sst>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$-440A]* #,##0.00_-;\-[$$-440A]* #,##0.00_-;_-[$$-440A]* &quot;-&quot;??_-;_-@_-"/>
    <numFmt numFmtId="167" formatCode="_ [$$-300A]* #,##0.00_ ;_ [$$-300A]* \-#,##0.00_ ;_ [$$-300A]* &quot;-&quot;??_ ;_ @_ "/>
    <numFmt numFmtId="168" formatCode="_(&quot;$&quot;\ * #,##0.00_);_(&quot;$&quot;\ * \(#,##0.00\);_(&quot;$&quot;\ * &quot;-&quot;??_);_(@_)"/>
    <numFmt numFmtId="169" formatCode="_-[$$-540A]* #,##0.00_ ;_-[$$-540A]* \-#,##0.00\ ;_-[$$-540A]* &quot;-&quot;??_ ;_-@_ "/>
    <numFmt numFmtId="170" formatCode="&quot;$&quot;#,##0.00"/>
    <numFmt numFmtId="171" formatCode="_-* #,##0.00\ _€_-;\-* #,##0.00\ _€_-;_-* &quot;-&quot;??\ _€_-;_-@_-"/>
    <numFmt numFmtId="172" formatCode="0.0%"/>
  </numFmts>
  <fonts count="3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rgb="FFFF000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name val="Arial Narrow"/>
      <family val="2"/>
    </font>
    <font>
      <b/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Trellis">
        <fgColor indexed="22"/>
        <bgColor indexed="36"/>
      </patternFill>
    </fill>
    <fill>
      <patternFill patternType="lightTrellis">
        <fgColor indexed="22"/>
        <bgColor indexed="29"/>
      </patternFill>
    </fill>
    <fill>
      <patternFill patternType="gray125">
        <fgColor indexed="22"/>
        <bgColor indexed="42"/>
      </patternFill>
    </fill>
    <fill>
      <patternFill patternType="gray125">
        <fgColor indexed="22"/>
        <bgColor indexed="44"/>
      </patternFill>
    </fill>
    <fill>
      <patternFill patternType="gray125">
        <fgColor indexed="22"/>
        <bgColor indexed="13"/>
      </patternFill>
    </fill>
    <fill>
      <patternFill patternType="gray125">
        <fgColor indexed="22"/>
        <bgColor indexed="53"/>
      </patternFill>
    </fill>
    <fill>
      <patternFill patternType="gray125">
        <fgColor indexed="22"/>
        <bgColor indexed="43"/>
      </patternFill>
    </fill>
    <fill>
      <patternFill patternType="gray125">
        <fgColor indexed="22"/>
        <bgColor indexed="49"/>
      </patternFill>
    </fill>
    <fill>
      <patternFill patternType="gray125">
        <fgColor indexed="22"/>
        <bgColor indexed="27"/>
      </patternFill>
    </fill>
    <fill>
      <patternFill patternType="gray125">
        <fgColor indexed="22"/>
        <bgColor indexed="31"/>
      </patternFill>
    </fill>
    <fill>
      <patternFill patternType="gray125">
        <fgColor indexed="22"/>
        <bgColor indexed="17"/>
      </patternFill>
    </fill>
    <fill>
      <patternFill patternType="gray125">
        <fgColor indexed="22"/>
        <bgColor indexed="52"/>
      </patternFill>
    </fill>
    <fill>
      <patternFill patternType="lightTrellis">
        <fgColor indexed="22"/>
        <bgColor theme="0"/>
      </patternFill>
    </fill>
    <fill>
      <patternFill patternType="gray125">
        <fgColor indexed="22"/>
        <bgColor theme="0"/>
      </patternFill>
    </fill>
    <fill>
      <patternFill patternType="solid">
        <fgColor indexed="65"/>
        <bgColor indexed="2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DC3F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0" fontId="1" fillId="0" borderId="0"/>
    <xf numFmtId="165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591">
    <xf numFmtId="0" fontId="0" fillId="0" borderId="0" xfId="0"/>
    <xf numFmtId="0" fontId="1" fillId="0" borderId="0" xfId="1" applyFont="1"/>
    <xf numFmtId="0" fontId="1" fillId="0" borderId="0" xfId="1" applyFont="1" applyAlignment="1">
      <alignment horizontal="center"/>
    </xf>
    <xf numFmtId="44" fontId="1" fillId="0" borderId="0" xfId="3" applyFont="1"/>
    <xf numFmtId="164" fontId="10" fillId="9" borderId="25" xfId="0" applyNumberFormat="1" applyFont="1" applyFill="1" applyBorder="1"/>
    <xf numFmtId="164" fontId="10" fillId="9" borderId="26" xfId="0" applyNumberFormat="1" applyFont="1" applyFill="1" applyBorder="1"/>
    <xf numFmtId="0" fontId="16" fillId="0" borderId="25" xfId="0" applyFont="1" applyBorder="1" applyAlignment="1">
      <alignment horizontal="left"/>
    </xf>
    <xf numFmtId="164" fontId="16" fillId="0" borderId="25" xfId="0" applyNumberFormat="1" applyFont="1" applyBorder="1" applyAlignment="1">
      <alignment horizontal="left"/>
    </xf>
    <xf numFmtId="0" fontId="16" fillId="0" borderId="25" xfId="0" applyFont="1" applyBorder="1" applyAlignment="1">
      <alignment horizontal="left" wrapText="1"/>
    </xf>
    <xf numFmtId="166" fontId="16" fillId="0" borderId="25" xfId="0" applyNumberFormat="1" applyFont="1" applyBorder="1" applyAlignment="1">
      <alignment horizontal="left"/>
    </xf>
    <xf numFmtId="166" fontId="15" fillId="0" borderId="25" xfId="0" applyNumberFormat="1" applyFont="1" applyBorder="1"/>
    <xf numFmtId="166" fontId="15" fillId="0" borderId="0" xfId="1" applyNumberFormat="1" applyFont="1"/>
    <xf numFmtId="166" fontId="15" fillId="0" borderId="25" xfId="4" applyNumberFormat="1" applyFont="1" applyBorder="1"/>
    <xf numFmtId="166" fontId="14" fillId="0" borderId="25" xfId="0" applyNumberFormat="1" applyFont="1" applyBorder="1"/>
    <xf numFmtId="164" fontId="16" fillId="0" borderId="25" xfId="4" applyFont="1" applyBorder="1" applyAlignment="1">
      <alignment horizontal="left"/>
    </xf>
    <xf numFmtId="0" fontId="17" fillId="0" borderId="25" xfId="0" applyFont="1" applyBorder="1" applyAlignment="1">
      <alignment horizontal="left"/>
    </xf>
    <xf numFmtId="0" fontId="17" fillId="0" borderId="25" xfId="0" applyFont="1" applyBorder="1" applyAlignment="1">
      <alignment horizontal="left" wrapText="1"/>
    </xf>
    <xf numFmtId="164" fontId="17" fillId="0" borderId="25" xfId="4" applyFont="1" applyBorder="1" applyAlignment="1">
      <alignment horizontal="left"/>
    </xf>
    <xf numFmtId="164" fontId="17" fillId="0" borderId="25" xfId="0" applyNumberFormat="1" applyFont="1" applyBorder="1" applyAlignment="1">
      <alignment horizontal="left"/>
    </xf>
    <xf numFmtId="0" fontId="2" fillId="0" borderId="0" xfId="1" applyFont="1"/>
    <xf numFmtId="49" fontId="2" fillId="7" borderId="25" xfId="1" applyNumberFormat="1" applyFont="1" applyFill="1" applyBorder="1" applyAlignment="1">
      <alignment horizontal="left"/>
    </xf>
    <xf numFmtId="0" fontId="5" fillId="7" borderId="25" xfId="1" applyFont="1" applyFill="1" applyBorder="1" applyAlignment="1">
      <alignment vertical="center"/>
    </xf>
    <xf numFmtId="166" fontId="5" fillId="5" borderId="25" xfId="1" applyNumberFormat="1" applyFont="1" applyFill="1" applyBorder="1" applyAlignment="1">
      <alignment vertical="center" wrapText="1"/>
    </xf>
    <xf numFmtId="4" fontId="5" fillId="7" borderId="25" xfId="1" applyNumberFormat="1" applyFont="1" applyFill="1" applyBorder="1" applyAlignment="1">
      <alignment horizontal="right" vertical="center"/>
    </xf>
    <xf numFmtId="49" fontId="2" fillId="8" borderId="25" xfId="1" applyNumberFormat="1" applyFont="1" applyFill="1" applyBorder="1" applyAlignment="1">
      <alignment horizontal="left"/>
    </xf>
    <xf numFmtId="0" fontId="5" fillId="8" borderId="25" xfId="1" applyFont="1" applyFill="1" applyBorder="1" applyAlignment="1">
      <alignment vertical="center"/>
    </xf>
    <xf numFmtId="166" fontId="5" fillId="8" borderId="25" xfId="1" applyNumberFormat="1" applyFont="1" applyFill="1" applyBorder="1" applyAlignment="1">
      <alignment vertical="center"/>
    </xf>
    <xf numFmtId="4" fontId="5" fillId="8" borderId="25" xfId="1" applyNumberFormat="1" applyFont="1" applyFill="1" applyBorder="1" applyAlignment="1">
      <alignment horizontal="right" vertical="center"/>
    </xf>
    <xf numFmtId="0" fontId="3" fillId="0" borderId="25" xfId="1" applyFont="1" applyFill="1" applyBorder="1" applyAlignment="1">
      <alignment horizontal="left" vertical="center" wrapText="1"/>
    </xf>
    <xf numFmtId="0" fontId="4" fillId="0" borderId="25" xfId="1" applyFont="1" applyBorder="1" applyAlignment="1">
      <alignment vertical="center"/>
    </xf>
    <xf numFmtId="166" fontId="4" fillId="8" borderId="25" xfId="1" applyNumberFormat="1" applyFont="1" applyFill="1" applyBorder="1" applyAlignment="1">
      <alignment vertical="center"/>
    </xf>
    <xf numFmtId="4" fontId="4" fillId="0" borderId="25" xfId="1" applyNumberFormat="1" applyFont="1" applyBorder="1" applyAlignment="1">
      <alignment horizontal="right" vertical="center"/>
    </xf>
    <xf numFmtId="4" fontId="4" fillId="9" borderId="25" xfId="1" applyNumberFormat="1" applyFont="1" applyFill="1" applyBorder="1" applyAlignment="1">
      <alignment horizontal="right" vertical="center"/>
    </xf>
    <xf numFmtId="165" fontId="4" fillId="0" borderId="25" xfId="2" applyFont="1" applyBorder="1" applyAlignment="1">
      <alignment horizontal="right" vertical="center"/>
    </xf>
    <xf numFmtId="166" fontId="4" fillId="0" borderId="25" xfId="1" applyNumberFormat="1" applyFont="1" applyBorder="1" applyAlignment="1">
      <alignment vertical="center"/>
    </xf>
    <xf numFmtId="49" fontId="3" fillId="2" borderId="25" xfId="1" applyNumberFormat="1" applyFont="1" applyFill="1" applyBorder="1" applyAlignment="1">
      <alignment horizontal="left"/>
    </xf>
    <xf numFmtId="165" fontId="4" fillId="6" borderId="25" xfId="2" applyFont="1" applyFill="1" applyBorder="1" applyAlignment="1">
      <alignment horizontal="right" vertical="center"/>
    </xf>
    <xf numFmtId="166" fontId="15" fillId="0" borderId="25" xfId="1" applyNumberFormat="1" applyFont="1" applyBorder="1"/>
    <xf numFmtId="166" fontId="5" fillId="7" borderId="25" xfId="1" applyNumberFormat="1" applyFont="1" applyFill="1" applyBorder="1" applyAlignment="1">
      <alignment vertical="center"/>
    </xf>
    <xf numFmtId="49" fontId="14" fillId="8" borderId="25" xfId="1" applyNumberFormat="1" applyFont="1" applyFill="1" applyBorder="1" applyAlignment="1">
      <alignment horizontal="left"/>
    </xf>
    <xf numFmtId="0" fontId="17" fillId="8" borderId="25" xfId="1" applyFont="1" applyFill="1" applyBorder="1" applyAlignment="1">
      <alignment vertical="center"/>
    </xf>
    <xf numFmtId="166" fontId="17" fillId="8" borderId="25" xfId="1" applyNumberFormat="1" applyFont="1" applyFill="1" applyBorder="1" applyAlignment="1">
      <alignment vertical="center"/>
    </xf>
    <xf numFmtId="4" fontId="17" fillId="8" borderId="25" xfId="1" applyNumberFormat="1" applyFont="1" applyFill="1" applyBorder="1" applyAlignment="1">
      <alignment horizontal="right" vertical="center"/>
    </xf>
    <xf numFmtId="4" fontId="7" fillId="7" borderId="25" xfId="1" applyNumberFormat="1" applyFont="1" applyFill="1" applyBorder="1" applyAlignment="1">
      <alignment horizontal="right" vertical="center"/>
    </xf>
    <xf numFmtId="4" fontId="18" fillId="7" borderId="25" xfId="1" applyNumberFormat="1" applyFont="1" applyFill="1" applyBorder="1" applyAlignment="1">
      <alignment horizontal="right" vertical="center"/>
    </xf>
    <xf numFmtId="4" fontId="5" fillId="0" borderId="25" xfId="1" applyNumberFormat="1" applyFont="1" applyBorder="1" applyAlignment="1">
      <alignment horizontal="right" vertical="center"/>
    </xf>
    <xf numFmtId="4" fontId="19" fillId="0" borderId="0" xfId="1" applyNumberFormat="1" applyFont="1"/>
    <xf numFmtId="167" fontId="17" fillId="9" borderId="25" xfId="5" applyNumberFormat="1" applyFont="1" applyFill="1" applyBorder="1" applyAlignment="1">
      <alignment horizontal="left" vertical="center"/>
    </xf>
    <xf numFmtId="166" fontId="5" fillId="4" borderId="25" xfId="1" applyNumberFormat="1" applyFont="1" applyFill="1" applyBorder="1" applyAlignment="1">
      <alignment horizontal="center" vertical="center" wrapText="1"/>
    </xf>
    <xf numFmtId="0" fontId="20" fillId="0" borderId="33" xfId="0" applyFont="1" applyBorder="1" applyAlignment="1">
      <alignment vertical="center" wrapText="1"/>
    </xf>
    <xf numFmtId="0" fontId="21" fillId="0" borderId="33" xfId="0" applyFont="1" applyBorder="1" applyAlignment="1">
      <alignment vertical="center" wrapText="1"/>
    </xf>
    <xf numFmtId="164" fontId="10" fillId="9" borderId="0" xfId="0" applyNumberFormat="1" applyFont="1" applyFill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12" xfId="0" applyBorder="1"/>
    <xf numFmtId="0" fontId="10" fillId="0" borderId="14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9" xfId="0" applyBorder="1"/>
    <xf numFmtId="0" fontId="0" fillId="0" borderId="5" xfId="0" applyBorder="1"/>
    <xf numFmtId="0" fontId="11" fillId="0" borderId="20" xfId="0" applyFont="1" applyBorder="1" applyAlignment="1">
      <alignment wrapText="1"/>
    </xf>
    <xf numFmtId="0" fontId="11" fillId="0" borderId="21" xfId="0" applyFont="1" applyBorder="1" applyAlignment="1">
      <alignment wrapText="1"/>
    </xf>
    <xf numFmtId="0" fontId="12" fillId="0" borderId="25" xfId="0" applyFont="1" applyBorder="1"/>
    <xf numFmtId="164" fontId="10" fillId="0" borderId="25" xfId="0" applyNumberFormat="1" applyFont="1" applyBorder="1"/>
    <xf numFmtId="44" fontId="0" fillId="0" borderId="0" xfId="0" applyNumberFormat="1"/>
    <xf numFmtId="164" fontId="10" fillId="0" borderId="26" xfId="0" applyNumberFormat="1" applyFont="1" applyBorder="1"/>
    <xf numFmtId="0" fontId="11" fillId="0" borderId="25" xfId="0" applyFont="1" applyBorder="1"/>
    <xf numFmtId="164" fontId="0" fillId="0" borderId="25" xfId="0" applyNumberFormat="1" applyBorder="1"/>
    <xf numFmtId="164" fontId="0" fillId="0" borderId="26" xfId="0" applyNumberFormat="1" applyFont="1" applyBorder="1"/>
    <xf numFmtId="164" fontId="0" fillId="0" borderId="26" xfId="0" applyNumberFormat="1" applyBorder="1"/>
    <xf numFmtId="164" fontId="0" fillId="3" borderId="26" xfId="0" applyNumberFormat="1" applyFont="1" applyFill="1" applyBorder="1"/>
    <xf numFmtId="164" fontId="12" fillId="0" borderId="25" xfId="0" applyNumberFormat="1" applyFont="1" applyBorder="1"/>
    <xf numFmtId="164" fontId="12" fillId="0" borderId="26" xfId="0" applyNumberFormat="1" applyFont="1" applyBorder="1"/>
    <xf numFmtId="164" fontId="11" fillId="0" borderId="25" xfId="0" applyNumberFormat="1" applyFont="1" applyBorder="1"/>
    <xf numFmtId="164" fontId="10" fillId="0" borderId="30" xfId="0" applyNumberFormat="1" applyFont="1" applyBorder="1"/>
    <xf numFmtId="164" fontId="10" fillId="0" borderId="31" xfId="0" applyNumberFormat="1" applyFont="1" applyBorder="1"/>
    <xf numFmtId="164" fontId="0" fillId="0" borderId="0" xfId="0" applyNumberFormat="1"/>
    <xf numFmtId="0" fontId="4" fillId="0" borderId="0" xfId="0" applyFont="1" applyAlignment="1">
      <alignment wrapText="1"/>
    </xf>
    <xf numFmtId="0" fontId="5" fillId="26" borderId="25" xfId="0" applyFont="1" applyFill="1" applyBorder="1" applyAlignment="1">
      <alignment horizontal="center" wrapText="1"/>
    </xf>
    <xf numFmtId="0" fontId="5" fillId="26" borderId="25" xfId="0" applyFont="1" applyFill="1" applyBorder="1" applyAlignment="1">
      <alignment horizontal="left" wrapText="1"/>
    </xf>
    <xf numFmtId="164" fontId="5" fillId="26" borderId="25" xfId="0" applyNumberFormat="1" applyFont="1" applyFill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5" xfId="0" applyFont="1" applyBorder="1" applyAlignment="1">
      <alignment horizontal="left" wrapText="1"/>
    </xf>
    <xf numFmtId="164" fontId="4" fillId="0" borderId="25" xfId="0" applyNumberFormat="1" applyFont="1" applyBorder="1" applyAlignment="1">
      <alignment horizontal="left" wrapText="1"/>
    </xf>
    <xf numFmtId="0" fontId="4" fillId="0" borderId="25" xfId="0" applyFont="1" applyBorder="1" applyAlignment="1">
      <alignment horizontal="left" vertical="center" wrapText="1"/>
    </xf>
    <xf numFmtId="164" fontId="4" fillId="0" borderId="25" xfId="0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164" fontId="5" fillId="0" borderId="25" xfId="0" applyNumberFormat="1" applyFont="1" applyBorder="1" applyAlignment="1">
      <alignment horizontal="right" vertical="center" wrapText="1"/>
    </xf>
    <xf numFmtId="0" fontId="5" fillId="0" borderId="0" xfId="0" applyFont="1" applyAlignment="1">
      <alignment wrapText="1"/>
    </xf>
    <xf numFmtId="0" fontId="4" fillId="9" borderId="25" xfId="0" applyFont="1" applyFill="1" applyBorder="1" applyAlignment="1">
      <alignment horizontal="center" wrapText="1"/>
    </xf>
    <xf numFmtId="0" fontId="4" fillId="9" borderId="25" xfId="0" applyFont="1" applyFill="1" applyBorder="1" applyAlignment="1">
      <alignment horizontal="left" vertical="center" wrapText="1"/>
    </xf>
    <xf numFmtId="164" fontId="4" fillId="9" borderId="25" xfId="0" applyNumberFormat="1" applyFont="1" applyFill="1" applyBorder="1" applyAlignment="1">
      <alignment horizontal="right" vertical="center" wrapText="1"/>
    </xf>
    <xf numFmtId="0" fontId="4" fillId="9" borderId="25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wrapText="1"/>
    </xf>
    <xf numFmtId="170" fontId="4" fillId="0" borderId="25" xfId="0" applyNumberFormat="1" applyFont="1" applyBorder="1" applyAlignment="1">
      <alignment horizontal="center" vertical="center" wrapText="1"/>
    </xf>
    <xf numFmtId="0" fontId="5" fillId="9" borderId="25" xfId="0" applyFont="1" applyFill="1" applyBorder="1" applyAlignment="1">
      <alignment horizontal="left" vertical="center" wrapText="1"/>
    </xf>
    <xf numFmtId="164" fontId="5" fillId="9" borderId="25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horizontal="left" vertical="center" wrapText="1"/>
    </xf>
    <xf numFmtId="0" fontId="24" fillId="0" borderId="25" xfId="0" applyFont="1" applyBorder="1" applyAlignment="1">
      <alignment horizontal="center" wrapText="1"/>
    </xf>
    <xf numFmtId="0" fontId="24" fillId="0" borderId="25" xfId="0" applyFont="1" applyBorder="1" applyAlignment="1">
      <alignment horizontal="left" vertical="center" wrapText="1"/>
    </xf>
    <xf numFmtId="164" fontId="24" fillId="0" borderId="25" xfId="0" applyNumberFormat="1" applyFont="1" applyBorder="1" applyAlignment="1">
      <alignment horizontal="right" vertical="center" wrapText="1"/>
    </xf>
    <xf numFmtId="164" fontId="24" fillId="0" borderId="25" xfId="0" applyNumberFormat="1" applyFont="1" applyBorder="1" applyAlignment="1">
      <alignment horizontal="left" wrapText="1"/>
    </xf>
    <xf numFmtId="0" fontId="24" fillId="0" borderId="25" xfId="0" applyFont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0" fontId="4" fillId="0" borderId="25" xfId="0" applyFont="1" applyBorder="1" applyAlignment="1">
      <alignment horizontal="left" vertical="center"/>
    </xf>
    <xf numFmtId="164" fontId="4" fillId="0" borderId="25" xfId="0" applyNumberFormat="1" applyFont="1" applyBorder="1" applyAlignment="1">
      <alignment horizontal="right" vertical="center"/>
    </xf>
    <xf numFmtId="0" fontId="4" fillId="0" borderId="25" xfId="0" applyFont="1" applyBorder="1"/>
    <xf numFmtId="0" fontId="4" fillId="0" borderId="0" xfId="0" applyFont="1"/>
    <xf numFmtId="0" fontId="24" fillId="0" borderId="0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44" fontId="5" fillId="0" borderId="0" xfId="0" applyNumberFormat="1" applyFont="1" applyAlignment="1">
      <alignment wrapText="1"/>
    </xf>
    <xf numFmtId="0" fontId="5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27" borderId="25" xfId="0" applyFont="1" applyFill="1" applyBorder="1" applyAlignment="1">
      <alignment horizontal="left" vertical="center"/>
    </xf>
    <xf numFmtId="164" fontId="4" fillId="27" borderId="25" xfId="0" applyNumberFormat="1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center" vertical="center" wrapText="1"/>
    </xf>
    <xf numFmtId="164" fontId="4" fillId="27" borderId="25" xfId="0" applyNumberFormat="1" applyFont="1" applyFill="1" applyBorder="1" applyAlignment="1">
      <alignment horizontal="right" vertical="center" wrapText="1"/>
    </xf>
    <xf numFmtId="0" fontId="4" fillId="27" borderId="0" xfId="0" applyFont="1" applyFill="1" applyBorder="1" applyAlignment="1">
      <alignment horizontal="center" vertical="center" wrapText="1"/>
    </xf>
    <xf numFmtId="0" fontId="4" fillId="27" borderId="0" xfId="0" applyFont="1" applyFill="1" applyAlignment="1">
      <alignment wrapText="1"/>
    </xf>
    <xf numFmtId="164" fontId="4" fillId="28" borderId="25" xfId="0" applyNumberFormat="1" applyFont="1" applyFill="1" applyBorder="1" applyAlignment="1">
      <alignment horizontal="left" wrapText="1"/>
    </xf>
    <xf numFmtId="0" fontId="24" fillId="27" borderId="25" xfId="0" applyFont="1" applyFill="1" applyBorder="1" applyAlignment="1">
      <alignment horizontal="left"/>
    </xf>
    <xf numFmtId="164" fontId="24" fillId="27" borderId="25" xfId="0" applyNumberFormat="1" applyFont="1" applyFill="1" applyBorder="1" applyAlignment="1">
      <alignment horizontal="right" vertical="center"/>
    </xf>
    <xf numFmtId="164" fontId="24" fillId="28" borderId="25" xfId="0" applyNumberFormat="1" applyFont="1" applyFill="1" applyBorder="1" applyAlignment="1">
      <alignment horizontal="left" wrapText="1"/>
    </xf>
    <xf numFmtId="164" fontId="18" fillId="9" borderId="25" xfId="0" applyNumberFormat="1" applyFont="1" applyFill="1" applyBorder="1" applyAlignment="1">
      <alignment horizontal="right" vertical="center"/>
    </xf>
    <xf numFmtId="0" fontId="18" fillId="9" borderId="0" xfId="0" applyFont="1" applyFill="1" applyBorder="1" applyAlignment="1">
      <alignment horizontal="center" wrapText="1"/>
    </xf>
    <xf numFmtId="164" fontId="18" fillId="9" borderId="0" xfId="0" applyNumberFormat="1" applyFont="1" applyFill="1" applyBorder="1" applyAlignment="1">
      <alignment horizontal="right" vertical="center"/>
    </xf>
    <xf numFmtId="164" fontId="5" fillId="9" borderId="0" xfId="0" applyNumberFormat="1" applyFont="1" applyFill="1" applyBorder="1" applyAlignment="1">
      <alignment horizontal="right" vertical="center" wrapText="1"/>
    </xf>
    <xf numFmtId="0" fontId="4" fillId="9" borderId="0" xfId="0" applyFont="1" applyFill="1" applyBorder="1" applyAlignment="1">
      <alignment wrapText="1"/>
    </xf>
    <xf numFmtId="0" fontId="4" fillId="9" borderId="0" xfId="0" applyFont="1" applyFill="1" applyBorder="1" applyAlignment="1">
      <alignment horizontal="center" wrapText="1"/>
    </xf>
    <xf numFmtId="164" fontId="4" fillId="3" borderId="24" xfId="0" applyNumberFormat="1" applyFont="1" applyFill="1" applyBorder="1" applyAlignment="1">
      <alignment horizontal="right" vertical="center" wrapText="1"/>
    </xf>
    <xf numFmtId="164" fontId="24" fillId="3" borderId="24" xfId="0" applyNumberFormat="1" applyFont="1" applyFill="1" applyBorder="1" applyAlignment="1">
      <alignment horizontal="left" wrapText="1"/>
    </xf>
    <xf numFmtId="164" fontId="4" fillId="3" borderId="24" xfId="0" applyNumberFormat="1" applyFont="1" applyFill="1" applyBorder="1" applyAlignment="1">
      <alignment horizontal="left" wrapText="1"/>
    </xf>
    <xf numFmtId="164" fontId="4" fillId="9" borderId="24" xfId="0" applyNumberFormat="1" applyFont="1" applyFill="1" applyBorder="1" applyAlignment="1">
      <alignment horizontal="right" vertical="center" wrapText="1"/>
    </xf>
    <xf numFmtId="0" fontId="4" fillId="3" borderId="25" xfId="0" applyFont="1" applyFill="1" applyBorder="1" applyAlignment="1">
      <alignment horizontal="left" vertical="center"/>
    </xf>
    <xf numFmtId="164" fontId="4" fillId="3" borderId="25" xfId="0" applyNumberFormat="1" applyFont="1" applyFill="1" applyBorder="1" applyAlignment="1">
      <alignment horizontal="right" vertical="center"/>
    </xf>
    <xf numFmtId="164" fontId="24" fillId="3" borderId="25" xfId="0" applyNumberFormat="1" applyFont="1" applyFill="1" applyBorder="1" applyAlignment="1">
      <alignment horizontal="left" wrapText="1"/>
    </xf>
    <xf numFmtId="164" fontId="4" fillId="3" borderId="25" xfId="0" applyNumberFormat="1" applyFont="1" applyFill="1" applyBorder="1" applyAlignment="1">
      <alignment horizontal="left" wrapText="1"/>
    </xf>
    <xf numFmtId="0" fontId="24" fillId="29" borderId="25" xfId="0" applyFont="1" applyFill="1" applyBorder="1" applyAlignment="1">
      <alignment horizontal="left" vertical="center"/>
    </xf>
    <xf numFmtId="164" fontId="24" fillId="29" borderId="25" xfId="0" applyNumberFormat="1" applyFont="1" applyFill="1" applyBorder="1" applyAlignment="1">
      <alignment horizontal="right" vertical="center"/>
    </xf>
    <xf numFmtId="0" fontId="5" fillId="9" borderId="0" xfId="0" applyFont="1" applyFill="1" applyAlignment="1">
      <alignment wrapText="1"/>
    </xf>
    <xf numFmtId="164" fontId="5" fillId="9" borderId="0" xfId="0" applyNumberFormat="1" applyFont="1" applyFill="1" applyAlignment="1">
      <alignment wrapText="1"/>
    </xf>
    <xf numFmtId="164" fontId="4" fillId="9" borderId="0" xfId="0" applyNumberFormat="1" applyFont="1" applyFill="1" applyBorder="1" applyAlignment="1">
      <alignment horizontal="right" vertical="center" wrapText="1"/>
    </xf>
    <xf numFmtId="164" fontId="4" fillId="0" borderId="40" xfId="0" applyNumberFormat="1" applyFont="1" applyBorder="1" applyAlignment="1">
      <alignment horizontal="left" wrapText="1"/>
    </xf>
    <xf numFmtId="164" fontId="24" fillId="9" borderId="0" xfId="0" applyNumberFormat="1" applyFont="1" applyFill="1" applyBorder="1" applyAlignment="1">
      <alignment horizontal="right" vertical="center"/>
    </xf>
    <xf numFmtId="164" fontId="24" fillId="9" borderId="0" xfId="0" applyNumberFormat="1" applyFont="1" applyFill="1" applyBorder="1" applyAlignment="1">
      <alignment horizontal="left" wrapText="1"/>
    </xf>
    <xf numFmtId="164" fontId="4" fillId="9" borderId="0" xfId="0" applyNumberFormat="1" applyFont="1" applyFill="1" applyBorder="1" applyAlignment="1">
      <alignment horizontal="left" wrapText="1"/>
    </xf>
    <xf numFmtId="164" fontId="24" fillId="0" borderId="24" xfId="0" applyNumberFormat="1" applyFont="1" applyBorder="1" applyAlignment="1">
      <alignment horizontal="left" wrapText="1"/>
    </xf>
    <xf numFmtId="164" fontId="4" fillId="0" borderId="24" xfId="0" applyNumberFormat="1" applyFont="1" applyBorder="1" applyAlignment="1">
      <alignment horizontal="left" wrapText="1"/>
    </xf>
    <xf numFmtId="0" fontId="4" fillId="31" borderId="25" xfId="0" applyFont="1" applyFill="1" applyBorder="1"/>
    <xf numFmtId="164" fontId="4" fillId="31" borderId="25" xfId="4" applyFont="1" applyFill="1" applyBorder="1"/>
    <xf numFmtId="164" fontId="5" fillId="9" borderId="40" xfId="0" applyNumberFormat="1" applyFont="1" applyFill="1" applyBorder="1" applyAlignment="1">
      <alignment horizontal="right" vertical="center" wrapText="1"/>
    </xf>
    <xf numFmtId="0" fontId="5" fillId="9" borderId="0" xfId="0" applyFont="1" applyFill="1" applyBorder="1"/>
    <xf numFmtId="164" fontId="5" fillId="9" borderId="0" xfId="4" applyFont="1" applyFill="1" applyBorder="1"/>
    <xf numFmtId="164" fontId="18" fillId="9" borderId="0" xfId="0" applyNumberFormat="1" applyFont="1" applyFill="1" applyBorder="1" applyAlignment="1">
      <alignment horizontal="left" wrapText="1"/>
    </xf>
    <xf numFmtId="164" fontId="4" fillId="9" borderId="0" xfId="4" applyFont="1" applyFill="1" applyBorder="1"/>
    <xf numFmtId="164" fontId="24" fillId="32" borderId="25" xfId="0" applyNumberFormat="1" applyFont="1" applyFill="1" applyBorder="1" applyAlignment="1">
      <alignment horizontal="left" wrapText="1"/>
    </xf>
    <xf numFmtId="164" fontId="4" fillId="32" borderId="25" xfId="0" applyNumberFormat="1" applyFont="1" applyFill="1" applyBorder="1" applyAlignment="1">
      <alignment horizontal="left" wrapText="1"/>
    </xf>
    <xf numFmtId="0" fontId="5" fillId="9" borderId="0" xfId="0" applyFont="1" applyFill="1" applyBorder="1" applyAlignment="1">
      <alignment horizontal="left" vertical="center"/>
    </xf>
    <xf numFmtId="164" fontId="5" fillId="9" borderId="0" xfId="0" applyNumberFormat="1" applyFont="1" applyFill="1" applyBorder="1" applyAlignment="1">
      <alignment horizontal="right" vertical="center"/>
    </xf>
    <xf numFmtId="0" fontId="18" fillId="9" borderId="0" xfId="0" applyFont="1" applyFill="1" applyAlignment="1">
      <alignment wrapText="1"/>
    </xf>
    <xf numFmtId="0" fontId="24" fillId="9" borderId="0" xfId="0" applyFont="1" applyFill="1" applyAlignment="1">
      <alignment wrapText="1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wrapText="1"/>
    </xf>
    <xf numFmtId="0" fontId="5" fillId="0" borderId="37" xfId="0" applyFont="1" applyBorder="1" applyAlignment="1">
      <alignment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164" fontId="5" fillId="0" borderId="0" xfId="0" applyNumberFormat="1" applyFont="1" applyAlignment="1">
      <alignment wrapText="1"/>
    </xf>
    <xf numFmtId="0" fontId="4" fillId="9" borderId="0" xfId="0" applyFont="1" applyFill="1" applyBorder="1" applyAlignment="1">
      <alignment horizontal="left" vertical="center" wrapText="1"/>
    </xf>
    <xf numFmtId="0" fontId="5" fillId="9" borderId="0" xfId="0" applyFont="1" applyFill="1" applyBorder="1" applyAlignment="1">
      <alignment horizontal="center" wrapText="1"/>
    </xf>
    <xf numFmtId="0" fontId="5" fillId="9" borderId="0" xfId="0" applyFont="1" applyFill="1" applyBorder="1" applyAlignment="1">
      <alignment horizontal="left" vertical="center" wrapText="1"/>
    </xf>
    <xf numFmtId="165" fontId="4" fillId="9" borderId="0" xfId="7" applyFont="1" applyFill="1" applyBorder="1" applyAlignment="1">
      <alignment horizontal="right" vertical="center" wrapText="1"/>
    </xf>
    <xf numFmtId="0" fontId="4" fillId="33" borderId="0" xfId="0" applyFont="1" applyFill="1" applyBorder="1" applyAlignment="1">
      <alignment horizontal="center" wrapText="1"/>
    </xf>
    <xf numFmtId="0" fontId="4" fillId="33" borderId="0" xfId="0" applyFont="1" applyFill="1" applyBorder="1" applyAlignment="1">
      <alignment horizontal="left" vertical="center" wrapText="1"/>
    </xf>
    <xf numFmtId="164" fontId="4" fillId="33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0" fontId="16" fillId="0" borderId="25" xfId="0" applyFont="1" applyBorder="1"/>
    <xf numFmtId="164" fontId="10" fillId="30" borderId="0" xfId="4" applyFont="1" applyFill="1"/>
    <xf numFmtId="0" fontId="0" fillId="9" borderId="0" xfId="0" applyFill="1"/>
    <xf numFmtId="164" fontId="10" fillId="9" borderId="31" xfId="0" applyNumberFormat="1" applyFont="1" applyFill="1" applyBorder="1"/>
    <xf numFmtId="164" fontId="10" fillId="9" borderId="30" xfId="0" applyNumberFormat="1" applyFont="1" applyFill="1" applyBorder="1"/>
    <xf numFmtId="164" fontId="10" fillId="9" borderId="41" xfId="0" applyNumberFormat="1" applyFont="1" applyFill="1" applyBorder="1"/>
    <xf numFmtId="164" fontId="10" fillId="9" borderId="42" xfId="0" applyNumberFormat="1" applyFont="1" applyFill="1" applyBorder="1"/>
    <xf numFmtId="0" fontId="10" fillId="9" borderId="43" xfId="0" applyFont="1" applyFill="1" applyBorder="1"/>
    <xf numFmtId="0" fontId="10" fillId="9" borderId="42" xfId="0" applyFont="1" applyFill="1" applyBorder="1"/>
    <xf numFmtId="164" fontId="10" fillId="9" borderId="27" xfId="0" applyNumberFormat="1" applyFont="1" applyFill="1" applyBorder="1"/>
    <xf numFmtId="0" fontId="12" fillId="9" borderId="25" xfId="0" applyFont="1" applyFill="1" applyBorder="1"/>
    <xf numFmtId="0" fontId="12" fillId="9" borderId="25" xfId="0" applyFont="1" applyFill="1" applyBorder="1" applyAlignment="1">
      <alignment horizontal="left"/>
    </xf>
    <xf numFmtId="164" fontId="0" fillId="9" borderId="26" xfId="0" applyNumberFormat="1" applyFont="1" applyFill="1" applyBorder="1"/>
    <xf numFmtId="164" fontId="0" fillId="9" borderId="25" xfId="0" applyNumberFormat="1" applyFill="1" applyBorder="1"/>
    <xf numFmtId="164" fontId="0" fillId="9" borderId="27" xfId="0" applyNumberFormat="1" applyFill="1" applyBorder="1"/>
    <xf numFmtId="164" fontId="0" fillId="9" borderId="26" xfId="0" applyNumberFormat="1" applyFill="1" applyBorder="1"/>
    <xf numFmtId="164" fontId="0" fillId="9" borderId="42" xfId="0" applyNumberFormat="1" applyFont="1" applyFill="1" applyBorder="1"/>
    <xf numFmtId="0" fontId="11" fillId="9" borderId="25" xfId="0" applyFont="1" applyFill="1" applyBorder="1"/>
    <xf numFmtId="0" fontId="11" fillId="9" borderId="25" xfId="0" applyFont="1" applyFill="1" applyBorder="1" applyAlignment="1">
      <alignment horizontal="left"/>
    </xf>
    <xf numFmtId="165" fontId="0" fillId="9" borderId="25" xfId="0" applyNumberFormat="1" applyFont="1" applyFill="1" applyBorder="1" applyAlignment="1">
      <alignment wrapText="1"/>
    </xf>
    <xf numFmtId="44" fontId="0" fillId="9" borderId="0" xfId="0" applyNumberFormat="1" applyFill="1"/>
    <xf numFmtId="164" fontId="11" fillId="9" borderId="25" xfId="0" applyNumberFormat="1" applyFont="1" applyFill="1" applyBorder="1"/>
    <xf numFmtId="164" fontId="12" fillId="9" borderId="26" xfId="0" applyNumberFormat="1" applyFont="1" applyFill="1" applyBorder="1"/>
    <xf numFmtId="164" fontId="12" fillId="9" borderId="25" xfId="0" applyNumberFormat="1" applyFont="1" applyFill="1" applyBorder="1"/>
    <xf numFmtId="164" fontId="12" fillId="9" borderId="27" xfId="0" applyNumberFormat="1" applyFont="1" applyFill="1" applyBorder="1"/>
    <xf numFmtId="164" fontId="12" fillId="9" borderId="42" xfId="0" applyNumberFormat="1" applyFont="1" applyFill="1" applyBorder="1"/>
    <xf numFmtId="164" fontId="10" fillId="9" borderId="44" xfId="0" applyNumberFormat="1" applyFont="1" applyFill="1" applyBorder="1"/>
    <xf numFmtId="0" fontId="10" fillId="9" borderId="0" xfId="0" applyFont="1" applyFill="1"/>
    <xf numFmtId="0" fontId="11" fillId="0" borderId="31" xfId="0" applyFont="1" applyBorder="1" applyAlignment="1">
      <alignment wrapText="1"/>
    </xf>
    <xf numFmtId="0" fontId="11" fillId="0" borderId="30" xfId="0" applyFont="1" applyBorder="1" applyAlignment="1">
      <alignment wrapText="1"/>
    </xf>
    <xf numFmtId="0" fontId="11" fillId="0" borderId="41" xfId="0" applyFont="1" applyBorder="1" applyAlignment="1">
      <alignment wrapText="1"/>
    </xf>
    <xf numFmtId="0" fontId="11" fillId="0" borderId="22" xfId="0" applyFont="1" applyBorder="1"/>
    <xf numFmtId="0" fontId="11" fillId="0" borderId="45" xfId="0" applyFont="1" applyBorder="1" applyAlignment="1">
      <alignment wrapText="1"/>
    </xf>
    <xf numFmtId="0" fontId="11" fillId="0" borderId="46" xfId="0" applyFont="1" applyBorder="1" applyAlignment="1">
      <alignment wrapText="1"/>
    </xf>
    <xf numFmtId="0" fontId="11" fillId="0" borderId="11" xfId="0" applyFont="1" applyBorder="1" applyAlignment="1">
      <alignment horizontal="center"/>
    </xf>
    <xf numFmtId="0" fontId="11" fillId="0" borderId="49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32" xfId="0" applyFont="1" applyBorder="1"/>
    <xf numFmtId="0" fontId="11" fillId="0" borderId="50" xfId="0" applyFont="1" applyBorder="1"/>
    <xf numFmtId="0" fontId="11" fillId="0" borderId="51" xfId="0" applyFont="1" applyBorder="1"/>
    <xf numFmtId="0" fontId="10" fillId="0" borderId="4" xfId="0" applyFont="1" applyBorder="1" applyAlignment="1"/>
    <xf numFmtId="0" fontId="10" fillId="0" borderId="3" xfId="0" applyFont="1" applyBorder="1" applyAlignment="1"/>
    <xf numFmtId="0" fontId="10" fillId="0" borderId="2" xfId="0" applyFont="1" applyBorder="1" applyAlignment="1"/>
    <xf numFmtId="164" fontId="24" fillId="34" borderId="25" xfId="0" applyNumberFormat="1" applyFont="1" applyFill="1" applyBorder="1" applyAlignment="1">
      <alignment horizontal="right" vertical="center" wrapText="1"/>
    </xf>
    <xf numFmtId="164" fontId="24" fillId="34" borderId="25" xfId="0" applyNumberFormat="1" applyFont="1" applyFill="1" applyBorder="1" applyAlignment="1">
      <alignment horizontal="left" wrapText="1"/>
    </xf>
    <xf numFmtId="0" fontId="4" fillId="34" borderId="25" xfId="0" applyFont="1" applyFill="1" applyBorder="1" applyAlignment="1">
      <alignment horizontal="left" vertical="center" wrapText="1"/>
    </xf>
    <xf numFmtId="164" fontId="4" fillId="34" borderId="25" xfId="0" applyNumberFormat="1" applyFont="1" applyFill="1" applyBorder="1" applyAlignment="1">
      <alignment horizontal="right" vertical="center" wrapText="1"/>
    </xf>
    <xf numFmtId="0" fontId="12" fillId="0" borderId="24" xfId="0" applyFont="1" applyBorder="1" applyAlignment="1">
      <alignment horizontal="left"/>
    </xf>
    <xf numFmtId="0" fontId="12" fillId="0" borderId="24" xfId="0" applyFont="1" applyBorder="1"/>
    <xf numFmtId="164" fontId="10" fillId="0" borderId="42" xfId="0" applyNumberFormat="1" applyFont="1" applyBorder="1"/>
    <xf numFmtId="164" fontId="10" fillId="0" borderId="27" xfId="0" applyNumberFormat="1" applyFont="1" applyBorder="1"/>
    <xf numFmtId="0" fontId="12" fillId="0" borderId="25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164" fontId="0" fillId="0" borderId="42" xfId="0" applyNumberFormat="1" applyFont="1" applyBorder="1"/>
    <xf numFmtId="164" fontId="0" fillId="0" borderId="27" xfId="0" applyNumberFormat="1" applyBorder="1"/>
    <xf numFmtId="164" fontId="10" fillId="0" borderId="44" xfId="0" applyNumberFormat="1" applyFont="1" applyBorder="1"/>
    <xf numFmtId="164" fontId="0" fillId="0" borderId="42" xfId="0" applyNumberFormat="1" applyBorder="1"/>
    <xf numFmtId="0" fontId="11" fillId="0" borderId="25" xfId="0" applyFont="1" applyFill="1" applyBorder="1" applyAlignment="1">
      <alignment horizontal="left"/>
    </xf>
    <xf numFmtId="0" fontId="12" fillId="0" borderId="25" xfId="0" applyFont="1" applyFill="1" applyBorder="1" applyAlignment="1">
      <alignment horizontal="left"/>
    </xf>
    <xf numFmtId="164" fontId="12" fillId="0" borderId="42" xfId="0" applyNumberFormat="1" applyFont="1" applyBorder="1"/>
    <xf numFmtId="164" fontId="12" fillId="0" borderId="27" xfId="0" applyNumberFormat="1" applyFont="1" applyBorder="1"/>
    <xf numFmtId="0" fontId="12" fillId="25" borderId="25" xfId="0" applyFont="1" applyFill="1" applyBorder="1" applyAlignment="1">
      <alignment horizontal="left"/>
    </xf>
    <xf numFmtId="0" fontId="12" fillId="25" borderId="25" xfId="0" applyFont="1" applyFill="1" applyBorder="1"/>
    <xf numFmtId="164" fontId="10" fillId="25" borderId="25" xfId="0" applyNumberFormat="1" applyFont="1" applyFill="1" applyBorder="1"/>
    <xf numFmtId="164" fontId="10" fillId="25" borderId="42" xfId="0" applyNumberFormat="1" applyFont="1" applyFill="1" applyBorder="1"/>
    <xf numFmtId="164" fontId="10" fillId="25" borderId="27" xfId="0" applyNumberFormat="1" applyFont="1" applyFill="1" applyBorder="1"/>
    <xf numFmtId="164" fontId="10" fillId="25" borderId="26" xfId="0" applyNumberFormat="1" applyFont="1" applyFill="1" applyBorder="1"/>
    <xf numFmtId="164" fontId="10" fillId="0" borderId="39" xfId="0" applyNumberFormat="1" applyFont="1" applyFill="1" applyBorder="1"/>
    <xf numFmtId="0" fontId="10" fillId="0" borderId="42" xfId="0" applyFont="1" applyBorder="1"/>
    <xf numFmtId="0" fontId="10" fillId="0" borderId="43" xfId="0" applyFont="1" applyBorder="1"/>
    <xf numFmtId="164" fontId="10" fillId="0" borderId="41" xfId="0" applyNumberFormat="1" applyFont="1" applyBorder="1"/>
    <xf numFmtId="164" fontId="10" fillId="0" borderId="0" xfId="0" applyNumberFormat="1" applyFont="1"/>
    <xf numFmtId="166" fontId="0" fillId="0" borderId="0" xfId="0" applyNumberFormat="1"/>
    <xf numFmtId="166" fontId="13" fillId="0" borderId="25" xfId="3" applyNumberFormat="1" applyFont="1" applyBorder="1"/>
    <xf numFmtId="0" fontId="13" fillId="0" borderId="25" xfId="0" applyFont="1" applyBorder="1"/>
    <xf numFmtId="0" fontId="13" fillId="0" borderId="25" xfId="0" applyFont="1" applyFill="1" applyBorder="1"/>
    <xf numFmtId="166" fontId="28" fillId="0" borderId="0" xfId="0" applyNumberFormat="1" applyFont="1"/>
    <xf numFmtId="166" fontId="28" fillId="0" borderId="25" xfId="3" applyNumberFormat="1" applyFont="1" applyBorder="1"/>
    <xf numFmtId="0" fontId="28" fillId="0" borderId="25" xfId="0" applyFont="1" applyBorder="1" applyAlignment="1">
      <alignment wrapText="1"/>
    </xf>
    <xf numFmtId="166" fontId="13" fillId="0" borderId="25" xfId="0" applyNumberFormat="1" applyFont="1" applyBorder="1"/>
    <xf numFmtId="0" fontId="28" fillId="0" borderId="25" xfId="0" applyFont="1" applyBorder="1"/>
    <xf numFmtId="166" fontId="29" fillId="0" borderId="25" xfId="0" applyNumberFormat="1" applyFont="1" applyBorder="1"/>
    <xf numFmtId="0" fontId="29" fillId="0" borderId="25" xfId="0" applyFont="1" applyBorder="1"/>
    <xf numFmtId="164" fontId="24" fillId="0" borderId="0" xfId="0" applyNumberFormat="1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165" fontId="4" fillId="34" borderId="25" xfId="2" applyFont="1" applyFill="1" applyBorder="1" applyAlignment="1">
      <alignment horizontal="right" vertical="center"/>
    </xf>
    <xf numFmtId="165" fontId="4" fillId="9" borderId="25" xfId="2" applyFont="1" applyFill="1" applyBorder="1" applyAlignment="1">
      <alignment horizontal="right" vertical="center"/>
    </xf>
    <xf numFmtId="0" fontId="30" fillId="0" borderId="0" xfId="1" applyFont="1"/>
    <xf numFmtId="172" fontId="1" fillId="0" borderId="0" xfId="1" applyNumberFormat="1" applyFont="1"/>
    <xf numFmtId="4" fontId="1" fillId="0" borderId="0" xfId="1" applyNumberFormat="1" applyFont="1"/>
    <xf numFmtId="0" fontId="0" fillId="9" borderId="13" xfId="0" applyFill="1" applyBorder="1"/>
    <xf numFmtId="0" fontId="0" fillId="9" borderId="1" xfId="0" applyFill="1" applyBorder="1"/>
    <xf numFmtId="0" fontId="10" fillId="9" borderId="2" xfId="0" applyFont="1" applyFill="1" applyBorder="1" applyAlignment="1"/>
    <xf numFmtId="0" fontId="10" fillId="9" borderId="3" xfId="0" applyFont="1" applyFill="1" applyBorder="1" applyAlignment="1"/>
    <xf numFmtId="0" fontId="10" fillId="9" borderId="4" xfId="0" applyFont="1" applyFill="1" applyBorder="1" applyAlignment="1"/>
    <xf numFmtId="0" fontId="0" fillId="9" borderId="14" xfId="0" applyFill="1" applyBorder="1"/>
    <xf numFmtId="0" fontId="0" fillId="9" borderId="12" xfId="0" applyFill="1" applyBorder="1"/>
    <xf numFmtId="0" fontId="10" fillId="9" borderId="12" xfId="0" applyFont="1" applyFill="1" applyBorder="1" applyAlignment="1">
      <alignment horizontal="center"/>
    </xf>
    <xf numFmtId="0" fontId="10" fillId="9" borderId="14" xfId="0" applyFont="1" applyFill="1" applyBorder="1" applyAlignment="1">
      <alignment horizontal="center"/>
    </xf>
    <xf numFmtId="0" fontId="11" fillId="9" borderId="51" xfId="0" applyFont="1" applyFill="1" applyBorder="1"/>
    <xf numFmtId="0" fontId="11" fillId="9" borderId="50" xfId="0" applyFont="1" applyFill="1" applyBorder="1"/>
    <xf numFmtId="0" fontId="11" fillId="9" borderId="32" xfId="0" applyFont="1" applyFill="1" applyBorder="1"/>
    <xf numFmtId="0" fontId="11" fillId="9" borderId="23" xfId="0" applyFont="1" applyFill="1" applyBorder="1" applyAlignment="1">
      <alignment horizontal="center"/>
    </xf>
    <xf numFmtId="0" fontId="11" fillId="9" borderId="49" xfId="0" applyFont="1" applyFill="1" applyBorder="1" applyAlignment="1">
      <alignment horizontal="center"/>
    </xf>
    <xf numFmtId="0" fontId="11" fillId="9" borderId="11" xfId="0" applyFont="1" applyFill="1" applyBorder="1" applyAlignment="1">
      <alignment horizontal="center"/>
    </xf>
    <xf numFmtId="0" fontId="0" fillId="9" borderId="19" xfId="0" applyFill="1" applyBorder="1"/>
    <xf numFmtId="0" fontId="0" fillId="9" borderId="5" xfId="0" applyFill="1" applyBorder="1"/>
    <xf numFmtId="0" fontId="11" fillId="9" borderId="20" xfId="0" applyFont="1" applyFill="1" applyBorder="1" applyAlignment="1">
      <alignment wrapText="1"/>
    </xf>
    <xf numFmtId="0" fontId="11" fillId="9" borderId="21" xfId="0" applyFont="1" applyFill="1" applyBorder="1" applyAlignment="1">
      <alignment wrapText="1"/>
    </xf>
    <xf numFmtId="0" fontId="11" fillId="9" borderId="45" xfId="0" applyFont="1" applyFill="1" applyBorder="1" applyAlignment="1">
      <alignment wrapText="1"/>
    </xf>
    <xf numFmtId="0" fontId="11" fillId="9" borderId="46" xfId="0" applyFont="1" applyFill="1" applyBorder="1" applyAlignment="1">
      <alignment wrapText="1"/>
    </xf>
    <xf numFmtId="0" fontId="11" fillId="9" borderId="22" xfId="0" applyFont="1" applyFill="1" applyBorder="1"/>
    <xf numFmtId="0" fontId="11" fillId="9" borderId="41" xfId="0" applyFont="1" applyFill="1" applyBorder="1" applyAlignment="1">
      <alignment wrapText="1"/>
    </xf>
    <xf numFmtId="0" fontId="11" fillId="9" borderId="30" xfId="0" applyFont="1" applyFill="1" applyBorder="1" applyAlignment="1">
      <alignment wrapText="1"/>
    </xf>
    <xf numFmtId="0" fontId="11" fillId="9" borderId="31" xfId="0" applyFont="1" applyFill="1" applyBorder="1" applyAlignment="1">
      <alignment wrapText="1"/>
    </xf>
    <xf numFmtId="0" fontId="12" fillId="9" borderId="24" xfId="0" applyFont="1" applyFill="1" applyBorder="1" applyAlignment="1">
      <alignment horizontal="left"/>
    </xf>
    <xf numFmtId="0" fontId="12" fillId="9" borderId="24" xfId="0" applyFont="1" applyFill="1" applyBorder="1"/>
    <xf numFmtId="164" fontId="25" fillId="9" borderId="25" xfId="0" applyNumberFormat="1" applyFont="1" applyFill="1" applyBorder="1"/>
    <xf numFmtId="164" fontId="0" fillId="9" borderId="42" xfId="0" applyNumberFormat="1" applyFill="1" applyBorder="1"/>
    <xf numFmtId="164" fontId="25" fillId="9" borderId="27" xfId="0" applyNumberFormat="1" applyFont="1" applyFill="1" applyBorder="1"/>
    <xf numFmtId="0" fontId="27" fillId="9" borderId="25" xfId="0" applyFont="1" applyFill="1" applyBorder="1"/>
    <xf numFmtId="164" fontId="25" fillId="9" borderId="42" xfId="0" applyNumberFormat="1" applyFont="1" applyFill="1" applyBorder="1"/>
    <xf numFmtId="164" fontId="26" fillId="9" borderId="44" xfId="0" applyNumberFormat="1" applyFont="1" applyFill="1" applyBorder="1"/>
    <xf numFmtId="171" fontId="0" fillId="9" borderId="0" xfId="0" applyNumberFormat="1" applyFill="1"/>
    <xf numFmtId="164" fontId="10" fillId="9" borderId="0" xfId="4" applyFont="1" applyFill="1"/>
    <xf numFmtId="44" fontId="10" fillId="9" borderId="0" xfId="0" applyNumberFormat="1" applyFont="1" applyFill="1"/>
    <xf numFmtId="43" fontId="0" fillId="9" borderId="0" xfId="0" applyNumberFormat="1" applyFill="1"/>
    <xf numFmtId="0" fontId="11" fillId="9" borderId="22" xfId="0" applyFont="1" applyFill="1" applyBorder="1" applyAlignment="1">
      <alignment wrapText="1"/>
    </xf>
    <xf numFmtId="0" fontId="12" fillId="9" borderId="23" xfId="0" applyFont="1" applyFill="1" applyBorder="1" applyAlignment="1">
      <alignment horizontal="left"/>
    </xf>
    <xf numFmtId="0" fontId="12" fillId="9" borderId="27" xfId="0" applyFont="1" applyFill="1" applyBorder="1" applyAlignment="1">
      <alignment horizontal="left"/>
    </xf>
    <xf numFmtId="0" fontId="11" fillId="9" borderId="27" xfId="0" applyFont="1" applyFill="1" applyBorder="1" applyAlignment="1">
      <alignment horizontal="left"/>
    </xf>
    <xf numFmtId="164" fontId="13" fillId="9" borderId="25" xfId="4" applyFont="1" applyFill="1" applyBorder="1"/>
    <xf numFmtId="0" fontId="10" fillId="9" borderId="28" xfId="0" applyFont="1" applyFill="1" applyBorder="1"/>
    <xf numFmtId="0" fontId="10" fillId="9" borderId="29" xfId="0" applyFont="1" applyFill="1" applyBorder="1"/>
    <xf numFmtId="164" fontId="0" fillId="9" borderId="0" xfId="0" applyNumberFormat="1" applyFill="1"/>
    <xf numFmtId="4" fontId="0" fillId="9" borderId="0" xfId="0" applyNumberFormat="1" applyFill="1"/>
    <xf numFmtId="164" fontId="24" fillId="9" borderId="25" xfId="0" applyNumberFormat="1" applyFont="1" applyFill="1" applyBorder="1" applyAlignment="1">
      <alignment horizontal="right" vertical="center" wrapText="1"/>
    </xf>
    <xf numFmtId="164" fontId="24" fillId="9" borderId="25" xfId="0" applyNumberFormat="1" applyFont="1" applyFill="1" applyBorder="1" applyAlignment="1">
      <alignment horizontal="left" wrapText="1"/>
    </xf>
    <xf numFmtId="0" fontId="24" fillId="9" borderId="0" xfId="0" applyFont="1" applyFill="1" applyBorder="1" applyAlignment="1">
      <alignment horizontal="center" vertical="center" wrapText="1"/>
    </xf>
    <xf numFmtId="164" fontId="4" fillId="35" borderId="25" xfId="0" applyNumberFormat="1" applyFont="1" applyFill="1" applyBorder="1" applyAlignment="1">
      <alignment horizontal="right" vertical="center" wrapText="1"/>
    </xf>
    <xf numFmtId="0" fontId="4" fillId="30" borderId="25" xfId="0" applyFont="1" applyFill="1" applyBorder="1" applyAlignment="1">
      <alignment horizontal="left" vertical="center"/>
    </xf>
    <xf numFmtId="164" fontId="24" fillId="32" borderId="0" xfId="0" applyNumberFormat="1" applyFont="1" applyFill="1" applyBorder="1" applyAlignment="1">
      <alignment horizontal="left" wrapText="1"/>
    </xf>
    <xf numFmtId="164" fontId="4" fillId="32" borderId="0" xfId="0" applyNumberFormat="1" applyFont="1" applyFill="1" applyBorder="1" applyAlignment="1">
      <alignment horizontal="left" wrapText="1"/>
    </xf>
    <xf numFmtId="164" fontId="24" fillId="0" borderId="0" xfId="0" applyNumberFormat="1" applyFont="1" applyBorder="1" applyAlignment="1">
      <alignment horizontal="right" vertical="center" wrapText="1"/>
    </xf>
    <xf numFmtId="0" fontId="24" fillId="35" borderId="25" xfId="0" applyFont="1" applyFill="1" applyBorder="1" applyAlignment="1">
      <alignment horizontal="left" vertical="center"/>
    </xf>
    <xf numFmtId="164" fontId="24" fillId="35" borderId="25" xfId="0" applyNumberFormat="1" applyFont="1" applyFill="1" applyBorder="1" applyAlignment="1">
      <alignment horizontal="right" vertical="center"/>
    </xf>
    <xf numFmtId="0" fontId="4" fillId="35" borderId="25" xfId="0" applyFont="1" applyFill="1" applyBorder="1" applyAlignment="1">
      <alignment horizontal="left" vertical="center" wrapText="1"/>
    </xf>
    <xf numFmtId="164" fontId="4" fillId="35" borderId="25" xfId="0" applyNumberFormat="1" applyFont="1" applyFill="1" applyBorder="1" applyAlignment="1">
      <alignment horizontal="right" vertical="center"/>
    </xf>
    <xf numFmtId="164" fontId="24" fillId="35" borderId="25" xfId="0" applyNumberFormat="1" applyFont="1" applyFill="1" applyBorder="1" applyAlignment="1">
      <alignment horizontal="right" vertical="center" wrapText="1"/>
    </xf>
    <xf numFmtId="164" fontId="24" fillId="35" borderId="25" xfId="0" applyNumberFormat="1" applyFont="1" applyFill="1" applyBorder="1" applyAlignment="1">
      <alignment horizontal="left" wrapText="1"/>
    </xf>
    <xf numFmtId="0" fontId="24" fillId="0" borderId="25" xfId="0" applyFont="1" applyBorder="1" applyAlignment="1">
      <alignment wrapText="1"/>
    </xf>
    <xf numFmtId="164" fontId="4" fillId="0" borderId="40" xfId="0" applyNumberFormat="1" applyFont="1" applyBorder="1" applyAlignment="1">
      <alignment horizontal="right" vertical="center" wrapText="1"/>
    </xf>
    <xf numFmtId="0" fontId="4" fillId="0" borderId="40" xfId="0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right" vertical="center" wrapText="1"/>
    </xf>
    <xf numFmtId="0" fontId="4" fillId="0" borderId="24" xfId="0" applyFont="1" applyBorder="1" applyAlignment="1">
      <alignment horizontal="center" vertical="center" wrapText="1"/>
    </xf>
    <xf numFmtId="0" fontId="24" fillId="30" borderId="25" xfId="0" applyFont="1" applyFill="1" applyBorder="1" applyAlignment="1">
      <alignment horizontal="left" vertical="center"/>
    </xf>
    <xf numFmtId="0" fontId="5" fillId="35" borderId="25" xfId="0" applyFont="1" applyFill="1" applyBorder="1"/>
    <xf numFmtId="0" fontId="4" fillId="31" borderId="25" xfId="0" applyFont="1" applyFill="1" applyBorder="1" applyAlignment="1">
      <alignment horizontal="left" vertical="center"/>
    </xf>
    <xf numFmtId="164" fontId="4" fillId="31" borderId="25" xfId="0" applyNumberFormat="1" applyFont="1" applyFill="1" applyBorder="1" applyAlignment="1">
      <alignment horizontal="right" vertical="center"/>
    </xf>
    <xf numFmtId="0" fontId="24" fillId="35" borderId="0" xfId="0" applyFont="1" applyFill="1" applyBorder="1" applyAlignment="1">
      <alignment horizontal="left" vertical="center"/>
    </xf>
    <xf numFmtId="44" fontId="4" fillId="9" borderId="0" xfId="0" applyNumberFormat="1" applyFont="1" applyFill="1" applyAlignment="1">
      <alignment wrapText="1"/>
    </xf>
    <xf numFmtId="164" fontId="5" fillId="9" borderId="25" xfId="0" applyNumberFormat="1" applyFont="1" applyFill="1" applyBorder="1" applyAlignment="1">
      <alignment wrapText="1"/>
    </xf>
    <xf numFmtId="44" fontId="5" fillId="9" borderId="0" xfId="0" applyNumberFormat="1" applyFont="1" applyFill="1" applyAlignment="1">
      <alignment wrapText="1"/>
    </xf>
    <xf numFmtId="0" fontId="16" fillId="35" borderId="25" xfId="0" applyFont="1" applyFill="1" applyBorder="1" applyAlignment="1">
      <alignment horizontal="left" wrapText="1"/>
    </xf>
    <xf numFmtId="0" fontId="16" fillId="3" borderId="25" xfId="0" applyFont="1" applyFill="1" applyBorder="1" applyAlignment="1">
      <alignment horizontal="left" wrapText="1" shrinkToFit="1"/>
    </xf>
    <xf numFmtId="0" fontId="16" fillId="3" borderId="25" xfId="0" applyFont="1" applyFill="1" applyBorder="1" applyAlignment="1">
      <alignment horizontal="left" wrapText="1"/>
    </xf>
    <xf numFmtId="164" fontId="4" fillId="9" borderId="43" xfId="0" applyNumberFormat="1" applyFont="1" applyFill="1" applyBorder="1" applyAlignment="1">
      <alignment horizontal="right" vertical="center" wrapText="1"/>
    </xf>
    <xf numFmtId="0" fontId="4" fillId="35" borderId="25" xfId="0" applyFont="1" applyFill="1" applyBorder="1" applyAlignment="1">
      <alignment horizontal="center" wrapText="1"/>
    </xf>
    <xf numFmtId="0" fontId="24" fillId="35" borderId="25" xfId="0" applyFont="1" applyFill="1" applyBorder="1" applyAlignment="1">
      <alignment horizontal="center" wrapText="1"/>
    </xf>
    <xf numFmtId="0" fontId="5" fillId="9" borderId="0" xfId="0" applyFont="1" applyFill="1" applyAlignment="1">
      <alignment horizontal="right" wrapText="1"/>
    </xf>
    <xf numFmtId="0" fontId="17" fillId="0" borderId="0" xfId="0" applyFont="1" applyAlignment="1">
      <alignment horizontal="center" wrapText="1"/>
    </xf>
    <xf numFmtId="0" fontId="17" fillId="26" borderId="25" xfId="0" applyFont="1" applyFill="1" applyBorder="1" applyAlignment="1">
      <alignment horizontal="left" wrapText="1"/>
    </xf>
    <xf numFmtId="0" fontId="17" fillId="0" borderId="0" xfId="0" applyFont="1" applyAlignment="1">
      <alignment horizontal="left" wrapText="1"/>
    </xf>
    <xf numFmtId="0" fontId="16" fillId="9" borderId="25" xfId="0" applyFont="1" applyFill="1" applyBorder="1" applyAlignment="1">
      <alignment horizontal="left" wrapText="1"/>
    </xf>
    <xf numFmtId="0" fontId="17" fillId="9" borderId="25" xfId="0" applyFont="1" applyFill="1" applyBorder="1" applyAlignment="1">
      <alignment horizontal="left" wrapText="1"/>
    </xf>
    <xf numFmtId="0" fontId="15" fillId="0" borderId="25" xfId="0" applyFont="1" applyBorder="1" applyAlignment="1">
      <alignment horizontal="left" wrapText="1" shrinkToFit="1"/>
    </xf>
    <xf numFmtId="0" fontId="15" fillId="0" borderId="25" xfId="0" applyFont="1" applyBorder="1" applyAlignment="1">
      <alignment horizontal="left" wrapText="1"/>
    </xf>
    <xf numFmtId="0" fontId="16" fillId="34" borderId="25" xfId="0" applyFont="1" applyFill="1" applyBorder="1" applyAlignment="1">
      <alignment horizontal="left" wrapText="1"/>
    </xf>
    <xf numFmtId="164" fontId="17" fillId="0" borderId="0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wrapText="1"/>
    </xf>
    <xf numFmtId="0" fontId="16" fillId="27" borderId="25" xfId="0" applyFont="1" applyFill="1" applyBorder="1" applyAlignment="1">
      <alignment horizontal="left" wrapText="1"/>
    </xf>
    <xf numFmtId="0" fontId="16" fillId="27" borderId="25" xfId="0" applyFont="1" applyFill="1" applyBorder="1" applyAlignment="1">
      <alignment horizontal="left"/>
    </xf>
    <xf numFmtId="0" fontId="15" fillId="27" borderId="25" xfId="0" applyFont="1" applyFill="1" applyBorder="1" applyAlignment="1">
      <alignment horizontal="left" wrapText="1"/>
    </xf>
    <xf numFmtId="0" fontId="15" fillId="27" borderId="25" xfId="0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horizontal="center" wrapText="1"/>
    </xf>
    <xf numFmtId="0" fontId="16" fillId="3" borderId="25" xfId="0" applyFont="1" applyFill="1" applyBorder="1" applyAlignment="1">
      <alignment horizontal="left"/>
    </xf>
    <xf numFmtId="0" fontId="16" fillId="30" borderId="25" xfId="0" applyFont="1" applyFill="1" applyBorder="1" applyAlignment="1">
      <alignment horizontal="left" wrapText="1"/>
    </xf>
    <xf numFmtId="0" fontId="15" fillId="29" borderId="25" xfId="0" applyFont="1" applyFill="1" applyBorder="1" applyAlignment="1">
      <alignment horizontal="left"/>
    </xf>
    <xf numFmtId="0" fontId="16" fillId="9" borderId="0" xfId="0" applyFont="1" applyFill="1" applyAlignment="1">
      <alignment wrapText="1"/>
    </xf>
    <xf numFmtId="0" fontId="15" fillId="9" borderId="0" xfId="0" applyFont="1" applyFill="1" applyAlignment="1">
      <alignment wrapText="1"/>
    </xf>
    <xf numFmtId="0" fontId="15" fillId="9" borderId="0" xfId="0" applyFont="1" applyFill="1" applyBorder="1" applyAlignment="1">
      <alignment horizontal="left"/>
    </xf>
    <xf numFmtId="0" fontId="16" fillId="31" borderId="25" xfId="0" applyFont="1" applyFill="1" applyBorder="1" applyAlignment="1">
      <alignment horizontal="left" wrapText="1"/>
    </xf>
    <xf numFmtId="0" fontId="16" fillId="31" borderId="25" xfId="0" applyFont="1" applyFill="1" applyBorder="1"/>
    <xf numFmtId="0" fontId="17" fillId="9" borderId="0" xfId="0" applyFont="1" applyFill="1" applyBorder="1"/>
    <xf numFmtId="0" fontId="16" fillId="35" borderId="25" xfId="0" applyFont="1" applyFill="1" applyBorder="1" applyAlignment="1">
      <alignment horizontal="left" vertical="center" wrapText="1"/>
    </xf>
    <xf numFmtId="0" fontId="16" fillId="9" borderId="0" xfId="0" applyFont="1" applyFill="1" applyBorder="1"/>
    <xf numFmtId="0" fontId="15" fillId="35" borderId="25" xfId="0" applyFont="1" applyFill="1" applyBorder="1" applyAlignment="1">
      <alignment horizontal="left"/>
    </xf>
    <xf numFmtId="0" fontId="17" fillId="9" borderId="0" xfId="0" applyFont="1" applyFill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7" fillId="0" borderId="0" xfId="0" applyFont="1" applyBorder="1" applyAlignment="1">
      <alignment wrapText="1"/>
    </xf>
    <xf numFmtId="0" fontId="16" fillId="9" borderId="0" xfId="0" applyFont="1" applyFill="1" applyBorder="1" applyAlignment="1">
      <alignment horizontal="left" wrapText="1"/>
    </xf>
    <xf numFmtId="164" fontId="16" fillId="9" borderId="0" xfId="0" applyNumberFormat="1" applyFont="1" applyFill="1" applyBorder="1" applyAlignment="1">
      <alignment horizontal="left" wrapText="1"/>
    </xf>
    <xf numFmtId="164" fontId="16" fillId="9" borderId="0" xfId="4" applyFont="1" applyFill="1" applyBorder="1" applyAlignment="1">
      <alignment horizontal="left" wrapText="1"/>
    </xf>
    <xf numFmtId="164" fontId="16" fillId="33" borderId="0" xfId="0" applyNumberFormat="1" applyFont="1" applyFill="1" applyBorder="1" applyAlignment="1">
      <alignment horizontal="left" wrapText="1"/>
    </xf>
    <xf numFmtId="164" fontId="17" fillId="9" borderId="0" xfId="0" applyNumberFormat="1" applyFont="1" applyFill="1" applyBorder="1" applyAlignment="1">
      <alignment horizontal="left" wrapText="1"/>
    </xf>
    <xf numFmtId="164" fontId="5" fillId="0" borderId="25" xfId="0" applyNumberFormat="1" applyFont="1" applyBorder="1" applyAlignment="1">
      <alignment horizontal="left" wrapText="1"/>
    </xf>
    <xf numFmtId="0" fontId="11" fillId="35" borderId="27" xfId="0" applyFont="1" applyFill="1" applyBorder="1" applyAlignment="1">
      <alignment horizontal="left"/>
    </xf>
    <xf numFmtId="0" fontId="11" fillId="35" borderId="25" xfId="0" applyFont="1" applyFill="1" applyBorder="1"/>
    <xf numFmtId="164" fontId="0" fillId="35" borderId="25" xfId="0" applyNumberFormat="1" applyFill="1" applyBorder="1"/>
    <xf numFmtId="164" fontId="0" fillId="35" borderId="26" xfId="0" applyNumberFormat="1" applyFont="1" applyFill="1" applyBorder="1"/>
    <xf numFmtId="0" fontId="4" fillId="9" borderId="25" xfId="0" applyFont="1" applyFill="1" applyBorder="1" applyAlignment="1">
      <alignment horizontal="left" vertical="center"/>
    </xf>
    <xf numFmtId="0" fontId="24" fillId="9" borderId="25" xfId="0" applyFont="1" applyFill="1" applyBorder="1" applyAlignment="1">
      <alignment wrapText="1"/>
    </xf>
    <xf numFmtId="164" fontId="5" fillId="9" borderId="25" xfId="0" applyNumberFormat="1" applyFont="1" applyFill="1" applyBorder="1" applyAlignment="1">
      <alignment horizontal="right" vertical="center"/>
    </xf>
    <xf numFmtId="164" fontId="4" fillId="9" borderId="25" xfId="0" applyNumberFormat="1" applyFont="1" applyFill="1" applyBorder="1" applyAlignment="1">
      <alignment horizontal="right" vertical="center"/>
    </xf>
    <xf numFmtId="44" fontId="11" fillId="9" borderId="25" xfId="3" applyFont="1" applyFill="1" applyBorder="1"/>
    <xf numFmtId="44" fontId="0" fillId="9" borderId="25" xfId="3" applyFont="1" applyFill="1" applyBorder="1"/>
    <xf numFmtId="44" fontId="28" fillId="9" borderId="25" xfId="3" applyFont="1" applyFill="1" applyBorder="1"/>
    <xf numFmtId="164" fontId="10" fillId="36" borderId="26" xfId="0" applyNumberFormat="1" applyFont="1" applyFill="1" applyBorder="1"/>
    <xf numFmtId="164" fontId="0" fillId="36" borderId="26" xfId="0" applyNumberFormat="1" applyFont="1" applyFill="1" applyBorder="1"/>
    <xf numFmtId="4" fontId="5" fillId="7" borderId="42" xfId="1" applyNumberFormat="1" applyFont="1" applyFill="1" applyBorder="1" applyAlignment="1">
      <alignment horizontal="right" vertical="center"/>
    </xf>
    <xf numFmtId="4" fontId="5" fillId="8" borderId="42" xfId="1" applyNumberFormat="1" applyFont="1" applyFill="1" applyBorder="1" applyAlignment="1">
      <alignment horizontal="right" vertical="center"/>
    </xf>
    <xf numFmtId="165" fontId="4" fillId="0" borderId="42" xfId="2" applyFont="1" applyBorder="1" applyAlignment="1">
      <alignment horizontal="right" vertical="center"/>
    </xf>
    <xf numFmtId="164" fontId="17" fillId="0" borderId="42" xfId="0" applyNumberFormat="1" applyFont="1" applyBorder="1" applyAlignment="1">
      <alignment horizontal="left"/>
    </xf>
    <xf numFmtId="164" fontId="16" fillId="0" borderId="42" xfId="0" applyNumberFormat="1" applyFont="1" applyBorder="1" applyAlignment="1">
      <alignment horizontal="left"/>
    </xf>
    <xf numFmtId="4" fontId="17" fillId="8" borderId="42" xfId="1" applyNumberFormat="1" applyFont="1" applyFill="1" applyBorder="1" applyAlignment="1">
      <alignment horizontal="right" vertical="center"/>
    </xf>
    <xf numFmtId="4" fontId="7" fillId="7" borderId="42" xfId="1" applyNumberFormat="1" applyFont="1" applyFill="1" applyBorder="1" applyAlignment="1">
      <alignment horizontal="right" vertical="center"/>
    </xf>
    <xf numFmtId="4" fontId="5" fillId="0" borderId="42" xfId="1" applyNumberFormat="1" applyFont="1" applyBorder="1" applyAlignment="1">
      <alignment horizontal="right" vertical="center"/>
    </xf>
    <xf numFmtId="0" fontId="1" fillId="0" borderId="25" xfId="1" applyFont="1" applyBorder="1"/>
    <xf numFmtId="0" fontId="1" fillId="31" borderId="25" xfId="1" applyFont="1" applyFill="1" applyBorder="1" applyAlignment="1">
      <alignment wrapText="1"/>
    </xf>
    <xf numFmtId="172" fontId="1" fillId="31" borderId="25" xfId="1" applyNumberFormat="1" applyFont="1" applyFill="1" applyBorder="1"/>
    <xf numFmtId="2" fontId="2" fillId="0" borderId="25" xfId="1" applyNumberFormat="1" applyFont="1" applyBorder="1"/>
    <xf numFmtId="2" fontId="1" fillId="0" borderId="25" xfId="1" applyNumberFormat="1" applyFont="1" applyBorder="1"/>
    <xf numFmtId="2" fontId="2" fillId="3" borderId="25" xfId="1" applyNumberFormat="1" applyFont="1" applyFill="1" applyBorder="1"/>
    <xf numFmtId="164" fontId="20" fillId="9" borderId="25" xfId="0" applyNumberFormat="1" applyFont="1" applyFill="1" applyBorder="1"/>
    <xf numFmtId="164" fontId="21" fillId="9" borderId="25" xfId="0" applyNumberFormat="1" applyFont="1" applyFill="1" applyBorder="1"/>
    <xf numFmtId="49" fontId="31" fillId="2" borderId="36" xfId="1" applyNumberFormat="1" applyFont="1" applyFill="1" applyBorder="1" applyAlignment="1">
      <alignment horizontal="center"/>
    </xf>
    <xf numFmtId="0" fontId="21" fillId="0" borderId="25" xfId="1" applyFont="1" applyBorder="1" applyAlignment="1">
      <alignment vertical="center"/>
    </xf>
    <xf numFmtId="168" fontId="31" fillId="2" borderId="8" xfId="6" applyFont="1" applyFill="1" applyBorder="1" applyAlignment="1">
      <alignment horizontal="center"/>
    </xf>
    <xf numFmtId="49" fontId="32" fillId="2" borderId="36" xfId="1" applyNumberFormat="1" applyFont="1" applyFill="1" applyBorder="1" applyAlignment="1">
      <alignment horizontal="center"/>
    </xf>
    <xf numFmtId="168" fontId="32" fillId="2" borderId="8" xfId="6" applyFont="1" applyFill="1" applyBorder="1" applyAlignment="1">
      <alignment horizontal="center"/>
    </xf>
    <xf numFmtId="168" fontId="32" fillId="2" borderId="18" xfId="6" applyFont="1" applyFill="1" applyBorder="1" applyAlignment="1">
      <alignment horizontal="center"/>
    </xf>
    <xf numFmtId="168" fontId="32" fillId="9" borderId="18" xfId="6" applyFont="1" applyFill="1" applyBorder="1" applyAlignment="1">
      <alignment horizontal="center"/>
    </xf>
    <xf numFmtId="168" fontId="31" fillId="2" borderId="18" xfId="6" applyFont="1" applyFill="1" applyBorder="1" applyAlignment="1">
      <alignment horizontal="center"/>
    </xf>
    <xf numFmtId="168" fontId="31" fillId="9" borderId="18" xfId="6" applyFont="1" applyFill="1" applyBorder="1" applyAlignment="1">
      <alignment horizontal="center"/>
    </xf>
    <xf numFmtId="49" fontId="31" fillId="2" borderId="9" xfId="1" applyNumberFormat="1" applyFont="1" applyFill="1" applyBorder="1" applyAlignment="1">
      <alignment horizontal="center"/>
    </xf>
    <xf numFmtId="0" fontId="31" fillId="2" borderId="33" xfId="1" applyFont="1" applyFill="1" applyBorder="1" applyAlignment="1">
      <alignment horizontal="justify" vertical="justify" wrapText="1"/>
    </xf>
    <xf numFmtId="169" fontId="31" fillId="9" borderId="8" xfId="6" applyNumberFormat="1" applyFont="1" applyFill="1" applyBorder="1" applyAlignment="1">
      <alignment horizontal="center"/>
    </xf>
    <xf numFmtId="169" fontId="31" fillId="9" borderId="9" xfId="6" applyNumberFormat="1" applyFont="1" applyFill="1" applyBorder="1" applyAlignment="1">
      <alignment horizontal="center"/>
    </xf>
    <xf numFmtId="168" fontId="31" fillId="9" borderId="9" xfId="6" applyFont="1" applyFill="1" applyBorder="1" applyAlignment="1">
      <alignment horizontal="center"/>
    </xf>
    <xf numFmtId="0" fontId="32" fillId="2" borderId="37" xfId="1" applyFont="1" applyFill="1" applyBorder="1" applyAlignment="1">
      <alignment horizontal="justify" vertical="justify" wrapText="1"/>
    </xf>
    <xf numFmtId="169" fontId="32" fillId="9" borderId="8" xfId="6" applyNumberFormat="1" applyFont="1" applyFill="1" applyBorder="1" applyAlignment="1">
      <alignment horizontal="center"/>
    </xf>
    <xf numFmtId="168" fontId="32" fillId="9" borderId="8" xfId="6" applyFont="1" applyFill="1" applyBorder="1" applyAlignment="1">
      <alignment horizontal="center"/>
    </xf>
    <xf numFmtId="0" fontId="31" fillId="2" borderId="37" xfId="1" applyFont="1" applyFill="1" applyBorder="1" applyAlignment="1">
      <alignment horizontal="justify" vertical="justify" wrapText="1"/>
    </xf>
    <xf numFmtId="168" fontId="31" fillId="9" borderId="8" xfId="6" applyFont="1" applyFill="1" applyBorder="1" applyAlignment="1">
      <alignment horizontal="center"/>
    </xf>
    <xf numFmtId="49" fontId="32" fillId="9" borderId="36" xfId="1" applyNumberFormat="1" applyFont="1" applyFill="1" applyBorder="1" applyAlignment="1">
      <alignment horizontal="center"/>
    </xf>
    <xf numFmtId="0" fontId="32" fillId="9" borderId="37" xfId="1" applyFont="1" applyFill="1" applyBorder="1" applyAlignment="1">
      <alignment horizontal="justify" vertical="justify" wrapText="1"/>
    </xf>
    <xf numFmtId="49" fontId="31" fillId="2" borderId="25" xfId="1" applyNumberFormat="1" applyFont="1" applyFill="1" applyBorder="1" applyAlignment="1">
      <alignment horizontal="center"/>
    </xf>
    <xf numFmtId="0" fontId="34" fillId="2" borderId="0" xfId="1" applyFont="1" applyFill="1"/>
    <xf numFmtId="0" fontId="34" fillId="0" borderId="0" xfId="1" applyFont="1"/>
    <xf numFmtId="0" fontId="32" fillId="10" borderId="1" xfId="1" applyFont="1" applyFill="1" applyBorder="1" applyAlignment="1">
      <alignment horizontal="center" vertical="center" textRotation="90" wrapText="1"/>
    </xf>
    <xf numFmtId="0" fontId="32" fillId="10" borderId="12" xfId="1" applyFont="1" applyFill="1" applyBorder="1" applyAlignment="1">
      <alignment horizontal="center" vertical="center" textRotation="90" wrapText="1"/>
    </xf>
    <xf numFmtId="0" fontId="37" fillId="18" borderId="35" xfId="1" applyFont="1" applyFill="1" applyBorder="1" applyAlignment="1">
      <alignment horizontal="center" wrapText="1"/>
    </xf>
    <xf numFmtId="0" fontId="32" fillId="10" borderId="5" xfId="1" applyFont="1" applyFill="1" applyBorder="1" applyAlignment="1">
      <alignment horizontal="center" vertical="center" textRotation="90" wrapText="1"/>
    </xf>
    <xf numFmtId="0" fontId="32" fillId="19" borderId="35" xfId="1" applyFont="1" applyFill="1" applyBorder="1" applyAlignment="1">
      <alignment horizontal="center" vertical="center" textRotation="90" wrapText="1"/>
    </xf>
    <xf numFmtId="0" fontId="32" fillId="20" borderId="35" xfId="1" applyFont="1" applyFill="1" applyBorder="1" applyAlignment="1">
      <alignment horizontal="center" vertical="center" textRotation="90" wrapText="1"/>
    </xf>
    <xf numFmtId="0" fontId="32" fillId="21" borderId="4" xfId="1" applyFont="1" applyFill="1" applyBorder="1" applyAlignment="1">
      <alignment horizontal="center" vertical="center" textRotation="90" wrapText="1"/>
    </xf>
    <xf numFmtId="0" fontId="34" fillId="0" borderId="0" xfId="1" applyFont="1" applyFill="1"/>
    <xf numFmtId="49" fontId="32" fillId="2" borderId="7" xfId="1" applyNumberFormat="1" applyFont="1" applyFill="1" applyBorder="1" applyAlignment="1">
      <alignment horizontal="center"/>
    </xf>
    <xf numFmtId="168" fontId="32" fillId="2" borderId="7" xfId="6" applyFont="1" applyFill="1" applyBorder="1" applyAlignment="1">
      <alignment horizontal="center"/>
    </xf>
    <xf numFmtId="0" fontId="26" fillId="2" borderId="0" xfId="1" applyFont="1" applyFill="1"/>
    <xf numFmtId="0" fontId="26" fillId="0" borderId="0" xfId="1" applyFont="1"/>
    <xf numFmtId="0" fontId="37" fillId="0" borderId="0" xfId="1" applyFont="1"/>
    <xf numFmtId="49" fontId="31" fillId="2" borderId="8" xfId="1" applyNumberFormat="1" applyFont="1" applyFill="1" applyBorder="1" applyAlignment="1">
      <alignment horizontal="center"/>
    </xf>
    <xf numFmtId="0" fontId="25" fillId="2" borderId="0" xfId="1" applyFont="1" applyFill="1"/>
    <xf numFmtId="0" fontId="25" fillId="0" borderId="0" xfId="1" applyFont="1"/>
    <xf numFmtId="0" fontId="31" fillId="0" borderId="9" xfId="1" applyFont="1" applyFill="1" applyBorder="1" applyAlignment="1">
      <alignment horizontal="center" vertical="center" wrapText="1"/>
    </xf>
    <xf numFmtId="0" fontId="32" fillId="0" borderId="9" xfId="1" applyFont="1" applyFill="1" applyBorder="1" applyAlignment="1">
      <alignment horizontal="center" vertical="center" wrapText="1"/>
    </xf>
    <xf numFmtId="0" fontId="25" fillId="9" borderId="0" xfId="1" applyFont="1" applyFill="1"/>
    <xf numFmtId="0" fontId="26" fillId="9" borderId="0" xfId="1" applyFont="1" applyFill="1"/>
    <xf numFmtId="0" fontId="37" fillId="9" borderId="0" xfId="1" applyFont="1" applyFill="1"/>
    <xf numFmtId="49" fontId="31" fillId="9" borderId="36" xfId="1" applyNumberFormat="1" applyFont="1" applyFill="1" applyBorder="1" applyAlignment="1">
      <alignment horizontal="center"/>
    </xf>
    <xf numFmtId="0" fontId="31" fillId="9" borderId="37" xfId="1" applyFont="1" applyFill="1" applyBorder="1" applyAlignment="1">
      <alignment horizontal="justify" vertical="justify" wrapText="1"/>
    </xf>
    <xf numFmtId="0" fontId="34" fillId="9" borderId="0" xfId="1" applyFont="1" applyFill="1"/>
    <xf numFmtId="168" fontId="25" fillId="9" borderId="0" xfId="1" applyNumberFormat="1" applyFont="1" applyFill="1"/>
    <xf numFmtId="49" fontId="31" fillId="9" borderId="38" xfId="1" applyNumberFormat="1" applyFont="1" applyFill="1" applyBorder="1" applyAlignment="1">
      <alignment horizontal="center"/>
    </xf>
    <xf numFmtId="0" fontId="32" fillId="22" borderId="35" xfId="1" applyFont="1" applyFill="1" applyBorder="1" applyAlignment="1">
      <alignment vertical="center" wrapText="1"/>
    </xf>
    <xf numFmtId="0" fontId="32" fillId="22" borderId="2" xfId="1" applyFont="1" applyFill="1" applyBorder="1" applyAlignment="1">
      <alignment vertical="center" wrapText="1"/>
    </xf>
    <xf numFmtId="168" fontId="32" fillId="23" borderId="35" xfId="6" applyFont="1" applyFill="1" applyBorder="1" applyAlignment="1">
      <alignment vertical="center" wrapText="1"/>
    </xf>
    <xf numFmtId="168" fontId="32" fillId="23" borderId="5" xfId="6" applyFont="1" applyFill="1" applyBorder="1" applyAlignment="1">
      <alignment vertical="center" wrapText="1"/>
    </xf>
    <xf numFmtId="49" fontId="34" fillId="2" borderId="0" xfId="1" applyNumberFormat="1" applyFont="1" applyFill="1" applyAlignment="1">
      <alignment horizontal="center"/>
    </xf>
    <xf numFmtId="0" fontId="32" fillId="24" borderId="0" xfId="1" applyFont="1" applyFill="1" applyBorder="1" applyAlignment="1">
      <alignment vertical="center" wrapText="1"/>
    </xf>
    <xf numFmtId="169" fontId="34" fillId="2" borderId="0" xfId="1" applyNumberFormat="1" applyFont="1" applyFill="1"/>
    <xf numFmtId="0" fontId="38" fillId="2" borderId="0" xfId="1" applyFont="1" applyFill="1"/>
    <xf numFmtId="49" fontId="32" fillId="2" borderId="0" xfId="1" applyNumberFormat="1" applyFont="1" applyFill="1" applyBorder="1" applyAlignment="1">
      <alignment horizontal="left"/>
    </xf>
    <xf numFmtId="0" fontId="37" fillId="2" borderId="0" xfId="1" applyFont="1" applyFill="1" applyAlignment="1">
      <alignment wrapText="1"/>
    </xf>
    <xf numFmtId="164" fontId="37" fillId="2" borderId="0" xfId="1" applyNumberFormat="1" applyFont="1" applyFill="1"/>
    <xf numFmtId="0" fontId="37" fillId="2" borderId="0" xfId="1" applyFont="1" applyFill="1"/>
    <xf numFmtId="44" fontId="37" fillId="2" borderId="0" xfId="1" applyNumberFormat="1" applyFont="1" applyFill="1"/>
    <xf numFmtId="0" fontId="34" fillId="2" borderId="0" xfId="1" applyFont="1" applyFill="1" applyAlignment="1">
      <alignment horizontal="center"/>
    </xf>
    <xf numFmtId="0" fontId="34" fillId="2" borderId="0" xfId="1" applyFont="1" applyFill="1" applyAlignment="1">
      <alignment wrapText="1"/>
    </xf>
    <xf numFmtId="164" fontId="0" fillId="0" borderId="25" xfId="0" applyNumberFormat="1" applyFill="1" applyBorder="1"/>
    <xf numFmtId="0" fontId="0" fillId="0" borderId="0" xfId="0" applyFill="1"/>
    <xf numFmtId="0" fontId="11" fillId="0" borderId="27" xfId="0" applyFont="1" applyFill="1" applyBorder="1" applyAlignment="1">
      <alignment horizontal="left"/>
    </xf>
    <xf numFmtId="0" fontId="11" fillId="0" borderId="25" xfId="0" applyFont="1" applyFill="1" applyBorder="1"/>
    <xf numFmtId="164" fontId="0" fillId="0" borderId="26" xfId="0" applyNumberFormat="1" applyFont="1" applyFill="1" applyBorder="1"/>
    <xf numFmtId="0" fontId="12" fillId="0" borderId="27" xfId="0" applyFont="1" applyFill="1" applyBorder="1" applyAlignment="1">
      <alignment horizontal="left"/>
    </xf>
    <xf numFmtId="0" fontId="12" fillId="0" borderId="25" xfId="0" applyFont="1" applyFill="1" applyBorder="1"/>
    <xf numFmtId="164" fontId="10" fillId="0" borderId="25" xfId="0" applyNumberFormat="1" applyFont="1" applyFill="1" applyBorder="1"/>
    <xf numFmtId="164" fontId="10" fillId="0" borderId="26" xfId="0" applyNumberFormat="1" applyFont="1" applyFill="1" applyBorder="1"/>
    <xf numFmtId="44" fontId="28" fillId="0" borderId="25" xfId="3" applyFont="1" applyFill="1" applyBorder="1"/>
    <xf numFmtId="164" fontId="11" fillId="0" borderId="25" xfId="0" applyNumberFormat="1" applyFont="1" applyFill="1" applyBorder="1"/>
    <xf numFmtId="44" fontId="12" fillId="0" borderId="25" xfId="0" applyNumberFormat="1" applyFont="1" applyFill="1" applyBorder="1"/>
    <xf numFmtId="0" fontId="0" fillId="0" borderId="25" xfId="0" applyFont="1" applyFill="1" applyBorder="1"/>
    <xf numFmtId="164" fontId="0" fillId="0" borderId="42" xfId="0" applyNumberFormat="1" applyFont="1" applyFill="1" applyBorder="1"/>
    <xf numFmtId="164" fontId="0" fillId="0" borderId="27" xfId="0" applyNumberFormat="1" applyFill="1" applyBorder="1"/>
    <xf numFmtId="164" fontId="10" fillId="0" borderId="44" xfId="0" applyNumberFormat="1" applyFont="1" applyFill="1" applyBorder="1"/>
    <xf numFmtId="164" fontId="25" fillId="0" borderId="25" xfId="0" applyNumberFormat="1" applyFont="1" applyFill="1" applyBorder="1"/>
    <xf numFmtId="164" fontId="10" fillId="0" borderId="42" xfId="0" applyNumberFormat="1" applyFont="1" applyFill="1" applyBorder="1"/>
    <xf numFmtId="164" fontId="10" fillId="0" borderId="27" xfId="0" applyNumberFormat="1" applyFont="1" applyFill="1" applyBorder="1"/>
    <xf numFmtId="164" fontId="0" fillId="0" borderId="25" xfId="4" applyFont="1" applyFill="1" applyBorder="1"/>
    <xf numFmtId="164" fontId="0" fillId="0" borderId="42" xfId="0" applyNumberFormat="1" applyFill="1" applyBorder="1"/>
    <xf numFmtId="164" fontId="0" fillId="0" borderId="26" xfId="0" applyNumberFormat="1" applyFill="1" applyBorder="1"/>
    <xf numFmtId="0" fontId="27" fillId="0" borderId="25" xfId="0" applyFont="1" applyFill="1" applyBorder="1" applyAlignment="1">
      <alignment horizontal="left"/>
    </xf>
    <xf numFmtId="0" fontId="27" fillId="0" borderId="25" xfId="0" applyFont="1" applyFill="1" applyBorder="1"/>
    <xf numFmtId="164" fontId="25" fillId="0" borderId="42" xfId="0" applyNumberFormat="1" applyFont="1" applyFill="1" applyBorder="1"/>
    <xf numFmtId="164" fontId="25" fillId="0" borderId="27" xfId="0" applyNumberFormat="1" applyFont="1" applyFill="1" applyBorder="1"/>
    <xf numFmtId="164" fontId="26" fillId="0" borderId="44" xfId="0" applyNumberFormat="1" applyFont="1" applyFill="1" applyBorder="1"/>
    <xf numFmtId="49" fontId="34" fillId="2" borderId="0" xfId="1" applyNumberFormat="1" applyFont="1" applyFill="1" applyBorder="1" applyAlignment="1">
      <alignment horizontal="justify"/>
    </xf>
    <xf numFmtId="0" fontId="32" fillId="16" borderId="32" xfId="1" applyFont="1" applyFill="1" applyBorder="1" applyAlignment="1">
      <alignment horizontal="center" vertical="center" textRotation="90" wrapText="1"/>
    </xf>
    <xf numFmtId="0" fontId="32" fillId="16" borderId="11" xfId="1" applyFont="1" applyFill="1" applyBorder="1" applyAlignment="1">
      <alignment horizontal="center" vertical="center" textRotation="90" wrapText="1"/>
    </xf>
    <xf numFmtId="0" fontId="32" fillId="16" borderId="6" xfId="1" applyFont="1" applyFill="1" applyBorder="1" applyAlignment="1">
      <alignment horizontal="center" vertical="center" textRotation="90" wrapText="1"/>
    </xf>
    <xf numFmtId="0" fontId="32" fillId="17" borderId="1" xfId="1" applyFont="1" applyFill="1" applyBorder="1" applyAlignment="1" applyProtection="1">
      <alignment horizontal="center" vertical="center" textRotation="90" wrapText="1"/>
      <protection locked="0" hidden="1"/>
    </xf>
    <xf numFmtId="0" fontId="32" fillId="17" borderId="12" xfId="1" applyFont="1" applyFill="1" applyBorder="1" applyAlignment="1" applyProtection="1">
      <alignment horizontal="center" vertical="center" textRotation="90" wrapText="1"/>
      <protection locked="0" hidden="1"/>
    </xf>
    <xf numFmtId="0" fontId="32" fillId="17" borderId="5" xfId="1" applyFont="1" applyFill="1" applyBorder="1" applyAlignment="1" applyProtection="1">
      <alignment horizontal="center" vertical="center" textRotation="90" wrapText="1"/>
      <protection locked="0" hidden="1"/>
    </xf>
    <xf numFmtId="0" fontId="37" fillId="18" borderId="2" xfId="1" applyFont="1" applyFill="1" applyBorder="1" applyAlignment="1">
      <alignment horizontal="center"/>
    </xf>
    <xf numFmtId="0" fontId="37" fillId="18" borderId="4" xfId="1" applyFont="1" applyFill="1" applyBorder="1" applyAlignment="1">
      <alignment horizontal="center"/>
    </xf>
    <xf numFmtId="0" fontId="32" fillId="11" borderId="32" xfId="1" applyFont="1" applyFill="1" applyBorder="1" applyAlignment="1">
      <alignment horizontal="center" vertical="center" wrapText="1"/>
    </xf>
    <xf numFmtId="0" fontId="32" fillId="11" borderId="11" xfId="1" applyFont="1" applyFill="1" applyBorder="1" applyAlignment="1">
      <alignment horizontal="center" vertical="center" wrapText="1"/>
    </xf>
    <xf numFmtId="0" fontId="32" fillId="11" borderId="0" xfId="1" applyFont="1" applyFill="1" applyBorder="1" applyAlignment="1">
      <alignment horizontal="center" vertical="center" wrapText="1"/>
    </xf>
    <xf numFmtId="0" fontId="32" fillId="12" borderId="2" xfId="1" applyFont="1" applyFill="1" applyBorder="1" applyAlignment="1">
      <alignment horizontal="center"/>
    </xf>
    <xf numFmtId="0" fontId="32" fillId="12" borderId="3" xfId="1" applyFont="1" applyFill="1" applyBorder="1" applyAlignment="1">
      <alignment horizontal="center"/>
    </xf>
    <xf numFmtId="0" fontId="32" fillId="13" borderId="32" xfId="1" applyFont="1" applyFill="1" applyBorder="1" applyAlignment="1">
      <alignment horizontal="center" vertical="center" textRotation="90" wrapText="1"/>
    </xf>
    <xf numFmtId="0" fontId="32" fillId="13" borderId="11" xfId="1" applyFont="1" applyFill="1" applyBorder="1" applyAlignment="1">
      <alignment horizontal="center" vertical="center" textRotation="90" wrapText="1"/>
    </xf>
    <xf numFmtId="0" fontId="32" fillId="13" borderId="6" xfId="1" applyFont="1" applyFill="1" applyBorder="1" applyAlignment="1">
      <alignment horizontal="center" vertical="center" textRotation="90" wrapText="1"/>
    </xf>
    <xf numFmtId="0" fontId="32" fillId="14" borderId="32" xfId="1" applyFont="1" applyFill="1" applyBorder="1" applyAlignment="1">
      <alignment horizontal="center" vertical="center" textRotation="90" wrapText="1"/>
    </xf>
    <xf numFmtId="0" fontId="32" fillId="14" borderId="11" xfId="1" applyFont="1" applyFill="1" applyBorder="1" applyAlignment="1">
      <alignment horizontal="center" vertical="center" textRotation="90" wrapText="1"/>
    </xf>
    <xf numFmtId="0" fontId="32" fillId="14" borderId="6" xfId="1" applyFont="1" applyFill="1" applyBorder="1" applyAlignment="1">
      <alignment horizontal="center" vertical="center" textRotation="90" wrapText="1"/>
    </xf>
    <xf numFmtId="0" fontId="32" fillId="15" borderId="32" xfId="1" applyFont="1" applyFill="1" applyBorder="1" applyAlignment="1">
      <alignment horizontal="center" vertical="center" textRotation="90" wrapText="1"/>
    </xf>
    <xf numFmtId="0" fontId="32" fillId="15" borderId="11" xfId="1" applyFont="1" applyFill="1" applyBorder="1" applyAlignment="1">
      <alignment horizontal="center" vertical="center" textRotation="90" wrapText="1"/>
    </xf>
    <xf numFmtId="0" fontId="32" fillId="15" borderId="6" xfId="1" applyFont="1" applyFill="1" applyBorder="1" applyAlignment="1">
      <alignment horizontal="center" vertical="center" textRotation="90" wrapText="1"/>
    </xf>
    <xf numFmtId="0" fontId="33" fillId="2" borderId="0" xfId="1" applyFont="1" applyFill="1" applyAlignment="1">
      <alignment horizontal="center"/>
    </xf>
    <xf numFmtId="0" fontId="33" fillId="0" borderId="0" xfId="1" applyFont="1" applyAlignment="1">
      <alignment horizontal="center"/>
    </xf>
    <xf numFmtId="0" fontId="35" fillId="2" borderId="0" xfId="1" applyFont="1" applyFill="1" applyAlignment="1">
      <alignment horizontal="center"/>
    </xf>
    <xf numFmtId="0" fontId="35" fillId="0" borderId="0" xfId="1" applyFont="1" applyAlignment="1">
      <alignment horizontal="center"/>
    </xf>
    <xf numFmtId="0" fontId="36" fillId="2" borderId="10" xfId="1" applyFont="1" applyFill="1" applyBorder="1" applyAlignment="1">
      <alignment horizontal="center"/>
    </xf>
    <xf numFmtId="0" fontId="36" fillId="0" borderId="10" xfId="1" applyFont="1" applyBorder="1" applyAlignment="1">
      <alignment horizontal="center"/>
    </xf>
    <xf numFmtId="0" fontId="5" fillId="0" borderId="25" xfId="1" applyFont="1" applyBorder="1" applyAlignment="1">
      <alignment horizontal="center" vertical="center"/>
    </xf>
    <xf numFmtId="0" fontId="5" fillId="4" borderId="25" xfId="1" applyFont="1" applyFill="1" applyBorder="1" applyAlignment="1">
      <alignment horizontal="center" vertical="center" wrapText="1"/>
    </xf>
    <xf numFmtId="0" fontId="5" fillId="5" borderId="25" xfId="1" applyFont="1" applyFill="1" applyBorder="1" applyAlignment="1">
      <alignment horizontal="center" vertical="center" wrapText="1"/>
    </xf>
    <xf numFmtId="14" fontId="5" fillId="5" borderId="25" xfId="1" applyNumberFormat="1" applyFont="1" applyFill="1" applyBorder="1" applyAlignment="1">
      <alignment horizontal="center" vertical="center" wrapText="1"/>
    </xf>
    <xf numFmtId="0" fontId="5" fillId="5" borderId="42" xfId="1" applyFont="1" applyFill="1" applyBorder="1" applyAlignment="1">
      <alignment horizontal="center" vertical="center" wrapText="1"/>
    </xf>
    <xf numFmtId="0" fontId="5" fillId="4" borderId="34" xfId="1" applyFont="1" applyFill="1" applyBorder="1" applyAlignment="1">
      <alignment horizontal="center" vertical="center" wrapText="1"/>
    </xf>
    <xf numFmtId="0" fontId="5" fillId="4" borderId="17" xfId="1" applyFont="1" applyFill="1" applyBorder="1" applyAlignment="1">
      <alignment horizontal="center" vertical="center" wrapText="1"/>
    </xf>
    <xf numFmtId="0" fontId="10" fillId="9" borderId="17" xfId="0" applyFont="1" applyFill="1" applyBorder="1" applyAlignment="1">
      <alignment horizontal="center"/>
    </xf>
    <xf numFmtId="0" fontId="10" fillId="9" borderId="18" xfId="0" applyFont="1" applyFill="1" applyBorder="1" applyAlignment="1">
      <alignment horizontal="center"/>
    </xf>
    <xf numFmtId="0" fontId="22" fillId="9" borderId="0" xfId="0" applyFont="1" applyFill="1" applyAlignment="1">
      <alignment horizontal="center"/>
    </xf>
    <xf numFmtId="0" fontId="10" fillId="9" borderId="2" xfId="0" applyFont="1" applyFill="1" applyBorder="1" applyAlignment="1">
      <alignment horizontal="center"/>
    </xf>
    <xf numFmtId="0" fontId="10" fillId="9" borderId="3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center"/>
    </xf>
    <xf numFmtId="0" fontId="10" fillId="9" borderId="15" xfId="0" applyFont="1" applyFill="1" applyBorder="1" applyAlignment="1">
      <alignment horizontal="center"/>
    </xf>
    <xf numFmtId="0" fontId="10" fillId="9" borderId="16" xfId="0" applyFont="1" applyFill="1" applyBorder="1" applyAlignment="1">
      <alignment horizontal="center"/>
    </xf>
    <xf numFmtId="0" fontId="10" fillId="9" borderId="0" xfId="0" applyFont="1" applyFill="1" applyBorder="1" applyAlignment="1">
      <alignment horizontal="center"/>
    </xf>
    <xf numFmtId="0" fontId="10" fillId="9" borderId="11" xfId="0" applyFont="1" applyFill="1" applyBorder="1" applyAlignment="1">
      <alignment horizontal="center"/>
    </xf>
    <xf numFmtId="0" fontId="10" fillId="9" borderId="48" xfId="0" applyFont="1" applyFill="1" applyBorder="1" applyAlignment="1">
      <alignment horizontal="center"/>
    </xf>
    <xf numFmtId="0" fontId="10" fillId="9" borderId="33" xfId="0" applyFont="1" applyFill="1" applyBorder="1" applyAlignment="1">
      <alignment horizontal="center"/>
    </xf>
    <xf numFmtId="0" fontId="10" fillId="9" borderId="47" xfId="0" applyFont="1" applyFill="1" applyBorder="1" applyAlignment="1">
      <alignment horizontal="center"/>
    </xf>
    <xf numFmtId="0" fontId="10" fillId="9" borderId="13" xfId="0" applyFont="1" applyFill="1" applyBorder="1" applyAlignment="1">
      <alignment horizontal="center"/>
    </xf>
    <xf numFmtId="0" fontId="10" fillId="9" borderId="53" xfId="0" applyFont="1" applyFill="1" applyBorder="1" applyAlignment="1">
      <alignment horizontal="center"/>
    </xf>
    <xf numFmtId="0" fontId="10" fillId="9" borderId="32" xfId="0" applyFont="1" applyFill="1" applyBorder="1" applyAlignment="1">
      <alignment horizontal="center"/>
    </xf>
    <xf numFmtId="0" fontId="10" fillId="9" borderId="52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53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2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18" fillId="9" borderId="25" xfId="0" applyFont="1" applyFill="1" applyBorder="1" applyAlignment="1">
      <alignment horizontal="center" wrapText="1"/>
    </xf>
    <xf numFmtId="0" fontId="5" fillId="0" borderId="17" xfId="0" applyFont="1" applyBorder="1" applyAlignment="1">
      <alignment horizontal="left" wrapText="1"/>
    </xf>
    <xf numFmtId="0" fontId="18" fillId="9" borderId="0" xfId="0" applyFont="1" applyFill="1" applyBorder="1" applyAlignment="1">
      <alignment horizontal="left" vertical="top" wrapText="1"/>
    </xf>
    <xf numFmtId="0" fontId="5" fillId="9" borderId="42" xfId="0" applyFont="1" applyFill="1" applyBorder="1" applyAlignment="1">
      <alignment horizontal="center" wrapText="1"/>
    </xf>
    <xf numFmtId="0" fontId="5" fillId="9" borderId="43" xfId="0" applyFont="1" applyFill="1" applyBorder="1" applyAlignment="1">
      <alignment horizontal="center" wrapText="1"/>
    </xf>
    <xf numFmtId="164" fontId="5" fillId="9" borderId="37" xfId="0" applyNumberFormat="1" applyFont="1" applyFill="1" applyBorder="1" applyAlignment="1">
      <alignment horizontal="right" vertical="center" wrapText="1"/>
    </xf>
    <xf numFmtId="0" fontId="5" fillId="9" borderId="42" xfId="0" applyFont="1" applyFill="1" applyBorder="1" applyAlignment="1">
      <alignment horizontal="center"/>
    </xf>
    <xf numFmtId="0" fontId="5" fillId="9" borderId="33" xfId="0" applyFont="1" applyFill="1" applyBorder="1" applyAlignment="1">
      <alignment horizontal="center"/>
    </xf>
    <xf numFmtId="0" fontId="5" fillId="9" borderId="43" xfId="0" applyFont="1" applyFill="1" applyBorder="1" applyAlignment="1">
      <alignment horizontal="center"/>
    </xf>
  </cellXfs>
  <cellStyles count="8">
    <cellStyle name="Millares 2" xfId="2" xr:uid="{00000000-0005-0000-0000-000000000000}"/>
    <cellStyle name="Millares 2 2" xfId="7" xr:uid="{00000000-0005-0000-0000-000001000000}"/>
    <cellStyle name="Moneda" xfId="3" builtinId="4"/>
    <cellStyle name="Moneda 2" xfId="6" xr:uid="{00000000-0005-0000-0000-000003000000}"/>
    <cellStyle name="Moneda 3" xfId="4" xr:uid="{00000000-0005-0000-0000-000004000000}"/>
    <cellStyle name="Normal" xfId="0" builtinId="0"/>
    <cellStyle name="Normal 2" xfId="1" xr:uid="{00000000-0005-0000-0000-000006000000}"/>
    <cellStyle name="Porcentaje" xfId="5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534D8CF3-4CF0-4D74-B18D-5810888A4E95}"/>
            </a:ext>
          </a:extLst>
        </xdr:cNvPr>
        <xdr:cNvSpPr>
          <a:spLocks noChangeArrowheads="1"/>
        </xdr:cNvSpPr>
      </xdr:nvSpPr>
      <xdr:spPr bwMode="auto">
        <a:xfrm>
          <a:off x="10382250" y="0"/>
          <a:ext cx="0" cy="0"/>
        </a:xfrm>
        <a:prstGeom prst="rect">
          <a:avLst/>
        </a:prstGeom>
        <a:solidFill>
          <a:srgbClr val="FFFFCC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60C52C8A-C98F-4A92-A33B-2180FC312704}"/>
            </a:ext>
          </a:extLst>
        </xdr:cNvPr>
        <xdr:cNvSpPr>
          <a:spLocks noChangeArrowheads="1"/>
        </xdr:cNvSpPr>
      </xdr:nvSpPr>
      <xdr:spPr bwMode="auto">
        <a:xfrm>
          <a:off x="10382250" y="0"/>
          <a:ext cx="0" cy="0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CL" sz="1000" b="1" i="0" strike="noStrike">
            <a:solidFill>
              <a:srgbClr val="FF99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9</xdr:col>
      <xdr:colOff>419099</xdr:colOff>
      <xdr:row>0</xdr:row>
      <xdr:rowOff>19050</xdr:rowOff>
    </xdr:from>
    <xdr:to>
      <xdr:col>11</xdr:col>
      <xdr:colOff>60299</xdr:colOff>
      <xdr:row>4</xdr:row>
      <xdr:rowOff>200025</xdr:rowOff>
    </xdr:to>
    <xdr:pic>
      <xdr:nvPicPr>
        <xdr:cNvPr id="4" name="Picture 6" descr="Escudo Mpal">
          <a:extLst>
            <a:ext uri="{FF2B5EF4-FFF2-40B4-BE49-F238E27FC236}">
              <a16:creationId xmlns:a16="http://schemas.microsoft.com/office/drawing/2014/main" id="{8DE2F8AD-CB32-43B8-BEA1-72A0C4A58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1674" y="19050"/>
          <a:ext cx="9080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498663</xdr:colOff>
      <xdr:row>0</xdr:row>
      <xdr:rowOff>0</xdr:rowOff>
    </xdr:from>
    <xdr:to>
      <xdr:col>6</xdr:col>
      <xdr:colOff>887133</xdr:colOff>
      <xdr:row>2</xdr:row>
      <xdr:rowOff>291926</xdr:rowOff>
    </xdr:to>
    <xdr:pic>
      <xdr:nvPicPr>
        <xdr:cNvPr id="2" name="Picture 6" descr="Escudo Mpal">
          <a:extLst>
            <a:ext uri="{FF2B5EF4-FFF2-40B4-BE49-F238E27FC236}">
              <a16:creationId xmlns:a16="http://schemas.microsoft.com/office/drawing/2014/main" id="{005349FB-15A7-4626-A2AB-47B6A3D0E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7295" y="0"/>
          <a:ext cx="388470" cy="291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168089</xdr:colOff>
      <xdr:row>0</xdr:row>
      <xdr:rowOff>0</xdr:rowOff>
    </xdr:from>
    <xdr:to>
      <xdr:col>18</xdr:col>
      <xdr:colOff>817521</xdr:colOff>
      <xdr:row>2</xdr:row>
      <xdr:rowOff>98522</xdr:rowOff>
    </xdr:to>
    <xdr:pic>
      <xdr:nvPicPr>
        <xdr:cNvPr id="2" name="Picture 6" descr="Escudo Mpal">
          <a:extLst>
            <a:ext uri="{FF2B5EF4-FFF2-40B4-BE49-F238E27FC236}">
              <a16:creationId xmlns:a16="http://schemas.microsoft.com/office/drawing/2014/main" id="{B420F1D9-01B6-4960-8720-3994EB5D1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84089" y="0"/>
          <a:ext cx="592282" cy="479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395654</xdr:colOff>
      <xdr:row>0</xdr:row>
      <xdr:rowOff>0</xdr:rowOff>
    </xdr:from>
    <xdr:to>
      <xdr:col>14</xdr:col>
      <xdr:colOff>0</xdr:colOff>
      <xdr:row>2</xdr:row>
      <xdr:rowOff>203504</xdr:rowOff>
    </xdr:to>
    <xdr:pic>
      <xdr:nvPicPr>
        <xdr:cNvPr id="2" name="Picture 6" descr="Escudo Mpal">
          <a:extLst>
            <a:ext uri="{FF2B5EF4-FFF2-40B4-BE49-F238E27FC236}">
              <a16:creationId xmlns:a16="http://schemas.microsoft.com/office/drawing/2014/main" id="{F0C11488-B68D-4A1B-8A66-93EB855CC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1804" y="0"/>
          <a:ext cx="671146" cy="736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de%20auditoria\DETALLE%20DE%20PLAZAS%20CHIRILAGUA%20181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LLE CONTRATO"/>
      <sheetName val="Sueldos Total"/>
      <sheetName val="Hoja1"/>
      <sheetName val="Sueldos linea"/>
      <sheetName val="Hoja2"/>
      <sheetName val="Hoja3"/>
      <sheetName val="FODES"/>
      <sheetName val="INVERSION"/>
      <sheetName val="Becas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N56">
            <v>13407.7518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7"/>
  </sheetPr>
  <dimension ref="A1:L71"/>
  <sheetViews>
    <sheetView tabSelected="1" topLeftCell="A25" zoomScale="104" zoomScaleNormal="104" workbookViewId="0">
      <selection activeCell="K1" sqref="K1:K1048576"/>
    </sheetView>
  </sheetViews>
  <sheetFormatPr baseColWidth="10" defaultRowHeight="12.75" x14ac:dyDescent="0.2"/>
  <cols>
    <col min="1" max="1" width="9.42578125" style="480" customWidth="1"/>
    <col min="2" max="2" width="37.42578125" style="481" customWidth="1"/>
    <col min="3" max="3" width="17.7109375" style="439" customWidth="1"/>
    <col min="4" max="4" width="18.42578125" style="439" customWidth="1"/>
    <col min="5" max="5" width="11.5703125" style="439" customWidth="1"/>
    <col min="6" max="6" width="16.140625" style="439" customWidth="1"/>
    <col min="7" max="7" width="8.42578125" style="439" customWidth="1"/>
    <col min="8" max="8" width="8.7109375" style="439" customWidth="1"/>
    <col min="9" max="9" width="10.7109375" style="439" customWidth="1"/>
    <col min="10" max="10" width="18.140625" style="474" customWidth="1"/>
    <col min="11" max="11" width="0.85546875" style="439" customWidth="1"/>
    <col min="12" max="12" width="17.42578125" style="440" customWidth="1"/>
    <col min="13" max="16384" width="11.42578125" style="440"/>
  </cols>
  <sheetData>
    <row r="1" spans="1:12" ht="21" x14ac:dyDescent="0.35">
      <c r="A1" s="532" t="s">
        <v>213</v>
      </c>
      <c r="B1" s="533"/>
      <c r="C1" s="533"/>
      <c r="D1" s="533"/>
      <c r="E1" s="533"/>
      <c r="F1" s="533"/>
      <c r="G1" s="533"/>
      <c r="H1" s="533"/>
      <c r="I1" s="533"/>
      <c r="J1" s="533"/>
    </row>
    <row r="2" spans="1:12" ht="18.75" x14ac:dyDescent="0.3">
      <c r="A2" s="534" t="s">
        <v>86</v>
      </c>
      <c r="B2" s="535"/>
      <c r="C2" s="535"/>
      <c r="D2" s="535"/>
      <c r="E2" s="535"/>
      <c r="F2" s="535"/>
      <c r="G2" s="535"/>
      <c r="H2" s="535"/>
      <c r="I2" s="535"/>
      <c r="J2" s="535"/>
    </row>
    <row r="3" spans="1:12" ht="18.75" x14ac:dyDescent="0.3">
      <c r="A3" s="534" t="s">
        <v>590</v>
      </c>
      <c r="B3" s="534"/>
      <c r="C3" s="534"/>
      <c r="D3" s="534"/>
      <c r="E3" s="534"/>
      <c r="F3" s="534"/>
      <c r="G3" s="534"/>
      <c r="H3" s="534"/>
      <c r="I3" s="534"/>
      <c r="J3" s="534"/>
    </row>
    <row r="4" spans="1:12" ht="18.75" x14ac:dyDescent="0.3">
      <c r="A4" s="534" t="s">
        <v>214</v>
      </c>
      <c r="B4" s="535"/>
      <c r="C4" s="535"/>
      <c r="D4" s="535"/>
      <c r="E4" s="535"/>
      <c r="F4" s="535"/>
      <c r="G4" s="535"/>
      <c r="H4" s="535"/>
      <c r="I4" s="535"/>
      <c r="J4" s="535"/>
    </row>
    <row r="5" spans="1:12" ht="19.5" thickBot="1" x14ac:dyDescent="0.35">
      <c r="A5" s="536" t="s">
        <v>215</v>
      </c>
      <c r="B5" s="537"/>
      <c r="C5" s="537"/>
      <c r="D5" s="537"/>
      <c r="E5" s="537"/>
      <c r="F5" s="537"/>
      <c r="G5" s="537"/>
      <c r="H5" s="537"/>
      <c r="I5" s="537"/>
      <c r="J5" s="537"/>
    </row>
    <row r="6" spans="1:12" ht="15.75" customHeight="1" thickBot="1" x14ac:dyDescent="0.3">
      <c r="A6" s="441"/>
      <c r="B6" s="518" t="s">
        <v>216</v>
      </c>
      <c r="C6" s="521" t="s">
        <v>217</v>
      </c>
      <c r="D6" s="522"/>
      <c r="E6" s="522"/>
      <c r="F6" s="523" t="s">
        <v>218</v>
      </c>
      <c r="G6" s="526" t="s">
        <v>219</v>
      </c>
      <c r="H6" s="529" t="s">
        <v>220</v>
      </c>
      <c r="I6" s="510" t="s">
        <v>221</v>
      </c>
      <c r="J6" s="513" t="s">
        <v>222</v>
      </c>
    </row>
    <row r="7" spans="1:12" ht="18" customHeight="1" thickBot="1" x14ac:dyDescent="0.25">
      <c r="A7" s="442"/>
      <c r="B7" s="519"/>
      <c r="C7" s="516" t="s">
        <v>223</v>
      </c>
      <c r="D7" s="517"/>
      <c r="E7" s="443" t="s">
        <v>224</v>
      </c>
      <c r="F7" s="524"/>
      <c r="G7" s="527"/>
      <c r="H7" s="530"/>
      <c r="I7" s="511"/>
      <c r="J7" s="514"/>
    </row>
    <row r="8" spans="1:12" s="448" customFormat="1" ht="108.75" customHeight="1" thickBot="1" x14ac:dyDescent="0.25">
      <c r="A8" s="444"/>
      <c r="B8" s="520"/>
      <c r="C8" s="445" t="s">
        <v>225</v>
      </c>
      <c r="D8" s="446" t="s">
        <v>226</v>
      </c>
      <c r="E8" s="447" t="s">
        <v>227</v>
      </c>
      <c r="F8" s="525"/>
      <c r="G8" s="528"/>
      <c r="H8" s="531"/>
      <c r="I8" s="512"/>
      <c r="J8" s="515"/>
      <c r="K8" s="439"/>
    </row>
    <row r="9" spans="1:12" s="453" customFormat="1" ht="26.25" customHeight="1" x14ac:dyDescent="0.25">
      <c r="A9" s="449">
        <v>11</v>
      </c>
      <c r="B9" s="49" t="s">
        <v>228</v>
      </c>
      <c r="C9" s="421"/>
      <c r="D9" s="421"/>
      <c r="E9" s="450"/>
      <c r="F9" s="415">
        <f>F10</f>
        <v>100395.19</v>
      </c>
      <c r="G9" s="421"/>
      <c r="H9" s="421"/>
      <c r="I9" s="421"/>
      <c r="J9" s="421">
        <f>J10</f>
        <v>100395.19</v>
      </c>
      <c r="K9" s="451"/>
      <c r="L9" s="452"/>
    </row>
    <row r="10" spans="1:12" ht="18" customHeight="1" x14ac:dyDescent="0.25">
      <c r="A10" s="454">
        <v>118</v>
      </c>
      <c r="B10" s="50" t="s">
        <v>229</v>
      </c>
      <c r="C10" s="419"/>
      <c r="D10" s="419"/>
      <c r="E10" s="419"/>
      <c r="F10" s="415">
        <f>SUM(F11:F15)</f>
        <v>100395.19</v>
      </c>
      <c r="G10" s="419"/>
      <c r="H10" s="419"/>
      <c r="I10" s="419"/>
      <c r="J10" s="419">
        <f>C10+D10+E10+F10+G10+H10+I10</f>
        <v>100395.19</v>
      </c>
      <c r="K10" s="455"/>
      <c r="L10" s="456"/>
    </row>
    <row r="11" spans="1:12" ht="18" customHeight="1" x14ac:dyDescent="0.25">
      <c r="A11" s="454">
        <v>11801</v>
      </c>
      <c r="B11" s="50" t="s">
        <v>230</v>
      </c>
      <c r="C11" s="419"/>
      <c r="D11" s="419"/>
      <c r="E11" s="419"/>
      <c r="F11" s="416">
        <v>80203.149999999994</v>
      </c>
      <c r="G11" s="419"/>
      <c r="H11" s="419"/>
      <c r="I11" s="419"/>
      <c r="J11" s="419">
        <f>C11+D11+E11+F11+G11+H11+I11</f>
        <v>80203.149999999994</v>
      </c>
      <c r="K11" s="455"/>
      <c r="L11" s="456"/>
    </row>
    <row r="12" spans="1:12" ht="18" customHeight="1" x14ac:dyDescent="0.25">
      <c r="A12" s="454">
        <v>11803</v>
      </c>
      <c r="B12" s="50" t="s">
        <v>231</v>
      </c>
      <c r="C12" s="419"/>
      <c r="D12" s="419"/>
      <c r="E12" s="419"/>
      <c r="F12" s="416">
        <v>0</v>
      </c>
      <c r="G12" s="419"/>
      <c r="H12" s="419"/>
      <c r="I12" s="419"/>
      <c r="J12" s="419">
        <f t="shared" ref="J12:J37" si="0">C12+D12+E12+F12+G12+H12+I12</f>
        <v>0</v>
      </c>
      <c r="K12" s="455"/>
      <c r="L12" s="456"/>
    </row>
    <row r="13" spans="1:12" ht="18" customHeight="1" x14ac:dyDescent="0.25">
      <c r="A13" s="454">
        <v>11804</v>
      </c>
      <c r="B13" s="50" t="s">
        <v>232</v>
      </c>
      <c r="C13" s="419"/>
      <c r="D13" s="419"/>
      <c r="E13" s="419"/>
      <c r="F13" s="416">
        <v>18548.439999999999</v>
      </c>
      <c r="G13" s="419"/>
      <c r="H13" s="419"/>
      <c r="I13" s="419"/>
      <c r="J13" s="419">
        <f>C13+D13+E13+F13+G13+H13+I13</f>
        <v>18548.439999999999</v>
      </c>
      <c r="K13" s="455"/>
      <c r="L13" s="456"/>
    </row>
    <row r="14" spans="1:12" ht="18" customHeight="1" x14ac:dyDescent="0.25">
      <c r="A14" s="457">
        <v>11806</v>
      </c>
      <c r="B14" s="50" t="s">
        <v>233</v>
      </c>
      <c r="C14" s="419"/>
      <c r="D14" s="419"/>
      <c r="E14" s="419"/>
      <c r="F14" s="416">
        <v>1272.74</v>
      </c>
      <c r="G14" s="419"/>
      <c r="H14" s="419"/>
      <c r="I14" s="419"/>
      <c r="J14" s="419">
        <f>C14+D14+E14+F14+G14+H14+I14</f>
        <v>1272.74</v>
      </c>
      <c r="K14" s="455"/>
      <c r="L14" s="456"/>
    </row>
    <row r="15" spans="1:12" ht="18" customHeight="1" x14ac:dyDescent="0.25">
      <c r="A15" s="454">
        <v>11818</v>
      </c>
      <c r="B15" s="50" t="s">
        <v>5</v>
      </c>
      <c r="C15" s="419"/>
      <c r="D15" s="419"/>
      <c r="E15" s="419"/>
      <c r="F15" s="416">
        <v>370.86</v>
      </c>
      <c r="G15" s="419"/>
      <c r="H15" s="419"/>
      <c r="I15" s="419"/>
      <c r="J15" s="419">
        <f>C15+D15+E15+F15+G15+H15+I15</f>
        <v>370.86</v>
      </c>
      <c r="K15" s="455"/>
      <c r="L15" s="456"/>
    </row>
    <row r="16" spans="1:12" s="453" customFormat="1" ht="31.5" customHeight="1" x14ac:dyDescent="0.25">
      <c r="A16" s="458">
        <v>12</v>
      </c>
      <c r="B16" s="49" t="s">
        <v>234</v>
      </c>
      <c r="C16" s="421"/>
      <c r="D16" s="421"/>
      <c r="E16" s="421"/>
      <c r="F16" s="421">
        <f>F17+F31</f>
        <v>313098.62000000005</v>
      </c>
      <c r="G16" s="421"/>
      <c r="H16" s="421"/>
      <c r="I16" s="421"/>
      <c r="J16" s="421">
        <f>J17+J31</f>
        <v>313098.62000000005</v>
      </c>
      <c r="K16" s="451"/>
      <c r="L16" s="452"/>
    </row>
    <row r="17" spans="1:12" ht="29.25" customHeight="1" x14ac:dyDescent="0.25">
      <c r="A17" s="457">
        <v>121</v>
      </c>
      <c r="B17" s="50" t="s">
        <v>235</v>
      </c>
      <c r="C17" s="419"/>
      <c r="D17" s="419"/>
      <c r="E17" s="419"/>
      <c r="F17" s="416">
        <f>SUM(F18:F30)</f>
        <v>302947.29000000004</v>
      </c>
      <c r="G17" s="419"/>
      <c r="H17" s="419"/>
      <c r="I17" s="419"/>
      <c r="J17" s="419">
        <f>C17+D17+E17+F17+G17+H17+I17</f>
        <v>302947.29000000004</v>
      </c>
      <c r="K17" s="455"/>
      <c r="L17" s="456"/>
    </row>
    <row r="18" spans="1:12" ht="29.25" customHeight="1" x14ac:dyDescent="0.25">
      <c r="A18" s="426">
        <v>12105</v>
      </c>
      <c r="B18" s="50" t="s">
        <v>236</v>
      </c>
      <c r="C18" s="419"/>
      <c r="D18" s="419"/>
      <c r="E18" s="419"/>
      <c r="F18" s="416">
        <v>33889.49</v>
      </c>
      <c r="G18" s="419"/>
      <c r="H18" s="419"/>
      <c r="I18" s="419"/>
      <c r="J18" s="419">
        <f t="shared" si="0"/>
        <v>33889.49</v>
      </c>
      <c r="K18" s="455"/>
      <c r="L18" s="456"/>
    </row>
    <row r="19" spans="1:12" ht="32.25" customHeight="1" x14ac:dyDescent="0.25">
      <c r="A19" s="426">
        <v>12106</v>
      </c>
      <c r="B19" s="50" t="s">
        <v>237</v>
      </c>
      <c r="C19" s="419"/>
      <c r="D19" s="419"/>
      <c r="E19" s="419"/>
      <c r="F19" s="416">
        <v>221</v>
      </c>
      <c r="G19" s="419"/>
      <c r="H19" s="419"/>
      <c r="I19" s="419"/>
      <c r="J19" s="419">
        <f t="shared" si="0"/>
        <v>221</v>
      </c>
      <c r="K19" s="455"/>
      <c r="L19" s="456"/>
    </row>
    <row r="20" spans="1:12" ht="18" customHeight="1" x14ac:dyDescent="0.25">
      <c r="A20" s="426">
        <v>12108</v>
      </c>
      <c r="B20" s="50" t="s">
        <v>238</v>
      </c>
      <c r="C20" s="419"/>
      <c r="D20" s="419"/>
      <c r="E20" s="419"/>
      <c r="F20" s="416">
        <v>19628.45</v>
      </c>
      <c r="G20" s="419"/>
      <c r="H20" s="419"/>
      <c r="I20" s="419"/>
      <c r="J20" s="419">
        <f t="shared" si="0"/>
        <v>19628.45</v>
      </c>
      <c r="K20" s="455"/>
      <c r="L20" s="456"/>
    </row>
    <row r="21" spans="1:12" ht="18" customHeight="1" x14ac:dyDescent="0.25">
      <c r="A21" s="426">
        <v>12109</v>
      </c>
      <c r="B21" s="50" t="s">
        <v>239</v>
      </c>
      <c r="C21" s="419"/>
      <c r="D21" s="419"/>
      <c r="E21" s="419"/>
      <c r="F21" s="416">
        <v>52653.42</v>
      </c>
      <c r="G21" s="419"/>
      <c r="H21" s="419"/>
      <c r="I21" s="419"/>
      <c r="J21" s="419">
        <f t="shared" si="0"/>
        <v>52653.42</v>
      </c>
      <c r="K21" s="455"/>
      <c r="L21" s="456"/>
    </row>
    <row r="22" spans="1:12" ht="18" customHeight="1" x14ac:dyDescent="0.25">
      <c r="A22" s="426">
        <v>12111</v>
      </c>
      <c r="B22" s="50" t="s">
        <v>240</v>
      </c>
      <c r="C22" s="419"/>
      <c r="D22" s="419"/>
      <c r="E22" s="419"/>
      <c r="F22" s="416">
        <v>3383.28</v>
      </c>
      <c r="G22" s="419"/>
      <c r="H22" s="419"/>
      <c r="I22" s="419"/>
      <c r="J22" s="419">
        <f t="shared" si="0"/>
        <v>3383.28</v>
      </c>
      <c r="K22" s="455"/>
      <c r="L22" s="456"/>
    </row>
    <row r="23" spans="1:12" ht="18" customHeight="1" x14ac:dyDescent="0.25">
      <c r="A23" s="426">
        <v>12112</v>
      </c>
      <c r="B23" s="50" t="s">
        <v>38</v>
      </c>
      <c r="C23" s="419"/>
      <c r="D23" s="419"/>
      <c r="E23" s="419"/>
      <c r="F23" s="416">
        <v>5965.98</v>
      </c>
      <c r="G23" s="419"/>
      <c r="H23" s="419"/>
      <c r="I23" s="419"/>
      <c r="J23" s="419">
        <f t="shared" si="0"/>
        <v>5965.98</v>
      </c>
      <c r="K23" s="455"/>
      <c r="L23" s="456"/>
    </row>
    <row r="24" spans="1:12" ht="18" customHeight="1" x14ac:dyDescent="0.25">
      <c r="A24" s="426">
        <v>12114</v>
      </c>
      <c r="B24" s="50" t="s">
        <v>11</v>
      </c>
      <c r="C24" s="419"/>
      <c r="D24" s="419"/>
      <c r="E24" s="419"/>
      <c r="F24" s="416">
        <v>15729.84</v>
      </c>
      <c r="G24" s="419"/>
      <c r="H24" s="419"/>
      <c r="I24" s="419"/>
      <c r="J24" s="419">
        <f t="shared" si="0"/>
        <v>15729.84</v>
      </c>
      <c r="K24" s="455"/>
      <c r="L24" s="456"/>
    </row>
    <row r="25" spans="1:12" ht="18" customHeight="1" x14ac:dyDescent="0.25">
      <c r="A25" s="426">
        <v>12115</v>
      </c>
      <c r="B25" s="50" t="s">
        <v>12</v>
      </c>
      <c r="C25" s="419"/>
      <c r="D25" s="419"/>
      <c r="E25" s="419"/>
      <c r="F25" s="416">
        <v>8702.9699999999993</v>
      </c>
      <c r="G25" s="419"/>
      <c r="H25" s="419"/>
      <c r="I25" s="419"/>
      <c r="J25" s="419">
        <f t="shared" si="0"/>
        <v>8702.9699999999993</v>
      </c>
      <c r="K25" s="455"/>
      <c r="L25" s="456"/>
    </row>
    <row r="26" spans="1:12" ht="18" customHeight="1" x14ac:dyDescent="0.25">
      <c r="A26" s="426">
        <v>12117</v>
      </c>
      <c r="B26" s="50" t="s">
        <v>42</v>
      </c>
      <c r="C26" s="419"/>
      <c r="D26" s="419"/>
      <c r="E26" s="419"/>
      <c r="F26" s="416">
        <v>21855.8</v>
      </c>
      <c r="G26" s="419"/>
      <c r="H26" s="419"/>
      <c r="I26" s="419"/>
      <c r="J26" s="419">
        <f t="shared" si="0"/>
        <v>21855.8</v>
      </c>
      <c r="K26" s="455"/>
      <c r="L26" s="456"/>
    </row>
    <row r="27" spans="1:12" ht="18" customHeight="1" x14ac:dyDescent="0.25">
      <c r="A27" s="426">
        <v>12118</v>
      </c>
      <c r="B27" s="50" t="s">
        <v>241</v>
      </c>
      <c r="C27" s="419"/>
      <c r="D27" s="419"/>
      <c r="E27" s="419"/>
      <c r="F27" s="416">
        <v>116792.26</v>
      </c>
      <c r="G27" s="419"/>
      <c r="H27" s="419"/>
      <c r="I27" s="419"/>
      <c r="J27" s="419">
        <f t="shared" si="0"/>
        <v>116792.26</v>
      </c>
      <c r="K27" s="455"/>
      <c r="L27" s="456"/>
    </row>
    <row r="28" spans="1:12" ht="18" customHeight="1" x14ac:dyDescent="0.25">
      <c r="A28" s="417">
        <v>12119</v>
      </c>
      <c r="B28" s="50" t="s">
        <v>242</v>
      </c>
      <c r="C28" s="419"/>
      <c r="D28" s="419"/>
      <c r="E28" s="419"/>
      <c r="F28" s="416">
        <v>1409.58</v>
      </c>
      <c r="G28" s="419"/>
      <c r="H28" s="419"/>
      <c r="I28" s="419"/>
      <c r="J28" s="419">
        <f t="shared" si="0"/>
        <v>1409.58</v>
      </c>
      <c r="K28" s="455"/>
      <c r="L28" s="456"/>
    </row>
    <row r="29" spans="1:12" ht="18" customHeight="1" x14ac:dyDescent="0.25">
      <c r="A29" s="417">
        <v>12123</v>
      </c>
      <c r="B29" s="50" t="s">
        <v>243</v>
      </c>
      <c r="C29" s="419"/>
      <c r="D29" s="419"/>
      <c r="E29" s="419"/>
      <c r="F29" s="416">
        <v>18227.59</v>
      </c>
      <c r="G29" s="419"/>
      <c r="H29" s="419"/>
      <c r="I29" s="419"/>
      <c r="J29" s="419">
        <f t="shared" si="0"/>
        <v>18227.59</v>
      </c>
      <c r="K29" s="455"/>
      <c r="L29" s="456"/>
    </row>
    <row r="30" spans="1:12" ht="18" customHeight="1" x14ac:dyDescent="0.25">
      <c r="A30" s="417">
        <v>12199</v>
      </c>
      <c r="B30" s="50" t="s">
        <v>244</v>
      </c>
      <c r="C30" s="419"/>
      <c r="D30" s="419"/>
      <c r="E30" s="419"/>
      <c r="F30" s="416">
        <v>4487.63</v>
      </c>
      <c r="G30" s="419"/>
      <c r="H30" s="419"/>
      <c r="I30" s="419"/>
      <c r="J30" s="419">
        <f t="shared" si="0"/>
        <v>4487.63</v>
      </c>
      <c r="K30" s="455"/>
      <c r="L30" s="456"/>
    </row>
    <row r="31" spans="1:12" ht="18" customHeight="1" x14ac:dyDescent="0.25">
      <c r="A31" s="417">
        <v>122</v>
      </c>
      <c r="B31" s="50" t="s">
        <v>245</v>
      </c>
      <c r="C31" s="419"/>
      <c r="D31" s="419"/>
      <c r="E31" s="419"/>
      <c r="F31" s="416">
        <f>SUM(F32:F33)</f>
        <v>10151.33</v>
      </c>
      <c r="G31" s="419"/>
      <c r="H31" s="419"/>
      <c r="I31" s="419"/>
      <c r="J31" s="419">
        <f>C31+D31+E31+F31+G31+H31+I31</f>
        <v>10151.33</v>
      </c>
      <c r="K31" s="455"/>
      <c r="L31" s="456"/>
    </row>
    <row r="32" spans="1:12" ht="18" customHeight="1" x14ac:dyDescent="0.25">
      <c r="A32" s="417">
        <v>12210</v>
      </c>
      <c r="B32" s="50" t="s">
        <v>246</v>
      </c>
      <c r="C32" s="419"/>
      <c r="D32" s="419"/>
      <c r="E32" s="419"/>
      <c r="F32" s="416">
        <v>9946.65</v>
      </c>
      <c r="G32" s="419"/>
      <c r="H32" s="419"/>
      <c r="I32" s="419"/>
      <c r="J32" s="419">
        <f t="shared" si="0"/>
        <v>9946.65</v>
      </c>
      <c r="K32" s="455"/>
      <c r="L32" s="456"/>
    </row>
    <row r="33" spans="1:12" ht="18" customHeight="1" x14ac:dyDescent="0.25">
      <c r="A33" s="417">
        <v>12211</v>
      </c>
      <c r="B33" s="50" t="s">
        <v>247</v>
      </c>
      <c r="C33" s="419"/>
      <c r="D33" s="419"/>
      <c r="E33" s="419"/>
      <c r="F33" s="416">
        <v>204.68</v>
      </c>
      <c r="G33" s="419"/>
      <c r="H33" s="419"/>
      <c r="I33" s="419"/>
      <c r="J33" s="419">
        <f t="shared" si="0"/>
        <v>204.68</v>
      </c>
      <c r="K33" s="455"/>
      <c r="L33" s="456"/>
    </row>
    <row r="34" spans="1:12" s="453" customFormat="1" ht="24" customHeight="1" x14ac:dyDescent="0.25">
      <c r="A34" s="420">
        <v>14</v>
      </c>
      <c r="B34" s="49" t="s">
        <v>248</v>
      </c>
      <c r="C34" s="421"/>
      <c r="D34" s="421"/>
      <c r="E34" s="421"/>
      <c r="F34" s="421">
        <f>F35</f>
        <v>3654.34</v>
      </c>
      <c r="G34" s="421"/>
      <c r="H34" s="421"/>
      <c r="I34" s="421"/>
      <c r="J34" s="421">
        <f>SUM(J35:J38)</f>
        <v>7308.68</v>
      </c>
      <c r="K34" s="451"/>
      <c r="L34" s="452"/>
    </row>
    <row r="35" spans="1:12" ht="31.5" x14ac:dyDescent="0.25">
      <c r="A35" s="417">
        <v>142</v>
      </c>
      <c r="B35" s="50" t="s">
        <v>249</v>
      </c>
      <c r="C35" s="419"/>
      <c r="D35" s="419"/>
      <c r="E35" s="419"/>
      <c r="F35" s="416">
        <f>F36+F37</f>
        <v>3654.34</v>
      </c>
      <c r="G35" s="419"/>
      <c r="H35" s="419"/>
      <c r="I35" s="419"/>
      <c r="J35" s="419">
        <f t="shared" si="0"/>
        <v>3654.34</v>
      </c>
      <c r="K35" s="455"/>
      <c r="L35" s="456"/>
    </row>
    <row r="36" spans="1:12" ht="15.75" x14ac:dyDescent="0.25">
      <c r="A36" s="417" t="s">
        <v>250</v>
      </c>
      <c r="B36" s="50" t="s">
        <v>251</v>
      </c>
      <c r="C36" s="419"/>
      <c r="D36" s="419"/>
      <c r="E36" s="419"/>
      <c r="F36" s="416">
        <v>1329.4</v>
      </c>
      <c r="G36" s="419"/>
      <c r="H36" s="419"/>
      <c r="I36" s="419"/>
      <c r="J36" s="419">
        <f t="shared" si="0"/>
        <v>1329.4</v>
      </c>
      <c r="K36" s="455"/>
      <c r="L36" s="456"/>
    </row>
    <row r="37" spans="1:12" ht="18" customHeight="1" x14ac:dyDescent="0.25">
      <c r="A37" s="417">
        <v>14299</v>
      </c>
      <c r="B37" s="50" t="s">
        <v>252</v>
      </c>
      <c r="C37" s="419"/>
      <c r="D37" s="419"/>
      <c r="E37" s="419"/>
      <c r="F37" s="416">
        <v>2324.94</v>
      </c>
      <c r="G37" s="419"/>
      <c r="H37" s="419"/>
      <c r="I37" s="419"/>
      <c r="J37" s="419">
        <f t="shared" si="0"/>
        <v>2324.94</v>
      </c>
      <c r="K37" s="455"/>
      <c r="L37" s="456"/>
    </row>
    <row r="38" spans="1:12" ht="18" customHeight="1" x14ac:dyDescent="0.25">
      <c r="A38" s="417">
        <v>14399</v>
      </c>
      <c r="B38" s="50" t="s">
        <v>253</v>
      </c>
      <c r="C38" s="419"/>
      <c r="D38" s="419"/>
      <c r="E38" s="419"/>
      <c r="F38" s="416"/>
      <c r="G38" s="419"/>
      <c r="H38" s="419"/>
      <c r="I38" s="419"/>
      <c r="J38" s="419">
        <f t="shared" ref="J38" si="1">C38+D38+E38+F38+G38+H38+I39</f>
        <v>0</v>
      </c>
      <c r="K38" s="455"/>
      <c r="L38" s="456"/>
    </row>
    <row r="39" spans="1:12" s="453" customFormat="1" ht="23.25" customHeight="1" x14ac:dyDescent="0.25">
      <c r="A39" s="420">
        <v>15</v>
      </c>
      <c r="B39" s="49" t="s">
        <v>254</v>
      </c>
      <c r="C39" s="421"/>
      <c r="D39" s="421"/>
      <c r="E39" s="421"/>
      <c r="F39" s="421">
        <f>F40+F46+F49</f>
        <v>31705.599999999999</v>
      </c>
      <c r="G39" s="421"/>
      <c r="H39" s="421"/>
      <c r="I39" s="421"/>
      <c r="J39" s="421">
        <f>SUM(J40:J51)</f>
        <v>63411.200000000004</v>
      </c>
      <c r="K39" s="451"/>
      <c r="L39" s="452"/>
    </row>
    <row r="40" spans="1:12" ht="18" customHeight="1" x14ac:dyDescent="0.25">
      <c r="A40" s="417">
        <v>153</v>
      </c>
      <c r="B40" s="50" t="s">
        <v>255</v>
      </c>
      <c r="C40" s="419"/>
      <c r="D40" s="419"/>
      <c r="E40" s="419"/>
      <c r="F40" s="416">
        <f>SUM(F41:F45)</f>
        <v>7424.98</v>
      </c>
      <c r="G40" s="419"/>
      <c r="H40" s="419"/>
      <c r="I40" s="419"/>
      <c r="J40" s="419">
        <f t="shared" ref="J40:J51" si="2">C40+D40+E40+F40+G40+H40+I40</f>
        <v>7424.98</v>
      </c>
      <c r="K40" s="455"/>
      <c r="L40" s="456"/>
    </row>
    <row r="41" spans="1:12" ht="18" customHeight="1" x14ac:dyDescent="0.25">
      <c r="A41" s="417">
        <v>15301</v>
      </c>
      <c r="B41" s="50" t="s">
        <v>256</v>
      </c>
      <c r="C41" s="419"/>
      <c r="D41" s="419"/>
      <c r="E41" s="419"/>
      <c r="F41" s="416">
        <v>2868</v>
      </c>
      <c r="G41" s="419"/>
      <c r="H41" s="419"/>
      <c r="I41" s="419"/>
      <c r="J41" s="419">
        <f t="shared" si="2"/>
        <v>2868</v>
      </c>
      <c r="K41" s="455"/>
      <c r="L41" s="456"/>
    </row>
    <row r="42" spans="1:12" ht="18" customHeight="1" x14ac:dyDescent="0.25">
      <c r="A42" s="417">
        <v>15302</v>
      </c>
      <c r="B42" s="50" t="s">
        <v>257</v>
      </c>
      <c r="C42" s="419"/>
      <c r="D42" s="419"/>
      <c r="E42" s="419"/>
      <c r="F42" s="416">
        <v>2173.38</v>
      </c>
      <c r="G42" s="419"/>
      <c r="H42" s="419"/>
      <c r="I42" s="419"/>
      <c r="J42" s="419">
        <f t="shared" si="2"/>
        <v>2173.38</v>
      </c>
      <c r="K42" s="455"/>
      <c r="L42" s="456"/>
    </row>
    <row r="43" spans="1:12" ht="18" customHeight="1" x14ac:dyDescent="0.25">
      <c r="A43" s="417">
        <v>15312</v>
      </c>
      <c r="B43" s="50" t="s">
        <v>258</v>
      </c>
      <c r="C43" s="419"/>
      <c r="D43" s="419"/>
      <c r="E43" s="419"/>
      <c r="F43" s="416">
        <v>254.58</v>
      </c>
      <c r="G43" s="419"/>
      <c r="H43" s="419"/>
      <c r="I43" s="419"/>
      <c r="J43" s="419">
        <f t="shared" si="2"/>
        <v>254.58</v>
      </c>
      <c r="K43" s="455"/>
      <c r="L43" s="456"/>
    </row>
    <row r="44" spans="1:12" ht="18" customHeight="1" x14ac:dyDescent="0.25">
      <c r="A44" s="417" t="s">
        <v>597</v>
      </c>
      <c r="B44" s="50" t="s">
        <v>592</v>
      </c>
      <c r="C44" s="419"/>
      <c r="D44" s="419"/>
      <c r="E44" s="419"/>
      <c r="F44" s="416">
        <v>428</v>
      </c>
      <c r="G44" s="419"/>
      <c r="H44" s="419"/>
      <c r="I44" s="419"/>
      <c r="J44" s="419">
        <f t="shared" si="2"/>
        <v>428</v>
      </c>
      <c r="K44" s="455"/>
      <c r="L44" s="456"/>
    </row>
    <row r="45" spans="1:12" ht="18" customHeight="1" x14ac:dyDescent="0.25">
      <c r="A45" s="417">
        <v>15399</v>
      </c>
      <c r="B45" s="50" t="s">
        <v>259</v>
      </c>
      <c r="C45" s="419"/>
      <c r="D45" s="419"/>
      <c r="E45" s="419"/>
      <c r="F45" s="416">
        <v>1701.02</v>
      </c>
      <c r="G45" s="419"/>
      <c r="H45" s="419"/>
      <c r="I45" s="419"/>
      <c r="J45" s="419">
        <f t="shared" si="2"/>
        <v>1701.02</v>
      </c>
      <c r="K45" s="455"/>
      <c r="L45" s="456"/>
    </row>
    <row r="46" spans="1:12" ht="17.25" customHeight="1" x14ac:dyDescent="0.25">
      <c r="A46" s="417">
        <v>154</v>
      </c>
      <c r="B46" s="50" t="s">
        <v>260</v>
      </c>
      <c r="C46" s="419"/>
      <c r="D46" s="419"/>
      <c r="E46" s="419"/>
      <c r="F46" s="416">
        <f>F48+F47</f>
        <v>20821.54</v>
      </c>
      <c r="G46" s="419"/>
      <c r="H46" s="419"/>
      <c r="I46" s="419"/>
      <c r="J46" s="419">
        <f t="shared" si="2"/>
        <v>20821.54</v>
      </c>
      <c r="K46" s="455"/>
      <c r="L46" s="456"/>
    </row>
    <row r="47" spans="1:12" ht="17.25" customHeight="1" x14ac:dyDescent="0.25">
      <c r="A47" s="438" t="s">
        <v>596</v>
      </c>
      <c r="B47" s="418" t="s">
        <v>71</v>
      </c>
      <c r="C47" s="419"/>
      <c r="D47" s="419"/>
      <c r="E47" s="419"/>
      <c r="F47" s="416">
        <v>916.47</v>
      </c>
      <c r="G47" s="419"/>
      <c r="H47" s="419"/>
      <c r="I47" s="419"/>
      <c r="J47" s="419">
        <f>C47+D47+E47+F47+G47+H47+I47</f>
        <v>916.47</v>
      </c>
      <c r="K47" s="455"/>
      <c r="L47" s="456"/>
    </row>
    <row r="48" spans="1:12" ht="18" customHeight="1" x14ac:dyDescent="0.25">
      <c r="A48" s="417">
        <v>15499</v>
      </c>
      <c r="B48" s="50" t="s">
        <v>261</v>
      </c>
      <c r="C48" s="419"/>
      <c r="D48" s="419"/>
      <c r="E48" s="419"/>
      <c r="F48" s="416">
        <v>19905.07</v>
      </c>
      <c r="G48" s="419"/>
      <c r="H48" s="419"/>
      <c r="I48" s="419"/>
      <c r="J48" s="419">
        <f t="shared" si="2"/>
        <v>19905.07</v>
      </c>
      <c r="K48" s="455"/>
      <c r="L48" s="456"/>
    </row>
    <row r="49" spans="1:12" ht="18" customHeight="1" x14ac:dyDescent="0.25">
      <c r="A49" s="417">
        <v>157</v>
      </c>
      <c r="B49" s="50" t="s">
        <v>262</v>
      </c>
      <c r="C49" s="419"/>
      <c r="D49" s="419"/>
      <c r="E49" s="419"/>
      <c r="F49" s="416">
        <f>F50+F51</f>
        <v>3459.08</v>
      </c>
      <c r="G49" s="419"/>
      <c r="H49" s="419"/>
      <c r="I49" s="419"/>
      <c r="J49" s="419">
        <f t="shared" si="2"/>
        <v>3459.08</v>
      </c>
      <c r="K49" s="455"/>
      <c r="L49" s="456"/>
    </row>
    <row r="50" spans="1:12" ht="18" customHeight="1" x14ac:dyDescent="0.25">
      <c r="A50" s="417">
        <v>15703</v>
      </c>
      <c r="B50" s="50" t="s">
        <v>263</v>
      </c>
      <c r="C50" s="419"/>
      <c r="D50" s="419"/>
      <c r="E50" s="419"/>
      <c r="F50" s="416">
        <v>627.39</v>
      </c>
      <c r="G50" s="419"/>
      <c r="H50" s="419"/>
      <c r="I50" s="419"/>
      <c r="J50" s="419">
        <f t="shared" si="2"/>
        <v>627.39</v>
      </c>
      <c r="K50" s="455"/>
      <c r="L50" s="456"/>
    </row>
    <row r="51" spans="1:12" ht="20.25" customHeight="1" x14ac:dyDescent="0.25">
      <c r="A51" s="417">
        <v>15799</v>
      </c>
      <c r="B51" s="50" t="s">
        <v>264</v>
      </c>
      <c r="C51" s="419"/>
      <c r="D51" s="419"/>
      <c r="E51" s="419"/>
      <c r="F51" s="416">
        <v>2831.69</v>
      </c>
      <c r="G51" s="419"/>
      <c r="H51" s="419"/>
      <c r="I51" s="419"/>
      <c r="J51" s="419">
        <f t="shared" si="2"/>
        <v>2831.69</v>
      </c>
      <c r="K51" s="455"/>
      <c r="L51" s="456"/>
    </row>
    <row r="52" spans="1:12" s="453" customFormat="1" ht="24" customHeight="1" x14ac:dyDescent="0.25">
      <c r="A52" s="420" t="s">
        <v>265</v>
      </c>
      <c r="B52" s="49" t="s">
        <v>266</v>
      </c>
      <c r="C52" s="421">
        <f>C53</f>
        <v>577792.88</v>
      </c>
      <c r="D52" s="422">
        <f t="shared" ref="D52:I52" si="3">D53</f>
        <v>0</v>
      </c>
      <c r="E52" s="422">
        <f t="shared" si="3"/>
        <v>0</v>
      </c>
      <c r="F52" s="423">
        <f>F53</f>
        <v>0</v>
      </c>
      <c r="G52" s="422">
        <f t="shared" si="3"/>
        <v>0</v>
      </c>
      <c r="H52" s="422">
        <f t="shared" si="3"/>
        <v>0</v>
      </c>
      <c r="I52" s="422">
        <f t="shared" si="3"/>
        <v>0</v>
      </c>
      <c r="J52" s="421">
        <f>J53</f>
        <v>577792.88</v>
      </c>
      <c r="K52" s="451"/>
      <c r="L52" s="452"/>
    </row>
    <row r="53" spans="1:12" ht="29.25" customHeight="1" x14ac:dyDescent="0.25">
      <c r="A53" s="417" t="s">
        <v>267</v>
      </c>
      <c r="B53" s="50" t="s">
        <v>268</v>
      </c>
      <c r="C53" s="419">
        <f>C54+C57+C60</f>
        <v>577792.88</v>
      </c>
      <c r="D53" s="424"/>
      <c r="E53" s="424">
        <f t="shared" ref="E53:I53" si="4">E54++E57+E60</f>
        <v>0</v>
      </c>
      <c r="F53" s="425">
        <f t="shared" si="4"/>
        <v>0</v>
      </c>
      <c r="G53" s="424">
        <f t="shared" si="4"/>
        <v>0</v>
      </c>
      <c r="H53" s="424">
        <f t="shared" si="4"/>
        <v>0</v>
      </c>
      <c r="I53" s="424">
        <f t="shared" si="4"/>
        <v>0</v>
      </c>
      <c r="J53" s="419">
        <f t="shared" ref="J53" si="5">C53+D53+E53+F53+G53+H53+I53</f>
        <v>577792.88</v>
      </c>
      <c r="K53" s="455"/>
      <c r="L53" s="456"/>
    </row>
    <row r="54" spans="1:12" ht="23.25" customHeight="1" x14ac:dyDescent="0.25">
      <c r="A54" s="426" t="s">
        <v>269</v>
      </c>
      <c r="B54" s="427" t="s">
        <v>270</v>
      </c>
      <c r="C54" s="428">
        <v>577792.88</v>
      </c>
      <c r="D54" s="429"/>
      <c r="E54" s="430"/>
      <c r="F54" s="430"/>
      <c r="G54" s="430"/>
      <c r="H54" s="430"/>
      <c r="I54" s="430"/>
      <c r="J54" s="430">
        <f>J55</f>
        <v>2311170.02</v>
      </c>
      <c r="K54" s="459"/>
      <c r="L54" s="459"/>
    </row>
    <row r="55" spans="1:12" ht="18" customHeight="1" x14ac:dyDescent="0.25">
      <c r="A55" s="420" t="s">
        <v>271</v>
      </c>
      <c r="B55" s="431" t="s">
        <v>272</v>
      </c>
      <c r="C55" s="432"/>
      <c r="D55" s="432">
        <f>D56</f>
        <v>2311170.02</v>
      </c>
      <c r="E55" s="433"/>
      <c r="F55" s="433"/>
      <c r="G55" s="433"/>
      <c r="H55" s="433"/>
      <c r="I55" s="433"/>
      <c r="J55" s="433">
        <f>J56</f>
        <v>2311170.02</v>
      </c>
      <c r="K55" s="459"/>
      <c r="L55" s="459"/>
    </row>
    <row r="56" spans="1:12" s="453" customFormat="1" ht="31.5" x14ac:dyDescent="0.25">
      <c r="A56" s="417" t="s">
        <v>273</v>
      </c>
      <c r="B56" s="434" t="s">
        <v>274</v>
      </c>
      <c r="C56" s="432"/>
      <c r="D56" s="432">
        <f>D57</f>
        <v>2311170.02</v>
      </c>
      <c r="E56" s="433"/>
      <c r="F56" s="433"/>
      <c r="G56" s="433"/>
      <c r="H56" s="433"/>
      <c r="I56" s="433"/>
      <c r="J56" s="435">
        <f>J57</f>
        <v>2311170.02</v>
      </c>
      <c r="K56" s="460"/>
      <c r="L56" s="460"/>
    </row>
    <row r="57" spans="1:12" ht="18" customHeight="1" x14ac:dyDescent="0.25">
      <c r="A57" s="417" t="s">
        <v>275</v>
      </c>
      <c r="B57" s="434" t="s">
        <v>276</v>
      </c>
      <c r="C57" s="428"/>
      <c r="D57" s="428">
        <f>2888962.9-577792.52-0.36</f>
        <v>2311170.02</v>
      </c>
      <c r="E57" s="435">
        <v>0</v>
      </c>
      <c r="F57" s="435"/>
      <c r="G57" s="435"/>
      <c r="H57" s="435"/>
      <c r="I57" s="435"/>
      <c r="J57" s="435">
        <f t="shared" ref="J57" si="6">SUM(C57:I57)</f>
        <v>2311170.02</v>
      </c>
      <c r="K57" s="459"/>
      <c r="L57" s="459"/>
    </row>
    <row r="58" spans="1:12" s="461" customFormat="1" ht="18" customHeight="1" x14ac:dyDescent="0.25">
      <c r="A58" s="436" t="s">
        <v>277</v>
      </c>
      <c r="B58" s="437" t="s">
        <v>278</v>
      </c>
      <c r="C58" s="432"/>
      <c r="D58" s="432"/>
      <c r="E58" s="433"/>
      <c r="F58" s="433"/>
      <c r="G58" s="433"/>
      <c r="H58" s="433"/>
      <c r="I58" s="433"/>
      <c r="J58" s="433">
        <f>J59</f>
        <v>0</v>
      </c>
      <c r="K58" s="460"/>
      <c r="L58" s="460"/>
    </row>
    <row r="59" spans="1:12" s="464" customFormat="1" ht="18" customHeight="1" x14ac:dyDescent="0.25">
      <c r="A59" s="462" t="s">
        <v>279</v>
      </c>
      <c r="B59" s="463" t="s">
        <v>280</v>
      </c>
      <c r="C59" s="428"/>
      <c r="D59" s="428"/>
      <c r="E59" s="435"/>
      <c r="F59" s="435"/>
      <c r="G59" s="435"/>
      <c r="H59" s="435"/>
      <c r="I59" s="435"/>
      <c r="J59" s="435">
        <f>J60+J61+J62</f>
        <v>0</v>
      </c>
      <c r="K59" s="459"/>
      <c r="L59" s="459"/>
    </row>
    <row r="60" spans="1:12" s="464" customFormat="1" ht="18" customHeight="1" x14ac:dyDescent="0.25">
      <c r="A60" s="462" t="s">
        <v>281</v>
      </c>
      <c r="B60" s="463" t="s">
        <v>282</v>
      </c>
      <c r="C60" s="435"/>
      <c r="D60" s="435"/>
      <c r="E60" s="435"/>
      <c r="F60" s="435"/>
      <c r="G60" s="435"/>
      <c r="H60" s="435"/>
      <c r="I60" s="435"/>
      <c r="J60" s="435">
        <f t="shared" ref="J60:J62" si="7">C60+D60+E60+F60+G60+H60+I60</f>
        <v>0</v>
      </c>
      <c r="K60" s="465">
        <f>SUM(C60:J60)</f>
        <v>0</v>
      </c>
      <c r="L60" s="51"/>
    </row>
    <row r="61" spans="1:12" s="464" customFormat="1" ht="18" customHeight="1" x14ac:dyDescent="0.25">
      <c r="A61" s="462" t="s">
        <v>281</v>
      </c>
      <c r="B61" s="463" t="s">
        <v>282</v>
      </c>
      <c r="C61" s="435"/>
      <c r="D61" s="435"/>
      <c r="E61" s="435"/>
      <c r="F61" s="435"/>
      <c r="G61" s="435"/>
      <c r="H61" s="435"/>
      <c r="I61" s="435"/>
      <c r="J61" s="435">
        <f t="shared" si="7"/>
        <v>0</v>
      </c>
      <c r="K61" s="465"/>
      <c r="L61" s="459"/>
    </row>
    <row r="62" spans="1:12" s="464" customFormat="1" ht="16.5" thickBot="1" x14ac:dyDescent="0.3">
      <c r="A62" s="466" t="s">
        <v>283</v>
      </c>
      <c r="B62" s="463" t="s">
        <v>284</v>
      </c>
      <c r="C62" s="435"/>
      <c r="D62" s="435"/>
      <c r="E62" s="435"/>
      <c r="F62" s="435"/>
      <c r="G62" s="435"/>
      <c r="H62" s="435"/>
      <c r="I62" s="435"/>
      <c r="J62" s="435">
        <f t="shared" si="7"/>
        <v>0</v>
      </c>
      <c r="K62" s="459"/>
      <c r="L62" s="459"/>
    </row>
    <row r="63" spans="1:12" s="461" customFormat="1" ht="24.95" customHeight="1" thickBot="1" x14ac:dyDescent="0.3">
      <c r="A63" s="467"/>
      <c r="B63" s="468" t="s">
        <v>285</v>
      </c>
      <c r="C63" s="469">
        <f>SUM(C54:C62)</f>
        <v>577792.88</v>
      </c>
      <c r="D63" s="469">
        <f>D55</f>
        <v>2311170.02</v>
      </c>
      <c r="E63" s="469">
        <f>SUM(E54:E62)</f>
        <v>0</v>
      </c>
      <c r="F63" s="469">
        <f>F9+F16+F34+F39</f>
        <v>448853.75000000006</v>
      </c>
      <c r="G63" s="469">
        <f>SUM(G54:G62)</f>
        <v>0</v>
      </c>
      <c r="H63" s="469">
        <f>SUM(H54:H62)</f>
        <v>0</v>
      </c>
      <c r="I63" s="469">
        <f>SUM(I54:I62)</f>
        <v>0</v>
      </c>
      <c r="J63" s="470">
        <f>SUM(C63:I63)</f>
        <v>3337816.65</v>
      </c>
      <c r="K63" s="460"/>
      <c r="L63" s="460"/>
    </row>
    <row r="64" spans="1:12" ht="15" customHeight="1" x14ac:dyDescent="0.2">
      <c r="A64" s="471"/>
      <c r="B64" s="472"/>
      <c r="E64" s="473"/>
    </row>
    <row r="65" spans="1:11" s="453" customFormat="1" ht="20.25" customHeight="1" x14ac:dyDescent="0.25">
      <c r="A65" s="475" t="s">
        <v>286</v>
      </c>
      <c r="B65" s="476"/>
      <c r="C65" s="477"/>
      <c r="D65" s="477"/>
      <c r="E65" s="478"/>
      <c r="F65" s="479"/>
      <c r="G65" s="478"/>
      <c r="H65" s="478"/>
      <c r="I65" s="479"/>
      <c r="J65" s="474"/>
      <c r="K65" s="478"/>
    </row>
    <row r="66" spans="1:11" x14ac:dyDescent="0.2">
      <c r="A66" s="509" t="s">
        <v>287</v>
      </c>
      <c r="B66" s="509"/>
      <c r="C66" s="509"/>
      <c r="D66" s="509"/>
      <c r="E66" s="509"/>
      <c r="F66" s="509"/>
    </row>
    <row r="67" spans="1:11" x14ac:dyDescent="0.2">
      <c r="A67" s="509" t="s">
        <v>288</v>
      </c>
      <c r="B67" s="509"/>
      <c r="C67" s="509"/>
      <c r="D67" s="509"/>
      <c r="E67" s="509"/>
      <c r="F67" s="509"/>
    </row>
    <row r="68" spans="1:11" x14ac:dyDescent="0.2">
      <c r="A68" s="509" t="s">
        <v>289</v>
      </c>
      <c r="B68" s="509"/>
      <c r="C68" s="509"/>
      <c r="D68" s="509"/>
      <c r="E68" s="509"/>
      <c r="F68" s="509"/>
    </row>
    <row r="69" spans="1:11" x14ac:dyDescent="0.2">
      <c r="A69" s="509" t="s">
        <v>290</v>
      </c>
      <c r="B69" s="509"/>
      <c r="C69" s="509"/>
      <c r="D69" s="509"/>
      <c r="E69" s="509"/>
      <c r="F69" s="509"/>
    </row>
    <row r="70" spans="1:11" x14ac:dyDescent="0.2">
      <c r="A70" s="509" t="s">
        <v>291</v>
      </c>
      <c r="B70" s="509"/>
      <c r="C70" s="509"/>
      <c r="D70" s="509"/>
      <c r="E70" s="509"/>
      <c r="F70" s="509"/>
    </row>
    <row r="71" spans="1:11" x14ac:dyDescent="0.2">
      <c r="A71" s="509" t="s">
        <v>292</v>
      </c>
      <c r="B71" s="509"/>
      <c r="C71" s="509"/>
      <c r="D71" s="509"/>
      <c r="E71" s="509"/>
      <c r="F71" s="509"/>
    </row>
  </sheetData>
  <mergeCells count="19">
    <mergeCell ref="A1:J1"/>
    <mergeCell ref="A2:J2"/>
    <mergeCell ref="A3:J3"/>
    <mergeCell ref="A4:J4"/>
    <mergeCell ref="A5:J5"/>
    <mergeCell ref="A69:F69"/>
    <mergeCell ref="A70:F70"/>
    <mergeCell ref="A71:F71"/>
    <mergeCell ref="I6:I8"/>
    <mergeCell ref="J6:J8"/>
    <mergeCell ref="C7:D7"/>
    <mergeCell ref="A66:F66"/>
    <mergeCell ref="A67:F67"/>
    <mergeCell ref="A68:F68"/>
    <mergeCell ref="B6:B8"/>
    <mergeCell ref="C6:E6"/>
    <mergeCell ref="F6:F8"/>
    <mergeCell ref="G6:G8"/>
    <mergeCell ref="H6:H8"/>
  </mergeCells>
  <printOptions horizontalCentered="1"/>
  <pageMargins left="0.55118110236220474" right="0.55118110236220474" top="0.59055118110236227" bottom="0.59055118110236227" header="0" footer="0"/>
  <pageSetup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4"/>
  <sheetViews>
    <sheetView topLeftCell="C31" zoomScale="190" zoomScaleNormal="190" workbookViewId="0">
      <selection activeCell="J37" sqref="J37"/>
    </sheetView>
  </sheetViews>
  <sheetFormatPr baseColWidth="10" defaultColWidth="14.42578125" defaultRowHeight="12.75" x14ac:dyDescent="0.2"/>
  <cols>
    <col min="1" max="1" width="14.42578125" style="1"/>
    <col min="2" max="2" width="35.5703125" style="1" customWidth="1"/>
    <col min="3" max="3" width="14.42578125" style="11"/>
    <col min="4" max="16384" width="14.42578125" style="1"/>
  </cols>
  <sheetData>
    <row r="1" spans="1:10" ht="30.75" customHeight="1" x14ac:dyDescent="0.2">
      <c r="A1" s="539" t="s">
        <v>0</v>
      </c>
      <c r="B1" s="539" t="s">
        <v>1</v>
      </c>
      <c r="C1" s="48"/>
      <c r="D1" s="543" t="s">
        <v>23</v>
      </c>
      <c r="E1" s="544"/>
      <c r="F1" s="544"/>
      <c r="G1" s="544"/>
      <c r="H1" s="544"/>
      <c r="I1" s="544"/>
      <c r="J1" s="409"/>
    </row>
    <row r="2" spans="1:10" ht="24" customHeight="1" x14ac:dyDescent="0.2">
      <c r="A2" s="539"/>
      <c r="B2" s="539"/>
      <c r="C2" s="540">
        <v>2016</v>
      </c>
      <c r="D2" s="540">
        <v>2017</v>
      </c>
      <c r="E2" s="541">
        <v>43404</v>
      </c>
      <c r="F2" s="541">
        <v>43465</v>
      </c>
      <c r="G2" s="541">
        <v>43830</v>
      </c>
      <c r="H2" s="540" t="s">
        <v>24</v>
      </c>
      <c r="I2" s="542" t="s">
        <v>25</v>
      </c>
      <c r="J2" s="410" t="s">
        <v>555</v>
      </c>
    </row>
    <row r="3" spans="1:10" ht="17.25" customHeight="1" x14ac:dyDescent="0.2">
      <c r="A3" s="539"/>
      <c r="B3" s="539"/>
      <c r="C3" s="540"/>
      <c r="D3" s="540"/>
      <c r="E3" s="540"/>
      <c r="F3" s="541"/>
      <c r="G3" s="540"/>
      <c r="H3" s="540"/>
      <c r="I3" s="542"/>
      <c r="J3" s="411">
        <v>3.5000000000000003E-2</v>
      </c>
    </row>
    <row r="4" spans="1:10" ht="17.25" customHeight="1" x14ac:dyDescent="0.2">
      <c r="A4" s="20">
        <v>11</v>
      </c>
      <c r="B4" s="21" t="s">
        <v>3</v>
      </c>
      <c r="C4" s="22">
        <f>C5</f>
        <v>79194.19</v>
      </c>
      <c r="D4" s="23">
        <f>D5</f>
        <v>89291.060000000012</v>
      </c>
      <c r="E4" s="23">
        <f>+E5</f>
        <v>72531.59</v>
      </c>
      <c r="F4" s="23">
        <f>(E4/10)*2+E4</f>
        <v>87037.907999999996</v>
      </c>
      <c r="G4" s="23">
        <f>+G5</f>
        <v>114671.59999999999</v>
      </c>
      <c r="H4" s="23">
        <f>+H5</f>
        <v>291000.56799999997</v>
      </c>
      <c r="I4" s="401">
        <f>+I5</f>
        <v>97000.189333333343</v>
      </c>
      <c r="J4" s="412">
        <f>I4*1.035</f>
        <v>100395.19596</v>
      </c>
    </row>
    <row r="5" spans="1:10" ht="17.25" customHeight="1" x14ac:dyDescent="0.2">
      <c r="A5" s="24">
        <v>118</v>
      </c>
      <c r="B5" s="25" t="s">
        <v>26</v>
      </c>
      <c r="C5" s="26">
        <v>79194.19</v>
      </c>
      <c r="D5" s="27">
        <f>D6+D7+D8+D9</f>
        <v>89291.060000000012</v>
      </c>
      <c r="E5" s="27">
        <f t="shared" ref="E5:F5" si="0">E6+E7+E8+E9</f>
        <v>72531.59</v>
      </c>
      <c r="F5" s="27">
        <f t="shared" si="0"/>
        <v>87037.907999999996</v>
      </c>
      <c r="G5" s="27">
        <f>G6+G7+G8+G9</f>
        <v>114671.59999999999</v>
      </c>
      <c r="H5" s="27">
        <f>H6+H7+H8+H9</f>
        <v>291000.56799999997</v>
      </c>
      <c r="I5" s="402">
        <f>I6+I7+I8+I9</f>
        <v>97000.189333333343</v>
      </c>
      <c r="J5" s="412">
        <f>I5*1.035</f>
        <v>100395.19596</v>
      </c>
    </row>
    <row r="6" spans="1:10" ht="17.25" customHeight="1" x14ac:dyDescent="0.2">
      <c r="A6" s="28">
        <v>1180101</v>
      </c>
      <c r="B6" s="29" t="s">
        <v>4</v>
      </c>
      <c r="C6" s="30">
        <v>71327.22</v>
      </c>
      <c r="D6" s="31">
        <f>67709.02+9763.53</f>
        <v>77472.55</v>
      </c>
      <c r="E6" s="31">
        <f>25298.03+2853.01+27611.71+2535.04</f>
        <v>58297.79</v>
      </c>
      <c r="F6" s="32">
        <f>(E6/10)*2+E6</f>
        <v>69957.347999999998</v>
      </c>
      <c r="G6" s="33">
        <v>85043</v>
      </c>
      <c r="H6" s="31">
        <f>D6+F6+G6</f>
        <v>232472.89799999999</v>
      </c>
      <c r="I6" s="403">
        <f>H6/3</f>
        <v>77490.966</v>
      </c>
      <c r="J6" s="413">
        <f>I6*1.035</f>
        <v>80203.149809999988</v>
      </c>
    </row>
    <row r="7" spans="1:10" ht="17.25" customHeight="1" x14ac:dyDescent="0.2">
      <c r="A7" s="28">
        <v>1180404</v>
      </c>
      <c r="B7" s="29" t="s">
        <v>27</v>
      </c>
      <c r="C7" s="34">
        <v>6448.77</v>
      </c>
      <c r="D7" s="31">
        <v>10465.700000000001</v>
      </c>
      <c r="E7" s="31">
        <f>3143.42+9238.96+537.7</f>
        <v>12920.08</v>
      </c>
      <c r="F7" s="32">
        <f t="shared" ref="F7:F52" si="1">(E7/10)*2+E7</f>
        <v>15504.096</v>
      </c>
      <c r="G7" s="33">
        <v>27793.81</v>
      </c>
      <c r="H7" s="31">
        <f>D7+F7+G7</f>
        <v>53763.606</v>
      </c>
      <c r="I7" s="403">
        <f>H7/3</f>
        <v>17921.202000000001</v>
      </c>
      <c r="J7" s="413">
        <f t="shared" ref="J7:J48" si="2">I7*1.035</f>
        <v>18548.444070000001</v>
      </c>
    </row>
    <row r="8" spans="1:10" ht="17.25" customHeight="1" x14ac:dyDescent="0.2">
      <c r="A8" s="28">
        <v>1180606</v>
      </c>
      <c r="B8" s="29" t="s">
        <v>28</v>
      </c>
      <c r="C8" s="34">
        <v>972.3</v>
      </c>
      <c r="D8" s="31">
        <v>1098.99</v>
      </c>
      <c r="E8" s="31">
        <f>470+20+576.76</f>
        <v>1066.76</v>
      </c>
      <c r="F8" s="32">
        <f t="shared" si="1"/>
        <v>1280.1120000000001</v>
      </c>
      <c r="G8" s="33">
        <v>1310</v>
      </c>
      <c r="H8" s="31">
        <f>D8+F8+G8</f>
        <v>3689.1019999999999</v>
      </c>
      <c r="I8" s="403">
        <f>H8/3</f>
        <v>1229.7006666666666</v>
      </c>
      <c r="J8" s="413">
        <f t="shared" si="2"/>
        <v>1272.7401899999998</v>
      </c>
    </row>
    <row r="9" spans="1:10" ht="17.25" customHeight="1" x14ac:dyDescent="0.2">
      <c r="A9" s="35" t="s">
        <v>29</v>
      </c>
      <c r="B9" s="29" t="s">
        <v>5</v>
      </c>
      <c r="C9" s="34">
        <v>445.9</v>
      </c>
      <c r="D9" s="31">
        <v>253.82</v>
      </c>
      <c r="E9" s="31">
        <f>34.3+212.66</f>
        <v>246.95999999999998</v>
      </c>
      <c r="F9" s="32">
        <f t="shared" si="1"/>
        <v>296.35199999999998</v>
      </c>
      <c r="G9" s="33">
        <v>524.79</v>
      </c>
      <c r="H9" s="31">
        <f>D9+F9+G9</f>
        <v>1074.962</v>
      </c>
      <c r="I9" s="403">
        <f>H9/3</f>
        <v>358.32066666666668</v>
      </c>
      <c r="J9" s="413">
        <f t="shared" si="2"/>
        <v>370.86188999999996</v>
      </c>
    </row>
    <row r="10" spans="1:10" ht="17.25" customHeight="1" x14ac:dyDescent="0.2">
      <c r="A10" s="20">
        <v>12</v>
      </c>
      <c r="B10" s="21" t="s">
        <v>6</v>
      </c>
      <c r="C10" s="13">
        <f>C11+C25</f>
        <v>291248.31</v>
      </c>
      <c r="D10" s="23">
        <f>D11+D25</f>
        <v>302371.66000000003</v>
      </c>
      <c r="E10" s="23">
        <f>+E11+E25</f>
        <v>257051.65999999997</v>
      </c>
      <c r="F10" s="23">
        <f t="shared" si="1"/>
        <v>308461.99199999997</v>
      </c>
      <c r="G10" s="23">
        <f>+G11+G25</f>
        <v>296698.55</v>
      </c>
      <c r="H10" s="23">
        <f>+H11+H25</f>
        <v>907532.20200000005</v>
      </c>
      <c r="I10" s="401">
        <f>+I11+I25</f>
        <v>302510.734</v>
      </c>
      <c r="J10" s="412">
        <f t="shared" si="2"/>
        <v>313098.60968999995</v>
      </c>
    </row>
    <row r="11" spans="1:10" ht="17.25" customHeight="1" x14ac:dyDescent="0.2">
      <c r="A11" s="24">
        <v>121</v>
      </c>
      <c r="B11" s="25" t="s">
        <v>7</v>
      </c>
      <c r="C11" s="10">
        <f>SUM(C12:C24)</f>
        <v>282656.84999999998</v>
      </c>
      <c r="D11" s="27">
        <f>D12+D13+D14+D15+D16+D17+D18+D19+D20+D21+D22+D23+D24</f>
        <v>291317.84000000003</v>
      </c>
      <c r="E11" s="27">
        <f t="shared" ref="E11:F11" si="3">E12+E13+E14+E15+E16+E17+E18+E19+E20+E21+E22+E23+E24</f>
        <v>248955.61</v>
      </c>
      <c r="F11" s="27">
        <f t="shared" si="3"/>
        <v>298746.73199999996</v>
      </c>
      <c r="G11" s="27">
        <f>G12+G13+G14+G15+G16+G17+G18+G19+G20+G21+G22+G23+G24</f>
        <v>288043.49</v>
      </c>
      <c r="H11" s="27">
        <f>H12+H13+H14+H15+H16+H17+H18+H19+H20+H21+H22+H23+H24</f>
        <v>878108.06200000003</v>
      </c>
      <c r="I11" s="402">
        <f>I12+I13+I14+I15+I16+I17+I18+I19+I20+I21+I22+I23+I24</f>
        <v>292702.68733333331</v>
      </c>
      <c r="J11" s="412">
        <f t="shared" si="2"/>
        <v>302947.28138999996</v>
      </c>
    </row>
    <row r="12" spans="1:10" ht="17.25" customHeight="1" x14ac:dyDescent="0.2">
      <c r="A12" s="35" t="s">
        <v>30</v>
      </c>
      <c r="B12" s="29" t="s">
        <v>31</v>
      </c>
      <c r="C12" s="10">
        <v>37879.46</v>
      </c>
      <c r="D12" s="31">
        <v>31275.83</v>
      </c>
      <c r="E12" s="31">
        <f>14368.32+139.33+12805.8</f>
        <v>27313.449999999997</v>
      </c>
      <c r="F12" s="32">
        <f t="shared" si="1"/>
        <v>32776.14</v>
      </c>
      <c r="G12" s="36">
        <v>34178.43</v>
      </c>
      <c r="H12" s="31">
        <f t="shared" ref="H12:H24" si="4">D12+F12+G12</f>
        <v>98230.399999999994</v>
      </c>
      <c r="I12" s="403">
        <f t="shared" ref="I12:I24" si="5">H12/3</f>
        <v>32743.466666666664</v>
      </c>
      <c r="J12" s="413">
        <f t="shared" si="2"/>
        <v>33889.487999999998</v>
      </c>
    </row>
    <row r="13" spans="1:10" ht="17.25" customHeight="1" x14ac:dyDescent="0.2">
      <c r="A13" s="35" t="s">
        <v>32</v>
      </c>
      <c r="B13" s="29" t="s">
        <v>33</v>
      </c>
      <c r="C13" s="10">
        <v>368.78</v>
      </c>
      <c r="D13" s="31">
        <v>111.08</v>
      </c>
      <c r="E13" s="31">
        <f>99.39+1.14+58.71</f>
        <v>159.24</v>
      </c>
      <c r="F13" s="32">
        <f t="shared" si="1"/>
        <v>191.08800000000002</v>
      </c>
      <c r="G13" s="36">
        <v>338.41</v>
      </c>
      <c r="H13" s="31">
        <f t="shared" si="4"/>
        <v>640.57799999999997</v>
      </c>
      <c r="I13" s="403">
        <f t="shared" si="5"/>
        <v>213.52599999999998</v>
      </c>
      <c r="J13" s="413">
        <f t="shared" si="2"/>
        <v>220.99940999999995</v>
      </c>
    </row>
    <row r="14" spans="1:10" ht="17.25" customHeight="1" x14ac:dyDescent="0.2">
      <c r="A14" s="35" t="s">
        <v>34</v>
      </c>
      <c r="B14" s="29" t="s">
        <v>8</v>
      </c>
      <c r="C14" s="10">
        <v>21636.31</v>
      </c>
      <c r="D14" s="31">
        <f>16029.24+4000.88+97.62</f>
        <v>20127.739999999998</v>
      </c>
      <c r="E14" s="31">
        <f>11874.18+1354.56+3650.55+1256.9+113.64</f>
        <v>18249.830000000002</v>
      </c>
      <c r="F14" s="32">
        <f t="shared" si="1"/>
        <v>21899.796000000002</v>
      </c>
      <c r="G14" s="36">
        <v>14866.52</v>
      </c>
      <c r="H14" s="31">
        <f t="shared" si="4"/>
        <v>56894.055999999997</v>
      </c>
      <c r="I14" s="403">
        <f t="shared" si="5"/>
        <v>18964.685333333331</v>
      </c>
      <c r="J14" s="413">
        <f t="shared" si="2"/>
        <v>19628.449319999996</v>
      </c>
    </row>
    <row r="15" spans="1:10" ht="17.25" customHeight="1" x14ac:dyDescent="0.2">
      <c r="A15" s="35" t="s">
        <v>35</v>
      </c>
      <c r="B15" s="29" t="s">
        <v>9</v>
      </c>
      <c r="C15" s="10">
        <v>53109.1</v>
      </c>
      <c r="D15" s="31">
        <f>41177.67+13171.75+158.54</f>
        <v>54507.96</v>
      </c>
      <c r="E15" s="31">
        <f>28972.46+2423.7+11996.1+3198.62+222.1</f>
        <v>46812.98</v>
      </c>
      <c r="F15" s="32">
        <f t="shared" si="1"/>
        <v>56175.576000000001</v>
      </c>
      <c r="G15" s="33">
        <v>41935.08</v>
      </c>
      <c r="H15" s="31">
        <f t="shared" si="4"/>
        <v>152618.61599999998</v>
      </c>
      <c r="I15" s="403">
        <f t="shared" si="5"/>
        <v>50872.871999999996</v>
      </c>
      <c r="J15" s="413">
        <f t="shared" si="2"/>
        <v>52653.422519999993</v>
      </c>
    </row>
    <row r="16" spans="1:10" ht="17.25" customHeight="1" x14ac:dyDescent="0.2">
      <c r="A16" s="35" t="s">
        <v>36</v>
      </c>
      <c r="B16" s="29" t="s">
        <v>10</v>
      </c>
      <c r="C16" s="10">
        <v>4742.57</v>
      </c>
      <c r="D16" s="31">
        <v>3039.11</v>
      </c>
      <c r="E16" s="31">
        <f>1762.86+952.47</f>
        <v>2715.33</v>
      </c>
      <c r="F16" s="32">
        <f t="shared" si="1"/>
        <v>3258.3959999999997</v>
      </c>
      <c r="G16" s="33">
        <v>3509.09</v>
      </c>
      <c r="H16" s="31">
        <f t="shared" si="4"/>
        <v>9806.5959999999995</v>
      </c>
      <c r="I16" s="403">
        <f t="shared" si="5"/>
        <v>3268.8653333333332</v>
      </c>
      <c r="J16" s="413">
        <f t="shared" si="2"/>
        <v>3383.2756199999994</v>
      </c>
    </row>
    <row r="17" spans="1:11" ht="17.25" customHeight="1" x14ac:dyDescent="0.2">
      <c r="A17" s="35" t="s">
        <v>37</v>
      </c>
      <c r="B17" s="29" t="s">
        <v>38</v>
      </c>
      <c r="C17" s="10">
        <v>6880.54</v>
      </c>
      <c r="D17" s="31">
        <f>5090.6+1424.66</f>
        <v>6515.26</v>
      </c>
      <c r="E17" s="31">
        <f>2489.52+316.01+1401.56+455.13+29</f>
        <v>4691.22</v>
      </c>
      <c r="F17" s="32">
        <f t="shared" si="1"/>
        <v>5629.4639999999999</v>
      </c>
      <c r="G17" s="33">
        <v>5147.97</v>
      </c>
      <c r="H17" s="31">
        <f t="shared" si="4"/>
        <v>17292.694</v>
      </c>
      <c r="I17" s="403">
        <f t="shared" si="5"/>
        <v>5764.2313333333332</v>
      </c>
      <c r="J17" s="413">
        <f t="shared" si="2"/>
        <v>5965.9794299999994</v>
      </c>
      <c r="K17" s="3"/>
    </row>
    <row r="18" spans="1:11" ht="17.25" customHeight="1" x14ac:dyDescent="0.2">
      <c r="A18" s="35" t="s">
        <v>39</v>
      </c>
      <c r="B18" s="29" t="s">
        <v>11</v>
      </c>
      <c r="C18" s="10">
        <v>14295.12</v>
      </c>
      <c r="D18" s="31">
        <v>15082.63</v>
      </c>
      <c r="E18" s="31">
        <f>7637.87+4732.3</f>
        <v>12370.17</v>
      </c>
      <c r="F18" s="32">
        <f t="shared" si="1"/>
        <v>14844.204</v>
      </c>
      <c r="G18" s="33">
        <v>15666.9</v>
      </c>
      <c r="H18" s="31">
        <f t="shared" si="4"/>
        <v>45593.733999999997</v>
      </c>
      <c r="I18" s="403">
        <f t="shared" si="5"/>
        <v>15197.911333333332</v>
      </c>
      <c r="J18" s="413">
        <f t="shared" si="2"/>
        <v>15729.838229999998</v>
      </c>
    </row>
    <row r="19" spans="1:11" ht="17.25" customHeight="1" x14ac:dyDescent="0.2">
      <c r="A19" s="35" t="s">
        <v>40</v>
      </c>
      <c r="B19" s="29" t="s">
        <v>12</v>
      </c>
      <c r="C19" s="10">
        <v>11209.25</v>
      </c>
      <c r="D19" s="31">
        <f>9352.71+241.2</f>
        <v>9593.91</v>
      </c>
      <c r="E19" s="31">
        <f>3467.2+200+1504.72+37.8</f>
        <v>5209.72</v>
      </c>
      <c r="F19" s="32">
        <f t="shared" si="1"/>
        <v>6251.6640000000007</v>
      </c>
      <c r="G19" s="33">
        <v>9380.42</v>
      </c>
      <c r="H19" s="31">
        <f t="shared" si="4"/>
        <v>25225.993999999999</v>
      </c>
      <c r="I19" s="403">
        <f t="shared" si="5"/>
        <v>8408.6646666666657</v>
      </c>
      <c r="J19" s="413">
        <f t="shared" si="2"/>
        <v>8702.9679299999989</v>
      </c>
    </row>
    <row r="20" spans="1:11" ht="17.25" customHeight="1" x14ac:dyDescent="0.2">
      <c r="A20" s="35" t="s">
        <v>41</v>
      </c>
      <c r="B20" s="29" t="s">
        <v>42</v>
      </c>
      <c r="C20" s="10">
        <v>26683.22</v>
      </c>
      <c r="D20" s="31">
        <f>17816.45+3812.58+23.69</f>
        <v>21652.719999999998</v>
      </c>
      <c r="E20" s="31">
        <f>12997.23+1207.99+5239.14+116.23+90.04</f>
        <v>19650.63</v>
      </c>
      <c r="F20" s="32">
        <f t="shared" si="1"/>
        <v>23580.756000000001</v>
      </c>
      <c r="G20" s="33">
        <v>18116.669999999998</v>
      </c>
      <c r="H20" s="31">
        <f t="shared" si="4"/>
        <v>63350.145999999993</v>
      </c>
      <c r="I20" s="403">
        <f t="shared" si="5"/>
        <v>21116.71533333333</v>
      </c>
      <c r="J20" s="413">
        <f t="shared" si="2"/>
        <v>21855.800369999994</v>
      </c>
    </row>
    <row r="21" spans="1:11" ht="17.25" customHeight="1" x14ac:dyDescent="0.2">
      <c r="A21" s="35" t="s">
        <v>43</v>
      </c>
      <c r="B21" s="29" t="s">
        <v>557</v>
      </c>
      <c r="C21" s="10">
        <v>89741.01</v>
      </c>
      <c r="D21" s="31">
        <f>97935.14+11753.11</f>
        <v>109688.25</v>
      </c>
      <c r="E21" s="31">
        <f>56700.85+1438+33969.51</f>
        <v>92108.36</v>
      </c>
      <c r="F21" s="32">
        <f t="shared" si="1"/>
        <v>110530.03200000001</v>
      </c>
      <c r="G21" s="33">
        <v>118310</v>
      </c>
      <c r="H21" s="31">
        <f t="shared" si="4"/>
        <v>338528.28200000001</v>
      </c>
      <c r="I21" s="403">
        <f t="shared" si="5"/>
        <v>112842.76066666667</v>
      </c>
      <c r="J21" s="413">
        <f t="shared" si="2"/>
        <v>116792.25728999999</v>
      </c>
    </row>
    <row r="22" spans="1:11" ht="17.25" customHeight="1" x14ac:dyDescent="0.2">
      <c r="A22" s="35" t="s">
        <v>44</v>
      </c>
      <c r="B22" s="29" t="s">
        <v>13</v>
      </c>
      <c r="C22" s="10">
        <v>1282.55</v>
      </c>
      <c r="D22" s="31">
        <v>1445.14</v>
      </c>
      <c r="E22" s="31">
        <f>439.93+300+541.61</f>
        <v>1281.54</v>
      </c>
      <c r="F22" s="32">
        <f t="shared" si="1"/>
        <v>1537.848</v>
      </c>
      <c r="G22" s="33">
        <v>1102.75</v>
      </c>
      <c r="H22" s="31">
        <f t="shared" si="4"/>
        <v>4085.7380000000003</v>
      </c>
      <c r="I22" s="403">
        <f t="shared" si="5"/>
        <v>1361.9126666666668</v>
      </c>
      <c r="J22" s="413">
        <f t="shared" si="2"/>
        <v>1409.57961</v>
      </c>
    </row>
    <row r="23" spans="1:11" ht="17.25" customHeight="1" x14ac:dyDescent="0.2">
      <c r="A23" s="35" t="s">
        <v>45</v>
      </c>
      <c r="B23" s="29" t="s">
        <v>46</v>
      </c>
      <c r="C23" s="10">
        <v>11767.84</v>
      </c>
      <c r="D23" s="31">
        <f>14731.75+206.5</f>
        <v>14938.25</v>
      </c>
      <c r="E23" s="31">
        <f>7494.84+5931.5</f>
        <v>13426.34</v>
      </c>
      <c r="F23" s="32">
        <f t="shared" si="1"/>
        <v>16111.608</v>
      </c>
      <c r="G23" s="33">
        <v>21783.75</v>
      </c>
      <c r="H23" s="31">
        <f t="shared" si="4"/>
        <v>52833.608</v>
      </c>
      <c r="I23" s="403">
        <f t="shared" si="5"/>
        <v>17611.202666666668</v>
      </c>
      <c r="J23" s="413">
        <f t="shared" si="2"/>
        <v>18227.59476</v>
      </c>
    </row>
    <row r="24" spans="1:11" ht="17.25" customHeight="1" x14ac:dyDescent="0.2">
      <c r="A24" s="35" t="s">
        <v>47</v>
      </c>
      <c r="B24" s="29" t="s">
        <v>48</v>
      </c>
      <c r="C24" s="10">
        <v>3061.1</v>
      </c>
      <c r="D24" s="31">
        <f>2287.5+1052.46</f>
        <v>3339.96</v>
      </c>
      <c r="E24" s="31">
        <f>1658.91+549.09+1082.82+1675.98</f>
        <v>4966.7999999999993</v>
      </c>
      <c r="F24" s="32">
        <f t="shared" si="1"/>
        <v>5960.1599999999989</v>
      </c>
      <c r="G24" s="267">
        <v>3707.5</v>
      </c>
      <c r="H24" s="31">
        <f t="shared" si="4"/>
        <v>13007.619999999999</v>
      </c>
      <c r="I24" s="403">
        <f t="shared" si="5"/>
        <v>4335.873333333333</v>
      </c>
      <c r="J24" s="413">
        <f t="shared" si="2"/>
        <v>4487.6288999999997</v>
      </c>
    </row>
    <row r="25" spans="1:11" ht="17.25" customHeight="1" x14ac:dyDescent="0.2">
      <c r="A25" s="24">
        <v>122</v>
      </c>
      <c r="B25" s="25" t="s">
        <v>14</v>
      </c>
      <c r="C25" s="10">
        <f t="shared" ref="C25" si="6">SUM(C26:C27)</f>
        <v>8591.4599999999991</v>
      </c>
      <c r="D25" s="27">
        <f>D26+D27</f>
        <v>11053.82</v>
      </c>
      <c r="E25" s="27">
        <f>+E26+E27</f>
        <v>8096.0500000000011</v>
      </c>
      <c r="F25" s="27">
        <f>+F26+F27</f>
        <v>9715.260000000002</v>
      </c>
      <c r="G25" s="27">
        <f>+G26+G27</f>
        <v>8655.06</v>
      </c>
      <c r="H25" s="45">
        <f>H26+H27</f>
        <v>29424.14</v>
      </c>
      <c r="I25" s="402">
        <f>+I26+I27</f>
        <v>9808.0466666666671</v>
      </c>
      <c r="J25" s="412">
        <f t="shared" si="2"/>
        <v>10151.328299999999</v>
      </c>
    </row>
    <row r="26" spans="1:11" ht="17.25" customHeight="1" x14ac:dyDescent="0.2">
      <c r="A26" s="35" t="s">
        <v>49</v>
      </c>
      <c r="B26" s="29" t="s">
        <v>15</v>
      </c>
      <c r="C26" s="10">
        <v>8401.7099999999991</v>
      </c>
      <c r="D26" s="31">
        <f>9845.33+997.78</f>
        <v>10843.11</v>
      </c>
      <c r="E26" s="31">
        <f>6961.3+150+683.23+120</f>
        <v>7914.5300000000007</v>
      </c>
      <c r="F26" s="32">
        <f t="shared" si="1"/>
        <v>9497.4360000000015</v>
      </c>
      <c r="G26" s="33">
        <v>8490.31</v>
      </c>
      <c r="H26" s="31">
        <f>D26+F26+G26</f>
        <v>28830.856</v>
      </c>
      <c r="I26" s="403">
        <f>H26/3</f>
        <v>9610.2853333333333</v>
      </c>
      <c r="J26" s="413">
        <f t="shared" si="2"/>
        <v>9946.6453199999996</v>
      </c>
    </row>
    <row r="27" spans="1:11" ht="17.25" customHeight="1" x14ac:dyDescent="0.2">
      <c r="A27" s="35" t="s">
        <v>50</v>
      </c>
      <c r="B27" s="29" t="s">
        <v>16</v>
      </c>
      <c r="C27" s="10">
        <v>189.75</v>
      </c>
      <c r="D27" s="31">
        <v>210.71</v>
      </c>
      <c r="E27" s="31">
        <f>100.77+80.75</f>
        <v>181.51999999999998</v>
      </c>
      <c r="F27" s="32">
        <f t="shared" si="1"/>
        <v>217.82399999999998</v>
      </c>
      <c r="G27" s="33">
        <v>164.75</v>
      </c>
      <c r="H27" s="31">
        <f>D27+F27+G27</f>
        <v>593.28399999999999</v>
      </c>
      <c r="I27" s="403">
        <f>H27/3</f>
        <v>197.76133333333334</v>
      </c>
      <c r="J27" s="413">
        <f t="shared" si="2"/>
        <v>204.68297999999999</v>
      </c>
    </row>
    <row r="28" spans="1:11" ht="17.25" customHeight="1" x14ac:dyDescent="0.2">
      <c r="A28" s="20" t="s">
        <v>51</v>
      </c>
      <c r="B28" s="21" t="s">
        <v>52</v>
      </c>
      <c r="C28" s="10">
        <f>C29+C31</f>
        <v>2880.41</v>
      </c>
      <c r="D28" s="23">
        <f>D29+D31</f>
        <v>2651.33</v>
      </c>
      <c r="E28" s="23">
        <f>E31+E29</f>
        <v>3957.91</v>
      </c>
      <c r="F28" s="23">
        <f>F31+F29</f>
        <v>4749.4920000000002</v>
      </c>
      <c r="G28" s="23">
        <f t="shared" ref="G28" si="7">G31</f>
        <v>3251.48</v>
      </c>
      <c r="H28" s="23">
        <f>H31+H29</f>
        <v>10652.302000000001</v>
      </c>
      <c r="I28" s="401">
        <f>I31+I29</f>
        <v>3530.7673333333337</v>
      </c>
      <c r="J28" s="412">
        <f t="shared" si="2"/>
        <v>3654.3441900000003</v>
      </c>
    </row>
    <row r="29" spans="1:11" ht="17.25" customHeight="1" x14ac:dyDescent="0.2">
      <c r="A29" s="24" t="s">
        <v>80</v>
      </c>
      <c r="B29" s="25" t="s">
        <v>81</v>
      </c>
      <c r="C29" s="26"/>
      <c r="D29" s="27">
        <f>D30</f>
        <v>60</v>
      </c>
      <c r="E29" s="27">
        <f t="shared" ref="E29:G29" si="8">E30</f>
        <v>0</v>
      </c>
      <c r="F29" s="27">
        <f t="shared" si="8"/>
        <v>0</v>
      </c>
      <c r="G29" s="27">
        <f t="shared" si="8"/>
        <v>0</v>
      </c>
      <c r="H29" s="27">
        <f>H30</f>
        <v>60</v>
      </c>
      <c r="I29" s="402">
        <f>I30</f>
        <v>0</v>
      </c>
      <c r="J29" s="413">
        <f t="shared" si="2"/>
        <v>0</v>
      </c>
    </row>
    <row r="30" spans="1:11" ht="17.25" customHeight="1" x14ac:dyDescent="0.2">
      <c r="A30" s="35" t="s">
        <v>82</v>
      </c>
      <c r="B30" s="29" t="s">
        <v>83</v>
      </c>
      <c r="C30" s="37"/>
      <c r="D30" s="31">
        <v>60</v>
      </c>
      <c r="E30" s="31"/>
      <c r="F30" s="32">
        <f t="shared" si="1"/>
        <v>0</v>
      </c>
      <c r="G30" s="33"/>
      <c r="H30" s="31">
        <f>D30+F30+G30</f>
        <v>60</v>
      </c>
      <c r="I30" s="403">
        <v>0</v>
      </c>
      <c r="J30" s="413">
        <f t="shared" si="2"/>
        <v>0</v>
      </c>
    </row>
    <row r="31" spans="1:11" ht="17.25" customHeight="1" x14ac:dyDescent="0.2">
      <c r="A31" s="24" t="s">
        <v>65</v>
      </c>
      <c r="B31" s="25" t="s">
        <v>66</v>
      </c>
      <c r="C31" s="26">
        <f>C32+C33+C34</f>
        <v>2880.41</v>
      </c>
      <c r="D31" s="27">
        <f>D32+D33+D34</f>
        <v>2591.33</v>
      </c>
      <c r="E31" s="27">
        <f t="shared" ref="E31:H31" si="9">E32+E33+E34</f>
        <v>3957.91</v>
      </c>
      <c r="F31" s="27">
        <f t="shared" si="9"/>
        <v>4749.4920000000002</v>
      </c>
      <c r="G31" s="27">
        <f t="shared" si="9"/>
        <v>3251.48</v>
      </c>
      <c r="H31" s="27">
        <f t="shared" si="9"/>
        <v>10592.302000000001</v>
      </c>
      <c r="I31" s="402">
        <f>I32+I33+I34</f>
        <v>3530.7673333333337</v>
      </c>
      <c r="J31" s="412">
        <f t="shared" si="2"/>
        <v>3654.3441900000003</v>
      </c>
    </row>
    <row r="32" spans="1:11" ht="17.25" customHeight="1" x14ac:dyDescent="0.2">
      <c r="A32" s="35" t="s">
        <v>74</v>
      </c>
      <c r="B32" s="29" t="s">
        <v>75</v>
      </c>
      <c r="C32" s="34">
        <v>914.4</v>
      </c>
      <c r="D32" s="31">
        <v>60.96</v>
      </c>
      <c r="E32" s="31">
        <v>0</v>
      </c>
      <c r="F32" s="32">
        <f t="shared" si="1"/>
        <v>0</v>
      </c>
      <c r="G32" s="33"/>
      <c r="H32" s="31">
        <f>D32+F32+G32</f>
        <v>60.96</v>
      </c>
      <c r="I32" s="403">
        <f>H32/3</f>
        <v>20.32</v>
      </c>
      <c r="J32" s="413">
        <v>0</v>
      </c>
      <c r="K32" s="2" t="s">
        <v>591</v>
      </c>
    </row>
    <row r="33" spans="1:11" ht="17.25" customHeight="1" x14ac:dyDescent="0.2">
      <c r="A33" s="35" t="s">
        <v>53</v>
      </c>
      <c r="B33" s="29" t="s">
        <v>54</v>
      </c>
      <c r="C33" s="34">
        <v>0</v>
      </c>
      <c r="D33" s="31">
        <v>1120.1400000000001</v>
      </c>
      <c r="E33" s="31">
        <f>571.26+502.02+38.1</f>
        <v>1111.3799999999999</v>
      </c>
      <c r="F33" s="32">
        <f t="shared" si="1"/>
        <v>1333.6559999999999</v>
      </c>
      <c r="G33" s="33">
        <v>1338.59</v>
      </c>
      <c r="H33" s="31">
        <f t="shared" ref="H33:H34" si="10">D33+F33+G33</f>
        <v>3792.3860000000004</v>
      </c>
      <c r="I33" s="403">
        <f>H33/3</f>
        <v>1264.1286666666667</v>
      </c>
      <c r="J33" s="413">
        <f>I33*1.035+21.03</f>
        <v>1329.40317</v>
      </c>
      <c r="K33" s="2"/>
    </row>
    <row r="34" spans="1:11" ht="17.25" customHeight="1" x14ac:dyDescent="0.2">
      <c r="A34" s="35" t="s">
        <v>55</v>
      </c>
      <c r="B34" s="29" t="s">
        <v>56</v>
      </c>
      <c r="C34" s="34">
        <v>1966.01</v>
      </c>
      <c r="D34" s="31">
        <v>1410.23</v>
      </c>
      <c r="E34" s="31">
        <f>1437.98+0.8+844.69+563.06</f>
        <v>2846.53</v>
      </c>
      <c r="F34" s="32">
        <f t="shared" si="1"/>
        <v>3415.8360000000002</v>
      </c>
      <c r="G34" s="268">
        <v>1912.89</v>
      </c>
      <c r="H34" s="31">
        <f t="shared" si="10"/>
        <v>6738.956000000001</v>
      </c>
      <c r="I34" s="403">
        <f>H34/3</f>
        <v>2246.318666666667</v>
      </c>
      <c r="J34" s="413">
        <f t="shared" si="2"/>
        <v>2324.9398200000001</v>
      </c>
    </row>
    <row r="35" spans="1:11" ht="17.25" customHeight="1" x14ac:dyDescent="0.2">
      <c r="A35" s="20" t="s">
        <v>17</v>
      </c>
      <c r="B35" s="21" t="s">
        <v>18</v>
      </c>
      <c r="C35" s="38">
        <f>C36+C42+C47+C45</f>
        <v>33209.379999999997</v>
      </c>
      <c r="D35" s="23">
        <f>D36+D42+D47</f>
        <v>31258.36</v>
      </c>
      <c r="E35" s="23">
        <f>E36+E42+E47</f>
        <v>24337.250000000004</v>
      </c>
      <c r="F35" s="23">
        <f>F36+F42+F47</f>
        <v>29204.7</v>
      </c>
      <c r="G35" s="23">
        <f t="shared" ref="G35:H35" si="11">G36+G42+G47</f>
        <v>31437.239999999998</v>
      </c>
      <c r="H35" s="23">
        <f t="shared" si="11"/>
        <v>92160.97</v>
      </c>
      <c r="I35" s="401">
        <f>I36+I42+I47</f>
        <v>30633.433333333334</v>
      </c>
      <c r="J35" s="412">
        <f t="shared" si="2"/>
        <v>31705.603499999997</v>
      </c>
    </row>
    <row r="36" spans="1:11" ht="17.25" customHeight="1" x14ac:dyDescent="0.2">
      <c r="A36" s="24" t="s">
        <v>19</v>
      </c>
      <c r="B36" s="25" t="s">
        <v>67</v>
      </c>
      <c r="C36" s="26">
        <f>C37+C38+C39+C40+C41</f>
        <v>9413.57</v>
      </c>
      <c r="D36" s="27">
        <f>D37+D38+D39+D41</f>
        <v>7278.93</v>
      </c>
      <c r="E36" s="27">
        <f t="shared" ref="E36:H36" si="12">E37+E38+E39+E41</f>
        <v>5684.2</v>
      </c>
      <c r="F36" s="27">
        <f t="shared" si="12"/>
        <v>6821.0399999999991</v>
      </c>
      <c r="G36" s="27">
        <f t="shared" si="12"/>
        <v>9640.23</v>
      </c>
      <c r="H36" s="27">
        <f t="shared" si="12"/>
        <v>23740.199999999997</v>
      </c>
      <c r="I36" s="402">
        <f>I37+I38+I39+I41</f>
        <v>7913.4</v>
      </c>
      <c r="J36" s="412">
        <f>I36*1.035</f>
        <v>8190.3689999999988</v>
      </c>
    </row>
    <row r="37" spans="1:11" ht="17.25" customHeight="1" x14ac:dyDescent="0.2">
      <c r="A37" s="35" t="s">
        <v>57</v>
      </c>
      <c r="B37" s="29" t="s">
        <v>58</v>
      </c>
      <c r="C37" s="12">
        <v>4639.1099999999997</v>
      </c>
      <c r="D37" s="31">
        <v>3204.28</v>
      </c>
      <c r="E37" s="31">
        <f>1824.24+645.57</f>
        <v>2469.81</v>
      </c>
      <c r="F37" s="32">
        <f t="shared" si="1"/>
        <v>2963.7719999999999</v>
      </c>
      <c r="G37" s="33">
        <v>2726.71</v>
      </c>
      <c r="H37" s="31">
        <f>D37+F37+G37</f>
        <v>8894.7619999999988</v>
      </c>
      <c r="I37" s="403">
        <f>H37/3</f>
        <v>2964.9206666666664</v>
      </c>
      <c r="J37" s="413">
        <f t="shared" si="2"/>
        <v>3068.6928899999994</v>
      </c>
      <c r="K37" s="1" t="s">
        <v>595</v>
      </c>
    </row>
    <row r="38" spans="1:11" ht="17.25" customHeight="1" x14ac:dyDescent="0.2">
      <c r="A38" s="35" t="s">
        <v>59</v>
      </c>
      <c r="B38" s="29" t="s">
        <v>60</v>
      </c>
      <c r="C38" s="12">
        <v>3734.48</v>
      </c>
      <c r="D38" s="31">
        <f>3808.56+17.27</f>
        <v>3825.83</v>
      </c>
      <c r="E38" s="31">
        <f>1354.95+626.89</f>
        <v>1981.8400000000001</v>
      </c>
      <c r="F38" s="32">
        <f t="shared" si="1"/>
        <v>2378.2080000000001</v>
      </c>
      <c r="G38" s="33">
        <v>2973</v>
      </c>
      <c r="H38" s="31">
        <f t="shared" ref="H38:H41" si="13">D38+F38+G38</f>
        <v>9177.0380000000005</v>
      </c>
      <c r="I38" s="403">
        <f>H38/3</f>
        <v>3059.012666666667</v>
      </c>
      <c r="J38" s="413">
        <f t="shared" si="2"/>
        <v>3166.0781099999999</v>
      </c>
    </row>
    <row r="39" spans="1:11" ht="17.25" customHeight="1" x14ac:dyDescent="0.2">
      <c r="A39" s="35" t="s">
        <v>61</v>
      </c>
      <c r="B39" s="29" t="s">
        <v>62</v>
      </c>
      <c r="C39" s="12">
        <v>122.98</v>
      </c>
      <c r="D39" s="31">
        <v>245.96</v>
      </c>
      <c r="E39" s="31">
        <f>117.28+82.94</f>
        <v>200.22</v>
      </c>
      <c r="F39" s="32">
        <f t="shared" si="1"/>
        <v>240.26400000000001</v>
      </c>
      <c r="G39" s="33">
        <v>251.68</v>
      </c>
      <c r="H39" s="31">
        <f t="shared" si="13"/>
        <v>737.904</v>
      </c>
      <c r="I39" s="403">
        <f>H39/3</f>
        <v>245.96799999999999</v>
      </c>
      <c r="J39" s="413">
        <f t="shared" si="2"/>
        <v>254.57687999999996</v>
      </c>
    </row>
    <row r="40" spans="1:11" ht="17.25" customHeight="1" x14ac:dyDescent="0.2">
      <c r="A40" s="35" t="s">
        <v>84</v>
      </c>
      <c r="B40" s="29" t="s">
        <v>85</v>
      </c>
      <c r="C40" s="34"/>
      <c r="D40" s="31"/>
      <c r="E40" s="31">
        <v>2613.5700000000002</v>
      </c>
      <c r="F40" s="32">
        <f t="shared" si="1"/>
        <v>3136.2840000000001</v>
      </c>
      <c r="G40" s="33">
        <v>4332.51</v>
      </c>
      <c r="H40" s="31">
        <f t="shared" si="13"/>
        <v>7468.7939999999999</v>
      </c>
      <c r="I40" s="403">
        <f>H40/3</f>
        <v>2489.598</v>
      </c>
      <c r="J40" s="413">
        <f>I40*1.035</f>
        <v>2576.7339299999999</v>
      </c>
    </row>
    <row r="41" spans="1:11" ht="17.25" customHeight="1" x14ac:dyDescent="0.2">
      <c r="A41" s="35" t="s">
        <v>63</v>
      </c>
      <c r="B41" s="29" t="s">
        <v>64</v>
      </c>
      <c r="C41" s="12">
        <v>917</v>
      </c>
      <c r="D41" s="31">
        <v>2.86</v>
      </c>
      <c r="E41" s="31">
        <f>900.76+131.57</f>
        <v>1032.33</v>
      </c>
      <c r="F41" s="32">
        <f t="shared" si="1"/>
        <v>1238.7959999999998</v>
      </c>
      <c r="G41" s="267">
        <v>3688.84</v>
      </c>
      <c r="H41" s="31">
        <f t="shared" si="13"/>
        <v>4930.4960000000001</v>
      </c>
      <c r="I41" s="403">
        <f>H41/3</f>
        <v>1643.4986666666666</v>
      </c>
      <c r="J41" s="413">
        <f>I41*1.035</f>
        <v>1701.0211199999999</v>
      </c>
      <c r="K41" s="1" t="s">
        <v>594</v>
      </c>
    </row>
    <row r="42" spans="1:11" ht="17.25" customHeight="1" x14ac:dyDescent="0.2">
      <c r="A42" s="24" t="s">
        <v>68</v>
      </c>
      <c r="B42" s="25" t="s">
        <v>69</v>
      </c>
      <c r="C42" s="26">
        <f>C43+C44</f>
        <v>21228.92</v>
      </c>
      <c r="D42" s="27">
        <f>D43+D44</f>
        <v>22793.14</v>
      </c>
      <c r="E42" s="27">
        <f t="shared" ref="E42:H42" si="14">E43+E44</f>
        <v>17716.580000000002</v>
      </c>
      <c r="F42" s="27">
        <f t="shared" si="14"/>
        <v>21259.896000000001</v>
      </c>
      <c r="G42" s="27">
        <f t="shared" si="14"/>
        <v>16299.26</v>
      </c>
      <c r="H42" s="27">
        <f t="shared" si="14"/>
        <v>60352.296000000002</v>
      </c>
      <c r="I42" s="402">
        <f>I43+I44</f>
        <v>20117.432000000001</v>
      </c>
      <c r="J42" s="412">
        <f t="shared" si="2"/>
        <v>20821.542119999998</v>
      </c>
    </row>
    <row r="43" spans="1:11" ht="17.25" customHeight="1" x14ac:dyDescent="0.2">
      <c r="A43" s="35" t="s">
        <v>70</v>
      </c>
      <c r="B43" s="29" t="s">
        <v>71</v>
      </c>
      <c r="C43" s="10">
        <v>1095</v>
      </c>
      <c r="D43" s="31">
        <v>1456.43</v>
      </c>
      <c r="E43" s="31">
        <v>1000</v>
      </c>
      <c r="F43" s="32">
        <f t="shared" si="1"/>
        <v>1200</v>
      </c>
      <c r="G43" s="33"/>
      <c r="H43" s="31">
        <f>D43+F43+G43</f>
        <v>2656.4300000000003</v>
      </c>
      <c r="I43" s="403">
        <f>H43/3</f>
        <v>885.4766666666668</v>
      </c>
      <c r="J43" s="413">
        <f t="shared" si="2"/>
        <v>916.4683500000001</v>
      </c>
    </row>
    <row r="44" spans="1:11" ht="17.25" customHeight="1" x14ac:dyDescent="0.2">
      <c r="A44" s="35" t="s">
        <v>72</v>
      </c>
      <c r="B44" s="29" t="s">
        <v>73</v>
      </c>
      <c r="C44" s="12">
        <v>20133.919999999998</v>
      </c>
      <c r="D44" s="31">
        <f>16216.2+5120.51</f>
        <v>21336.71</v>
      </c>
      <c r="E44" s="31">
        <f>5940.89+1235.01+7881.18+1659.5</f>
        <v>16716.580000000002</v>
      </c>
      <c r="F44" s="32">
        <f t="shared" si="1"/>
        <v>20059.896000000001</v>
      </c>
      <c r="G44" s="33">
        <v>16299.26</v>
      </c>
      <c r="H44" s="31">
        <f>D44+F44+G44</f>
        <v>57695.866000000002</v>
      </c>
      <c r="I44" s="403">
        <f>H44/3</f>
        <v>19231.955333333335</v>
      </c>
      <c r="J44" s="413">
        <f t="shared" si="2"/>
        <v>19905.073769999999</v>
      </c>
    </row>
    <row r="45" spans="1:11" s="19" customFormat="1" ht="17.25" customHeight="1" x14ac:dyDescent="0.2">
      <c r="A45" s="15">
        <v>155</v>
      </c>
      <c r="B45" s="16" t="s">
        <v>210</v>
      </c>
      <c r="C45" s="17">
        <v>400</v>
      </c>
      <c r="D45" s="18"/>
      <c r="E45" s="18">
        <f t="shared" ref="E45:E46" si="15">D45/10</f>
        <v>0</v>
      </c>
      <c r="F45" s="18"/>
      <c r="G45" s="18"/>
      <c r="H45" s="47">
        <f>H46</f>
        <v>0</v>
      </c>
      <c r="I45" s="404">
        <f>H45/3</f>
        <v>0</v>
      </c>
      <c r="J45" s="413">
        <f t="shared" si="2"/>
        <v>0</v>
      </c>
    </row>
    <row r="46" spans="1:11" ht="17.25" customHeight="1" x14ac:dyDescent="0.2">
      <c r="A46" s="6">
        <v>15503</v>
      </c>
      <c r="B46" s="8" t="s">
        <v>209</v>
      </c>
      <c r="C46" s="14">
        <v>400</v>
      </c>
      <c r="D46" s="7"/>
      <c r="E46" s="7">
        <f t="shared" si="15"/>
        <v>0</v>
      </c>
      <c r="F46" s="7"/>
      <c r="G46" s="7"/>
      <c r="H46" s="31">
        <f>D46+F46+G46</f>
        <v>0</v>
      </c>
      <c r="I46" s="405">
        <v>133.33000000000001</v>
      </c>
      <c r="J46" s="413">
        <v>0</v>
      </c>
      <c r="K46" s="1" t="s">
        <v>593</v>
      </c>
    </row>
    <row r="47" spans="1:11" ht="17.25" customHeight="1" x14ac:dyDescent="0.2">
      <c r="A47" s="39" t="s">
        <v>76</v>
      </c>
      <c r="B47" s="40" t="s">
        <v>78</v>
      </c>
      <c r="C47" s="41">
        <f>C48+C49</f>
        <v>2166.89</v>
      </c>
      <c r="D47" s="42">
        <f>D49</f>
        <v>1186.29</v>
      </c>
      <c r="E47" s="42">
        <f>E49</f>
        <v>936.47</v>
      </c>
      <c r="F47" s="42">
        <f>F49</f>
        <v>1123.7640000000001</v>
      </c>
      <c r="G47" s="42">
        <f>G49</f>
        <v>5497.75</v>
      </c>
      <c r="H47" s="42">
        <f>H49+H48</f>
        <v>8068.4740000000002</v>
      </c>
      <c r="I47" s="406">
        <f>I49</f>
        <v>2602.6013333333335</v>
      </c>
      <c r="J47" s="412">
        <f t="shared" si="2"/>
        <v>2693.69238</v>
      </c>
      <c r="K47" s="1">
        <v>138</v>
      </c>
    </row>
    <row r="48" spans="1:11" ht="17.25" customHeight="1" x14ac:dyDescent="0.2">
      <c r="A48" s="6">
        <v>15703</v>
      </c>
      <c r="B48" s="8" t="s">
        <v>208</v>
      </c>
      <c r="C48" s="9">
        <v>0</v>
      </c>
      <c r="D48" s="7">
        <v>0</v>
      </c>
      <c r="E48" s="7">
        <f t="shared" ref="E48" si="16">D48/10</f>
        <v>0</v>
      </c>
      <c r="F48" s="7">
        <f t="shared" ref="F48" si="17">E48*3</f>
        <v>0</v>
      </c>
      <c r="G48" s="7">
        <v>260.67</v>
      </c>
      <c r="H48" s="31">
        <f>D48+F48+G48</f>
        <v>260.67</v>
      </c>
      <c r="I48" s="405">
        <v>606.16999999999996</v>
      </c>
      <c r="J48" s="413">
        <f t="shared" si="2"/>
        <v>627.38594999999987</v>
      </c>
    </row>
    <row r="49" spans="1:11" ht="17.25" customHeight="1" x14ac:dyDescent="0.2">
      <c r="A49" s="35" t="s">
        <v>77</v>
      </c>
      <c r="B49" s="29" t="s">
        <v>79</v>
      </c>
      <c r="C49" s="10">
        <v>2166.89</v>
      </c>
      <c r="D49" s="31">
        <v>1186.29</v>
      </c>
      <c r="E49" s="31">
        <v>936.47</v>
      </c>
      <c r="F49" s="32">
        <f t="shared" si="1"/>
        <v>1123.7640000000001</v>
      </c>
      <c r="G49" s="33">
        <v>5497.75</v>
      </c>
      <c r="H49" s="31">
        <f>D49+F49+G49</f>
        <v>7807.8040000000001</v>
      </c>
      <c r="I49" s="403">
        <f>H49/3</f>
        <v>2602.6013333333335</v>
      </c>
      <c r="J49" s="413">
        <f>I49*1.035+138</f>
        <v>2831.69238</v>
      </c>
    </row>
    <row r="50" spans="1:11" ht="17.25" customHeight="1" x14ac:dyDescent="0.2">
      <c r="A50" s="538" t="s">
        <v>20</v>
      </c>
      <c r="B50" s="538"/>
      <c r="C50" s="43">
        <f>C4+C10+C28+C35</f>
        <v>406532.29</v>
      </c>
      <c r="D50" s="43">
        <f>D4+D10+D28+D35</f>
        <v>425572.41000000003</v>
      </c>
      <c r="E50" s="43">
        <f>E4+E10+E28+E35</f>
        <v>357878.41</v>
      </c>
      <c r="F50" s="43">
        <f t="shared" si="1"/>
        <v>429454.09199999995</v>
      </c>
      <c r="G50" s="43">
        <f>G4+G10+G28+G35</f>
        <v>446058.86999999994</v>
      </c>
      <c r="H50" s="43">
        <f>H4+H10+H28+H35</f>
        <v>1301346.0419999999</v>
      </c>
      <c r="I50" s="407">
        <f>I4+I10+I28+I35</f>
        <v>433675.12400000001</v>
      </c>
      <c r="J50" s="412">
        <f>I50*1.035</f>
        <v>448853.75334</v>
      </c>
      <c r="K50" s="271"/>
    </row>
    <row r="51" spans="1:11" ht="17.25" customHeight="1" x14ac:dyDescent="0.2">
      <c r="A51" s="538" t="s">
        <v>21</v>
      </c>
      <c r="B51" s="538"/>
      <c r="C51" s="44">
        <f>C5+C11+C29+C36</f>
        <v>371264.61</v>
      </c>
      <c r="D51" s="27">
        <f>D5+D11+D25+D31+D36+D42+D47+D29</f>
        <v>425572.41000000003</v>
      </c>
      <c r="E51" s="27">
        <f>E5+E11+E25+E31+E36+E42+E47+E29</f>
        <v>357878.40999999992</v>
      </c>
      <c r="F51" s="32">
        <f t="shared" si="1"/>
        <v>429454.09199999989</v>
      </c>
      <c r="G51" s="27">
        <f t="shared" ref="G51" si="18">G5+G11+G25+G31+G36+G42+G47</f>
        <v>446058.86999999994</v>
      </c>
      <c r="H51" s="27">
        <f>H5+H11+H25+H31+H36+H42+H47+H29</f>
        <v>1301346.0419999997</v>
      </c>
      <c r="I51" s="402">
        <f>I5+I11+I25+I31+I36+I42+I47+I29</f>
        <v>433675.12400000001</v>
      </c>
      <c r="J51" s="412">
        <f t="shared" ref="J51" si="19">I51*1.035</f>
        <v>448853.75334</v>
      </c>
    </row>
    <row r="52" spans="1:11" ht="17.25" customHeight="1" x14ac:dyDescent="0.2">
      <c r="A52" s="538" t="s">
        <v>22</v>
      </c>
      <c r="B52" s="538"/>
      <c r="C52" s="44">
        <f>C6+C12+C30+C37</f>
        <v>113845.79</v>
      </c>
      <c r="D52" s="45">
        <f>D6+D7+D8+D9+D12+D13+D14+D15+D16+D17+D18+D19+D20+D21+D22+D23+D24+D26+D27+D32+D33+D34+D37+D38+D39+D43+D44+D49+D41+D30+D40</f>
        <v>425572.41000000015</v>
      </c>
      <c r="E52" s="45">
        <f>E6+E7+E8+E9+E12+E13+E14+E15+E16+E17+E18+E19+E20+E21+E22+E23+E24+E26+E27+E32+E33+E34+E37+E38+E39+E43+E44+E49+E41+E30</f>
        <v>357878.41000000009</v>
      </c>
      <c r="F52" s="32">
        <f t="shared" si="1"/>
        <v>429454.09200000012</v>
      </c>
      <c r="G52" s="45">
        <f t="shared" ref="G52" si="20">G6+G7+G8+G9+G12+G13+G14+G15+G16+G17+G18+G19+G20+G21+G22+G23+G24+G26+G27+G32+G33+G34+G37+G38+G39+G43+G44+G49+G41</f>
        <v>446058.87000000005</v>
      </c>
      <c r="H52" s="45">
        <f>H6+H7+H8+H9+H12+H13+H14+H15+H16+H17+H18+H19+H20+H21+H22+H23+H24+H26+H27+H32+H33+H34+H37+H38+H39+H43+H44+H49+H41+H30</f>
        <v>1301085.3719999997</v>
      </c>
      <c r="I52" s="408">
        <f>I6+I7+I8+I9+I12+I13+I14+I15+I16+I17+I18+I19+I20+I21+I22+I23+I24+I26+I27+I32+I33+I34+I37+I38+I39+I43+I44+I49+I41+I30</f>
        <v>433675.12400000007</v>
      </c>
      <c r="J52" s="414">
        <f>I52*1.035</f>
        <v>448853.75334000005</v>
      </c>
    </row>
    <row r="54" spans="1:11" x14ac:dyDescent="0.2">
      <c r="D54" s="1" t="s">
        <v>212</v>
      </c>
      <c r="E54" s="1" t="s">
        <v>211</v>
      </c>
      <c r="F54" s="46" t="e">
        <f>#REF!-F52</f>
        <v>#REF!</v>
      </c>
      <c r="G54" s="2">
        <v>2019</v>
      </c>
      <c r="H54" s="269" t="s">
        <v>558</v>
      </c>
      <c r="I54" s="269" t="s">
        <v>559</v>
      </c>
      <c r="J54" s="270">
        <v>3.5000000000000003E-2</v>
      </c>
    </row>
  </sheetData>
  <sheetProtection password="C872" sheet="1" objects="1" scenarios="1" selectLockedCells="1" selectUnlockedCells="1"/>
  <mergeCells count="13">
    <mergeCell ref="G2:G3"/>
    <mergeCell ref="H2:H3"/>
    <mergeCell ref="I2:I3"/>
    <mergeCell ref="F2:F3"/>
    <mergeCell ref="D1:I1"/>
    <mergeCell ref="A52:B52"/>
    <mergeCell ref="A1:A3"/>
    <mergeCell ref="B1:B3"/>
    <mergeCell ref="D2:D3"/>
    <mergeCell ref="E2:E3"/>
    <mergeCell ref="C2:C3"/>
    <mergeCell ref="A50:B50"/>
    <mergeCell ref="A51:B5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36"/>
  <sheetViews>
    <sheetView topLeftCell="A21" zoomScale="106" zoomScaleNormal="106" workbookViewId="0">
      <selection activeCell="H22" sqref="H22"/>
    </sheetView>
  </sheetViews>
  <sheetFormatPr baseColWidth="10" defaultColWidth="14" defaultRowHeight="15" x14ac:dyDescent="0.25"/>
  <cols>
    <col min="1" max="1" width="8" style="182" customWidth="1"/>
    <col min="2" max="2" width="38" style="182" customWidth="1"/>
    <col min="3" max="4" width="13" style="182" customWidth="1"/>
    <col min="5" max="5" width="12" style="182" customWidth="1"/>
    <col min="6" max="6" width="14" style="182" customWidth="1"/>
    <col min="7" max="7" width="13.85546875" style="182" customWidth="1"/>
    <col min="8" max="16384" width="14" style="182"/>
  </cols>
  <sheetData>
    <row r="1" spans="1:7" ht="21" hidden="1" x14ac:dyDescent="0.35">
      <c r="A1" s="547" t="s">
        <v>86</v>
      </c>
      <c r="B1" s="547"/>
      <c r="C1" s="547"/>
      <c r="D1" s="547"/>
      <c r="E1" s="547"/>
      <c r="F1" s="547"/>
      <c r="G1" s="547"/>
    </row>
    <row r="2" spans="1:7" ht="21" hidden="1" x14ac:dyDescent="0.35">
      <c r="A2" s="547" t="s">
        <v>293</v>
      </c>
      <c r="B2" s="547"/>
      <c r="C2" s="547"/>
      <c r="D2" s="547"/>
      <c r="E2" s="547"/>
      <c r="F2" s="547"/>
      <c r="G2" s="547"/>
    </row>
    <row r="3" spans="1:7" ht="21.75" thickBot="1" x14ac:dyDescent="0.4">
      <c r="A3" s="547" t="s">
        <v>294</v>
      </c>
      <c r="B3" s="547"/>
      <c r="C3" s="547"/>
      <c r="D3" s="547"/>
      <c r="E3" s="547"/>
      <c r="F3" s="547"/>
      <c r="G3" s="547"/>
    </row>
    <row r="4" spans="1:7" ht="15.75" thickBot="1" x14ac:dyDescent="0.3">
      <c r="A4" s="272"/>
      <c r="B4" s="273"/>
      <c r="C4" s="548" t="s">
        <v>87</v>
      </c>
      <c r="D4" s="549"/>
      <c r="E4" s="549"/>
      <c r="F4" s="549"/>
      <c r="G4" s="550"/>
    </row>
    <row r="5" spans="1:7" x14ac:dyDescent="0.25">
      <c r="A5" s="277"/>
      <c r="B5" s="278"/>
      <c r="C5" s="551" t="s">
        <v>88</v>
      </c>
      <c r="D5" s="551"/>
      <c r="E5" s="551"/>
      <c r="F5" s="551"/>
      <c r="G5" s="552"/>
    </row>
    <row r="6" spans="1:7" x14ac:dyDescent="0.25">
      <c r="A6" s="280" t="s">
        <v>89</v>
      </c>
      <c r="B6" s="279" t="s">
        <v>90</v>
      </c>
      <c r="C6" s="553" t="s">
        <v>91</v>
      </c>
      <c r="D6" s="553"/>
      <c r="E6" s="553"/>
      <c r="F6" s="553"/>
      <c r="G6" s="554"/>
    </row>
    <row r="7" spans="1:7" x14ac:dyDescent="0.25">
      <c r="A7" s="277"/>
      <c r="B7" s="278"/>
      <c r="C7" s="545" t="s">
        <v>92</v>
      </c>
      <c r="D7" s="545"/>
      <c r="E7" s="545"/>
      <c r="F7" s="545"/>
      <c r="G7" s="546"/>
    </row>
    <row r="8" spans="1:7" ht="25.5" thickBot="1" x14ac:dyDescent="0.3">
      <c r="A8" s="287"/>
      <c r="B8" s="288"/>
      <c r="C8" s="289" t="s">
        <v>93</v>
      </c>
      <c r="D8" s="290" t="s">
        <v>94</v>
      </c>
      <c r="E8" s="290" t="s">
        <v>95</v>
      </c>
      <c r="F8" s="290" t="s">
        <v>96</v>
      </c>
      <c r="G8" s="309" t="s">
        <v>207</v>
      </c>
    </row>
    <row r="9" spans="1:7" x14ac:dyDescent="0.25">
      <c r="A9" s="310">
        <v>51</v>
      </c>
      <c r="B9" s="298" t="s">
        <v>97</v>
      </c>
      <c r="C9" s="4">
        <f>C10+C14+C18+C21+C27+C30+C24</f>
        <v>83975</v>
      </c>
      <c r="D9" s="4">
        <f>D10+D14+D18+D21+D27+D30+D24</f>
        <v>91340.01</v>
      </c>
      <c r="E9" s="4">
        <f>E10+E14+E18+E21+E27+E30+E24</f>
        <v>18450</v>
      </c>
      <c r="F9" s="4">
        <f>F10+F14+F18+F21+F27+F30+F24</f>
        <v>95102.239999999991</v>
      </c>
      <c r="G9" s="5">
        <f>G10+G14+G18+G21+G27+G30+G24</f>
        <v>288867.25</v>
      </c>
    </row>
    <row r="10" spans="1:7" x14ac:dyDescent="0.25">
      <c r="A10" s="311">
        <v>511</v>
      </c>
      <c r="B10" s="190" t="s">
        <v>98</v>
      </c>
      <c r="C10" s="4">
        <f>C11+C12+C13</f>
        <v>82475</v>
      </c>
      <c r="D10" s="4">
        <f>D11+D12+D13</f>
        <v>91340.01</v>
      </c>
      <c r="E10" s="4">
        <f>E11+E12+E13</f>
        <v>18450</v>
      </c>
      <c r="F10" s="4">
        <f>F11+F12+F13</f>
        <v>95102.239999999991</v>
      </c>
      <c r="G10" s="5">
        <f>G11+G12+G13</f>
        <v>287367.25</v>
      </c>
    </row>
    <row r="11" spans="1:7" x14ac:dyDescent="0.25">
      <c r="A11" s="388">
        <v>51101</v>
      </c>
      <c r="B11" s="389" t="s">
        <v>99</v>
      </c>
      <c r="C11" s="390">
        <f>'Sueldo Jornal (2)'!H7</f>
        <v>34200</v>
      </c>
      <c r="D11" s="390">
        <f>'Sueldo Jornal (2)'!H24</f>
        <v>81191.12</v>
      </c>
      <c r="E11" s="390">
        <f>'Sueldo Jornal (2)'!H29</f>
        <v>16400</v>
      </c>
      <c r="F11" s="390">
        <f>'Sueldo Jornal (2)'!H51</f>
        <v>75440</v>
      </c>
      <c r="G11" s="391">
        <f>C11+D11+E11+F11</f>
        <v>207231.12</v>
      </c>
    </row>
    <row r="12" spans="1:7" x14ac:dyDescent="0.25">
      <c r="A12" s="312">
        <v>51103</v>
      </c>
      <c r="B12" s="197" t="s">
        <v>100</v>
      </c>
      <c r="C12" s="193">
        <f>'Sueldo Jornal (2)'!J7</f>
        <v>4275</v>
      </c>
      <c r="D12" s="193">
        <f>'Sueldo Jornal (2)'!J24</f>
        <v>10148.89</v>
      </c>
      <c r="E12" s="193">
        <f>'Sueldo Jornal (2)'!J29</f>
        <v>2050</v>
      </c>
      <c r="F12" s="193">
        <f>'Sueldo Jornal (2)'!J51+'Sueldo Jornal (2)'!J71+'Sueldo Jornal (2)'!J97+'Sueldo Jornal (2)'!J103</f>
        <v>19662.239999999998</v>
      </c>
      <c r="G12" s="192">
        <f>C12+D12+E12+F12</f>
        <v>36136.129999999997</v>
      </c>
    </row>
    <row r="13" spans="1:7" x14ac:dyDescent="0.25">
      <c r="A13" s="312">
        <v>51105</v>
      </c>
      <c r="B13" s="197" t="s">
        <v>101</v>
      </c>
      <c r="C13" s="193">
        <v>44000</v>
      </c>
      <c r="D13" s="193"/>
      <c r="E13" s="193"/>
      <c r="F13" s="193"/>
      <c r="G13" s="192">
        <f>C13+D13+E13+F13</f>
        <v>44000</v>
      </c>
    </row>
    <row r="14" spans="1:7" x14ac:dyDescent="0.25">
      <c r="A14" s="311">
        <v>512</v>
      </c>
      <c r="B14" s="190" t="s">
        <v>102</v>
      </c>
      <c r="C14" s="4">
        <f>C15+C16+C17</f>
        <v>0</v>
      </c>
      <c r="D14" s="4">
        <f>D15+D16+D17</f>
        <v>0</v>
      </c>
      <c r="E14" s="4">
        <f>E15+E16+E17</f>
        <v>0</v>
      </c>
      <c r="F14" s="4">
        <f>F15+F16+F17</f>
        <v>0</v>
      </c>
      <c r="G14" s="5">
        <f>G15+G16+G17</f>
        <v>0</v>
      </c>
    </row>
    <row r="15" spans="1:7" x14ac:dyDescent="0.25">
      <c r="A15" s="312">
        <v>51201</v>
      </c>
      <c r="B15" s="197" t="s">
        <v>99</v>
      </c>
      <c r="C15" s="193">
        <v>0</v>
      </c>
      <c r="D15" s="193"/>
      <c r="E15" s="193"/>
      <c r="F15" s="193"/>
      <c r="G15" s="192">
        <f>C15+D15+E15+F15</f>
        <v>0</v>
      </c>
    </row>
    <row r="16" spans="1:7" ht="15" customHeight="1" x14ac:dyDescent="0.25">
      <c r="A16" s="312">
        <v>51202</v>
      </c>
      <c r="B16" s="197" t="s">
        <v>103</v>
      </c>
      <c r="C16" s="193"/>
      <c r="D16" s="193"/>
      <c r="E16" s="193"/>
      <c r="F16" s="193"/>
      <c r="G16" s="192">
        <f t="shared" ref="G16:G83" si="0">C16+D16+E16+F16</f>
        <v>0</v>
      </c>
    </row>
    <row r="17" spans="1:7" ht="15" customHeight="1" x14ac:dyDescent="0.25">
      <c r="A17" s="312">
        <v>51203</v>
      </c>
      <c r="B17" s="197" t="s">
        <v>100</v>
      </c>
      <c r="C17" s="193"/>
      <c r="D17" s="193"/>
      <c r="E17" s="193"/>
      <c r="F17" s="193"/>
      <c r="G17" s="192">
        <f t="shared" si="0"/>
        <v>0</v>
      </c>
    </row>
    <row r="18" spans="1:7" ht="15" customHeight="1" x14ac:dyDescent="0.25">
      <c r="A18" s="311">
        <v>514</v>
      </c>
      <c r="B18" s="190" t="s">
        <v>104</v>
      </c>
      <c r="C18" s="4">
        <f>C19+C20</f>
        <v>0</v>
      </c>
      <c r="D18" s="4">
        <f t="shared" ref="D18:G18" si="1">D19+D20</f>
        <v>0</v>
      </c>
      <c r="E18" s="4">
        <f t="shared" si="1"/>
        <v>0</v>
      </c>
      <c r="F18" s="4">
        <f t="shared" si="1"/>
        <v>0</v>
      </c>
      <c r="G18" s="5">
        <f t="shared" si="1"/>
        <v>0</v>
      </c>
    </row>
    <row r="19" spans="1:7" ht="15" customHeight="1" x14ac:dyDescent="0.25">
      <c r="A19" s="312">
        <v>51401</v>
      </c>
      <c r="B19" s="197" t="s">
        <v>105</v>
      </c>
      <c r="C19" s="193">
        <v>0</v>
      </c>
      <c r="D19" s="193">
        <v>0</v>
      </c>
      <c r="E19" s="193">
        <v>0</v>
      </c>
      <c r="F19" s="193">
        <v>0</v>
      </c>
      <c r="G19" s="192">
        <f t="shared" si="0"/>
        <v>0</v>
      </c>
    </row>
    <row r="20" spans="1:7" ht="15" customHeight="1" x14ac:dyDescent="0.25">
      <c r="A20" s="312">
        <v>51402</v>
      </c>
      <c r="B20" s="197" t="s">
        <v>106</v>
      </c>
      <c r="C20" s="193"/>
      <c r="D20" s="193"/>
      <c r="E20" s="193"/>
      <c r="F20" s="193"/>
      <c r="G20" s="192">
        <f t="shared" si="0"/>
        <v>0</v>
      </c>
    </row>
    <row r="21" spans="1:7" ht="15" customHeight="1" x14ac:dyDescent="0.25">
      <c r="A21" s="311">
        <v>515</v>
      </c>
      <c r="B21" s="190" t="s">
        <v>107</v>
      </c>
      <c r="C21" s="4">
        <f>C22+C23</f>
        <v>0</v>
      </c>
      <c r="D21" s="4">
        <f t="shared" ref="D21:G21" si="2">D22+D23</f>
        <v>0</v>
      </c>
      <c r="E21" s="4">
        <f t="shared" si="2"/>
        <v>0</v>
      </c>
      <c r="F21" s="4">
        <f t="shared" si="2"/>
        <v>0</v>
      </c>
      <c r="G21" s="5">
        <f t="shared" si="2"/>
        <v>0</v>
      </c>
    </row>
    <row r="22" spans="1:7" ht="15" customHeight="1" x14ac:dyDescent="0.25">
      <c r="A22" s="312">
        <v>51501</v>
      </c>
      <c r="B22" s="197" t="s">
        <v>105</v>
      </c>
      <c r="C22" s="193"/>
      <c r="D22" s="193"/>
      <c r="E22" s="193"/>
      <c r="F22" s="193"/>
      <c r="G22" s="192">
        <f t="shared" si="0"/>
        <v>0</v>
      </c>
    </row>
    <row r="23" spans="1:7" ht="15" customHeight="1" x14ac:dyDescent="0.25">
      <c r="A23" s="312">
        <v>51502</v>
      </c>
      <c r="B23" s="197" t="s">
        <v>106</v>
      </c>
      <c r="C23" s="193"/>
      <c r="D23" s="193"/>
      <c r="E23" s="193"/>
      <c r="F23" s="193"/>
      <c r="G23" s="192">
        <f t="shared" si="0"/>
        <v>0</v>
      </c>
    </row>
    <row r="24" spans="1:7" ht="15" customHeight="1" x14ac:dyDescent="0.25">
      <c r="A24" s="311">
        <v>517</v>
      </c>
      <c r="B24" s="190" t="s">
        <v>108</v>
      </c>
      <c r="C24" s="4">
        <f>C25+C26</f>
        <v>0</v>
      </c>
      <c r="D24" s="4">
        <f>D25+D26</f>
        <v>0</v>
      </c>
      <c r="E24" s="4">
        <f t="shared" ref="E24:G24" si="3">E25+E26</f>
        <v>0</v>
      </c>
      <c r="F24" s="4">
        <f t="shared" si="3"/>
        <v>0</v>
      </c>
      <c r="G24" s="5">
        <f t="shared" si="3"/>
        <v>0</v>
      </c>
    </row>
    <row r="25" spans="1:7" ht="15" customHeight="1" x14ac:dyDescent="0.25">
      <c r="A25" s="312">
        <v>51701</v>
      </c>
      <c r="B25" s="197" t="s">
        <v>109</v>
      </c>
      <c r="C25" s="193"/>
      <c r="D25" s="193">
        <v>0</v>
      </c>
      <c r="E25" s="193">
        <v>0</v>
      </c>
      <c r="F25" s="193">
        <v>0</v>
      </c>
      <c r="G25" s="195">
        <v>0</v>
      </c>
    </row>
    <row r="26" spans="1:7" ht="15" customHeight="1" x14ac:dyDescent="0.25">
      <c r="A26" s="312">
        <v>51702</v>
      </c>
      <c r="B26" s="197" t="s">
        <v>110</v>
      </c>
      <c r="C26" s="193"/>
      <c r="D26" s="193"/>
      <c r="E26" s="193"/>
      <c r="F26" s="193"/>
      <c r="G26" s="195">
        <v>0</v>
      </c>
    </row>
    <row r="27" spans="1:7" ht="15" customHeight="1" x14ac:dyDescent="0.25">
      <c r="A27" s="311">
        <v>516</v>
      </c>
      <c r="B27" s="190" t="s">
        <v>111</v>
      </c>
      <c r="C27" s="4">
        <f>C28+C29</f>
        <v>0</v>
      </c>
      <c r="D27" s="4">
        <f t="shared" ref="D27:G27" si="4">D28+D29</f>
        <v>0</v>
      </c>
      <c r="E27" s="4">
        <f t="shared" si="4"/>
        <v>0</v>
      </c>
      <c r="F27" s="4">
        <f t="shared" si="4"/>
        <v>0</v>
      </c>
      <c r="G27" s="5">
        <f t="shared" si="4"/>
        <v>0</v>
      </c>
    </row>
    <row r="28" spans="1:7" ht="15" customHeight="1" x14ac:dyDescent="0.25">
      <c r="A28" s="312">
        <v>51601</v>
      </c>
      <c r="B28" s="197" t="s">
        <v>112</v>
      </c>
      <c r="C28" s="193"/>
      <c r="D28" s="193"/>
      <c r="E28" s="193"/>
      <c r="F28" s="193"/>
      <c r="G28" s="192">
        <f t="shared" si="0"/>
        <v>0</v>
      </c>
    </row>
    <row r="29" spans="1:7" ht="15" customHeight="1" x14ac:dyDescent="0.25">
      <c r="A29" s="312">
        <v>51602</v>
      </c>
      <c r="B29" s="197" t="s">
        <v>113</v>
      </c>
      <c r="C29" s="193"/>
      <c r="D29" s="193"/>
      <c r="E29" s="193"/>
      <c r="F29" s="193"/>
      <c r="G29" s="192">
        <f t="shared" si="0"/>
        <v>0</v>
      </c>
    </row>
    <row r="30" spans="1:7" x14ac:dyDescent="0.25">
      <c r="A30" s="311">
        <v>519</v>
      </c>
      <c r="B30" s="190" t="s">
        <v>114</v>
      </c>
      <c r="C30" s="4">
        <f>C31</f>
        <v>1500</v>
      </c>
      <c r="D30" s="4">
        <f t="shared" ref="D30:F30" si="5">D31</f>
        <v>0</v>
      </c>
      <c r="E30" s="4">
        <f t="shared" si="5"/>
        <v>0</v>
      </c>
      <c r="F30" s="4">
        <f t="shared" si="5"/>
        <v>0</v>
      </c>
      <c r="G30" s="5">
        <f>G31</f>
        <v>1500</v>
      </c>
    </row>
    <row r="31" spans="1:7" x14ac:dyDescent="0.25">
      <c r="A31" s="312">
        <v>51901</v>
      </c>
      <c r="B31" s="197" t="s">
        <v>115</v>
      </c>
      <c r="C31" s="193">
        <v>1500</v>
      </c>
      <c r="D31" s="193"/>
      <c r="E31" s="193"/>
      <c r="F31" s="193"/>
      <c r="G31" s="192">
        <f>C31+D31+E31+F31</f>
        <v>1500</v>
      </c>
    </row>
    <row r="32" spans="1:7" x14ac:dyDescent="0.25">
      <c r="A32" s="311">
        <v>54</v>
      </c>
      <c r="B32" s="190" t="s">
        <v>116</v>
      </c>
      <c r="C32" s="4">
        <f>C33+C53+C59+C76</f>
        <v>255469.75</v>
      </c>
      <c r="D32" s="4">
        <f>D33+D53+D59</f>
        <v>5900</v>
      </c>
      <c r="E32" s="4">
        <f>E33+E53+E59</f>
        <v>4200</v>
      </c>
      <c r="F32" s="4">
        <f>F33+F53+F59</f>
        <v>3700</v>
      </c>
      <c r="G32" s="5">
        <f>G33+G53+G59+G71+G82+G76</f>
        <v>269269.75</v>
      </c>
    </row>
    <row r="33" spans="1:7" x14ac:dyDescent="0.25">
      <c r="A33" s="311">
        <v>541</v>
      </c>
      <c r="B33" s="190" t="s">
        <v>117</v>
      </c>
      <c r="C33" s="4">
        <f>SUM(C34:C52)</f>
        <v>59269.75</v>
      </c>
      <c r="D33" s="4">
        <f t="shared" ref="D33:F33" si="6">SUM(D34:D52)</f>
        <v>5900</v>
      </c>
      <c r="E33" s="4">
        <f>SUM(E34:E52)</f>
        <v>4200</v>
      </c>
      <c r="F33" s="4">
        <f t="shared" si="6"/>
        <v>3700</v>
      </c>
      <c r="G33" s="5">
        <f>SUM(G34:G52)</f>
        <v>73069.75</v>
      </c>
    </row>
    <row r="34" spans="1:7" x14ac:dyDescent="0.25">
      <c r="A34" s="484">
        <v>54101</v>
      </c>
      <c r="B34" s="485" t="s">
        <v>118</v>
      </c>
      <c r="C34" s="482">
        <v>500</v>
      </c>
      <c r="D34" s="482"/>
      <c r="E34" s="482"/>
      <c r="F34" s="482"/>
      <c r="G34" s="486">
        <f t="shared" si="0"/>
        <v>500</v>
      </c>
    </row>
    <row r="35" spans="1:7" x14ac:dyDescent="0.25">
      <c r="A35" s="484">
        <v>54103</v>
      </c>
      <c r="B35" s="485" t="s">
        <v>119</v>
      </c>
      <c r="C35" s="482">
        <v>1469.75</v>
      </c>
      <c r="D35" s="482"/>
      <c r="E35" s="482"/>
      <c r="F35" s="482"/>
      <c r="G35" s="486">
        <f t="shared" si="0"/>
        <v>1469.75</v>
      </c>
    </row>
    <row r="36" spans="1:7" x14ac:dyDescent="0.25">
      <c r="A36" s="484">
        <v>54104</v>
      </c>
      <c r="B36" s="485" t="s">
        <v>120</v>
      </c>
      <c r="C36" s="482">
        <v>10000</v>
      </c>
      <c r="D36" s="482"/>
      <c r="E36" s="482"/>
      <c r="F36" s="482"/>
      <c r="G36" s="486">
        <f>C36+D36+E36+F36</f>
        <v>10000</v>
      </c>
    </row>
    <row r="37" spans="1:7" x14ac:dyDescent="0.25">
      <c r="A37" s="484">
        <v>54105</v>
      </c>
      <c r="B37" s="485" t="s">
        <v>121</v>
      </c>
      <c r="C37" s="482">
        <v>5000</v>
      </c>
      <c r="D37" s="482"/>
      <c r="E37" s="482"/>
      <c r="F37" s="482"/>
      <c r="G37" s="486">
        <f>C37+D37+E37+F37</f>
        <v>5000</v>
      </c>
    </row>
    <row r="38" spans="1:7" x14ac:dyDescent="0.25">
      <c r="A38" s="484">
        <v>54106</v>
      </c>
      <c r="B38" s="485" t="s">
        <v>122</v>
      </c>
      <c r="C38" s="482">
        <v>300</v>
      </c>
      <c r="D38" s="482">
        <v>200</v>
      </c>
      <c r="E38" s="482">
        <v>200</v>
      </c>
      <c r="F38" s="482">
        <v>200</v>
      </c>
      <c r="G38" s="486">
        <f t="shared" si="0"/>
        <v>900</v>
      </c>
    </row>
    <row r="39" spans="1:7" x14ac:dyDescent="0.25">
      <c r="A39" s="484">
        <v>54107</v>
      </c>
      <c r="B39" s="485" t="s">
        <v>123</v>
      </c>
      <c r="C39" s="482"/>
      <c r="D39" s="482"/>
      <c r="E39" s="482"/>
      <c r="F39" s="482"/>
      <c r="G39" s="486">
        <f t="shared" si="0"/>
        <v>0</v>
      </c>
    </row>
    <row r="40" spans="1:7" x14ac:dyDescent="0.25">
      <c r="A40" s="484">
        <v>54108</v>
      </c>
      <c r="B40" s="485" t="s">
        <v>124</v>
      </c>
      <c r="C40" s="482"/>
      <c r="D40" s="482"/>
      <c r="E40" s="482"/>
      <c r="F40" s="482"/>
      <c r="G40" s="486">
        <f t="shared" si="0"/>
        <v>0</v>
      </c>
    </row>
    <row r="41" spans="1:7" x14ac:dyDescent="0.25">
      <c r="A41" s="484">
        <v>54109</v>
      </c>
      <c r="B41" s="485" t="s">
        <v>125</v>
      </c>
      <c r="C41" s="482">
        <v>1000</v>
      </c>
      <c r="D41" s="482"/>
      <c r="E41" s="482"/>
      <c r="F41" s="482"/>
      <c r="G41" s="486">
        <f>C41+D41+E41+F41</f>
        <v>1000</v>
      </c>
    </row>
    <row r="42" spans="1:7" x14ac:dyDescent="0.25">
      <c r="A42" s="484">
        <v>54110</v>
      </c>
      <c r="B42" s="485" t="s">
        <v>126</v>
      </c>
      <c r="C42" s="482">
        <v>10000</v>
      </c>
      <c r="D42" s="482">
        <v>4000</v>
      </c>
      <c r="E42" s="482">
        <v>3000</v>
      </c>
      <c r="F42" s="482">
        <v>3000</v>
      </c>
      <c r="G42" s="486">
        <f>C42+D42+E42+F42</f>
        <v>20000</v>
      </c>
    </row>
    <row r="43" spans="1:7" x14ac:dyDescent="0.25">
      <c r="A43" s="484">
        <v>54111</v>
      </c>
      <c r="B43" s="485" t="s">
        <v>127</v>
      </c>
      <c r="C43" s="482"/>
      <c r="D43" s="482"/>
      <c r="E43" s="482"/>
      <c r="F43" s="482"/>
      <c r="G43" s="486">
        <f t="shared" si="0"/>
        <v>0</v>
      </c>
    </row>
    <row r="44" spans="1:7" x14ac:dyDescent="0.25">
      <c r="A44" s="484">
        <v>54112</v>
      </c>
      <c r="B44" s="485" t="s">
        <v>128</v>
      </c>
      <c r="C44" s="482"/>
      <c r="D44" s="482"/>
      <c r="E44" s="482"/>
      <c r="F44" s="482"/>
      <c r="G44" s="486">
        <f t="shared" si="0"/>
        <v>0</v>
      </c>
    </row>
    <row r="45" spans="1:7" x14ac:dyDescent="0.25">
      <c r="A45" s="484">
        <v>54114</v>
      </c>
      <c r="B45" s="485" t="s">
        <v>129</v>
      </c>
      <c r="C45" s="482">
        <v>2000</v>
      </c>
      <c r="D45" s="482">
        <v>1700</v>
      </c>
      <c r="E45" s="482">
        <v>1000</v>
      </c>
      <c r="F45" s="482">
        <v>500</v>
      </c>
      <c r="G45" s="486">
        <f>C45+D45+E45+F45</f>
        <v>5200</v>
      </c>
    </row>
    <row r="46" spans="1:7" x14ac:dyDescent="0.25">
      <c r="A46" s="484">
        <v>54115</v>
      </c>
      <c r="B46" s="485" t="s">
        <v>130</v>
      </c>
      <c r="C46" s="482">
        <v>11000</v>
      </c>
      <c r="D46" s="482"/>
      <c r="E46" s="482"/>
      <c r="F46" s="482"/>
      <c r="G46" s="486">
        <f>C46+D46+E46+F46</f>
        <v>11000</v>
      </c>
    </row>
    <row r="47" spans="1:7" x14ac:dyDescent="0.25">
      <c r="A47" s="484">
        <v>54116</v>
      </c>
      <c r="B47" s="485" t="s">
        <v>131</v>
      </c>
      <c r="C47" s="482"/>
      <c r="D47" s="482"/>
      <c r="E47" s="482"/>
      <c r="F47" s="482"/>
      <c r="G47" s="486">
        <f t="shared" si="0"/>
        <v>0</v>
      </c>
    </row>
    <row r="48" spans="1:7" x14ac:dyDescent="0.25">
      <c r="A48" s="237">
        <v>54118</v>
      </c>
      <c r="B48" s="485" t="s">
        <v>132</v>
      </c>
      <c r="C48" s="482">
        <v>2000</v>
      </c>
      <c r="D48" s="482"/>
      <c r="E48" s="482"/>
      <c r="F48" s="482"/>
      <c r="G48" s="486">
        <f t="shared" si="0"/>
        <v>2000</v>
      </c>
    </row>
    <row r="49" spans="1:7" x14ac:dyDescent="0.25">
      <c r="A49" s="484">
        <v>54119</v>
      </c>
      <c r="B49" s="485" t="s">
        <v>133</v>
      </c>
      <c r="C49" s="482"/>
      <c r="D49" s="482"/>
      <c r="E49" s="482"/>
      <c r="F49" s="482"/>
      <c r="G49" s="486">
        <f t="shared" si="0"/>
        <v>0</v>
      </c>
    </row>
    <row r="50" spans="1:7" ht="15" customHeight="1" x14ac:dyDescent="0.25">
      <c r="A50" s="484">
        <v>54120</v>
      </c>
      <c r="B50" s="485"/>
      <c r="C50" s="482"/>
      <c r="D50" s="482"/>
      <c r="E50" s="482"/>
      <c r="F50" s="482"/>
      <c r="G50" s="486"/>
    </row>
    <row r="51" spans="1:7" x14ac:dyDescent="0.25">
      <c r="A51" s="484">
        <v>54121</v>
      </c>
      <c r="B51" s="485" t="s">
        <v>134</v>
      </c>
      <c r="C51" s="482">
        <v>4000</v>
      </c>
      <c r="D51" s="482"/>
      <c r="E51" s="482"/>
      <c r="F51" s="482"/>
      <c r="G51" s="486">
        <f>C51+D51+E51+F51</f>
        <v>4000</v>
      </c>
    </row>
    <row r="52" spans="1:7" x14ac:dyDescent="0.25">
      <c r="A52" s="484">
        <v>54199</v>
      </c>
      <c r="B52" s="485" t="s">
        <v>117</v>
      </c>
      <c r="C52" s="482">
        <v>12000</v>
      </c>
      <c r="D52" s="482"/>
      <c r="E52" s="482"/>
      <c r="F52" s="482"/>
      <c r="G52" s="486">
        <f t="shared" si="0"/>
        <v>12000</v>
      </c>
    </row>
    <row r="53" spans="1:7" x14ac:dyDescent="0.25">
      <c r="A53" s="487">
        <v>542</v>
      </c>
      <c r="B53" s="488" t="s">
        <v>135</v>
      </c>
      <c r="C53" s="489">
        <f>SUM(C54:C58)</f>
        <v>180400</v>
      </c>
      <c r="D53" s="489">
        <f t="shared" ref="D53:F53" si="7">SUM(D54:D58)</f>
        <v>0</v>
      </c>
      <c r="E53" s="489">
        <f t="shared" si="7"/>
        <v>0</v>
      </c>
      <c r="F53" s="489">
        <f t="shared" si="7"/>
        <v>0</v>
      </c>
      <c r="G53" s="490">
        <f>SUM(G54:G58)</f>
        <v>180400</v>
      </c>
    </row>
    <row r="54" spans="1:7" x14ac:dyDescent="0.25">
      <c r="A54" s="484">
        <v>54201</v>
      </c>
      <c r="B54" s="485" t="s">
        <v>136</v>
      </c>
      <c r="C54" s="482">
        <v>79200</v>
      </c>
      <c r="D54" s="482"/>
      <c r="E54" s="482"/>
      <c r="F54" s="482"/>
      <c r="G54" s="486">
        <f t="shared" si="0"/>
        <v>79200</v>
      </c>
    </row>
    <row r="55" spans="1:7" x14ac:dyDescent="0.25">
      <c r="A55" s="484">
        <v>54202</v>
      </c>
      <c r="B55" s="485" t="s">
        <v>137</v>
      </c>
      <c r="C55" s="482">
        <v>6500</v>
      </c>
      <c r="D55" s="482"/>
      <c r="E55" s="482"/>
      <c r="F55" s="482"/>
      <c r="G55" s="486">
        <f t="shared" si="0"/>
        <v>6500</v>
      </c>
    </row>
    <row r="56" spans="1:7" x14ac:dyDescent="0.25">
      <c r="A56" s="484">
        <v>54203</v>
      </c>
      <c r="B56" s="485" t="s">
        <v>138</v>
      </c>
      <c r="C56" s="482">
        <v>7200</v>
      </c>
      <c r="D56" s="482"/>
      <c r="E56" s="482"/>
      <c r="F56" s="482"/>
      <c r="G56" s="486">
        <f t="shared" si="0"/>
        <v>7200</v>
      </c>
    </row>
    <row r="57" spans="1:7" ht="15" customHeight="1" x14ac:dyDescent="0.25">
      <c r="A57" s="484">
        <v>54204</v>
      </c>
      <c r="B57" s="485" t="s">
        <v>139</v>
      </c>
      <c r="C57" s="482"/>
      <c r="D57" s="482"/>
      <c r="E57" s="482"/>
      <c r="F57" s="482"/>
      <c r="G57" s="486">
        <f t="shared" si="0"/>
        <v>0</v>
      </c>
    </row>
    <row r="58" spans="1:7" x14ac:dyDescent="0.25">
      <c r="A58" s="484">
        <v>54205</v>
      </c>
      <c r="B58" s="485" t="s">
        <v>140</v>
      </c>
      <c r="C58" s="482">
        <v>87500</v>
      </c>
      <c r="D58" s="482"/>
      <c r="E58" s="482"/>
      <c r="F58" s="482"/>
      <c r="G58" s="486">
        <f>C58+D58+E58+F58</f>
        <v>87500</v>
      </c>
    </row>
    <row r="59" spans="1:7" ht="15" customHeight="1" x14ac:dyDescent="0.25">
      <c r="A59" s="487">
        <v>543</v>
      </c>
      <c r="B59" s="488" t="s">
        <v>141</v>
      </c>
      <c r="C59" s="489">
        <f>SUM(C60:C70)</f>
        <v>12800</v>
      </c>
      <c r="D59" s="489">
        <f t="shared" ref="D59:F59" si="8">SUM(D60:D70)</f>
        <v>0</v>
      </c>
      <c r="E59" s="489">
        <f>SUM(E60:E70)</f>
        <v>0</v>
      </c>
      <c r="F59" s="489">
        <f t="shared" si="8"/>
        <v>0</v>
      </c>
      <c r="G59" s="490">
        <f>SUM(G60:G70)</f>
        <v>12800</v>
      </c>
    </row>
    <row r="60" spans="1:7" ht="15" customHeight="1" x14ac:dyDescent="0.25">
      <c r="A60" s="484">
        <v>54301</v>
      </c>
      <c r="B60" s="485" t="s">
        <v>142</v>
      </c>
      <c r="C60" s="482">
        <v>3500</v>
      </c>
      <c r="D60" s="482"/>
      <c r="E60" s="482"/>
      <c r="F60" s="482"/>
      <c r="G60" s="486">
        <f t="shared" si="0"/>
        <v>3500</v>
      </c>
    </row>
    <row r="61" spans="1:7" ht="15" customHeight="1" x14ac:dyDescent="0.25">
      <c r="A61" s="484">
        <v>54302</v>
      </c>
      <c r="B61" s="485" t="s">
        <v>143</v>
      </c>
      <c r="C61" s="482"/>
      <c r="D61" s="482"/>
      <c r="E61" s="482"/>
      <c r="F61" s="482"/>
      <c r="G61" s="486">
        <f t="shared" si="0"/>
        <v>0</v>
      </c>
    </row>
    <row r="62" spans="1:7" ht="15" customHeight="1" x14ac:dyDescent="0.25">
      <c r="A62" s="484">
        <v>54303</v>
      </c>
      <c r="B62" s="485" t="s">
        <v>144</v>
      </c>
      <c r="C62" s="482">
        <v>2600</v>
      </c>
      <c r="D62" s="482"/>
      <c r="E62" s="482"/>
      <c r="F62" s="482"/>
      <c r="G62" s="486">
        <f t="shared" si="0"/>
        <v>2600</v>
      </c>
    </row>
    <row r="63" spans="1:7" ht="15" customHeight="1" x14ac:dyDescent="0.25">
      <c r="A63" s="484">
        <v>54304</v>
      </c>
      <c r="B63" s="485" t="s">
        <v>145</v>
      </c>
      <c r="C63" s="482"/>
      <c r="D63" s="482"/>
      <c r="E63" s="482"/>
      <c r="F63" s="482"/>
      <c r="G63" s="486">
        <f t="shared" si="0"/>
        <v>0</v>
      </c>
    </row>
    <row r="64" spans="1:7" ht="15" customHeight="1" x14ac:dyDescent="0.25">
      <c r="A64" s="312">
        <v>54305</v>
      </c>
      <c r="B64" s="197" t="s">
        <v>146</v>
      </c>
      <c r="C64" s="193"/>
      <c r="D64" s="193"/>
      <c r="E64" s="193"/>
      <c r="F64" s="193"/>
      <c r="G64" s="192">
        <f t="shared" si="0"/>
        <v>0</v>
      </c>
    </row>
    <row r="65" spans="1:7" ht="15" customHeight="1" x14ac:dyDescent="0.25">
      <c r="A65" s="312">
        <v>54307</v>
      </c>
      <c r="B65" s="197" t="s">
        <v>147</v>
      </c>
      <c r="C65" s="193"/>
      <c r="D65" s="193"/>
      <c r="E65" s="193"/>
      <c r="F65" s="193"/>
      <c r="G65" s="192">
        <f t="shared" si="0"/>
        <v>0</v>
      </c>
    </row>
    <row r="66" spans="1:7" ht="15" customHeight="1" x14ac:dyDescent="0.25">
      <c r="A66" s="312">
        <v>54311</v>
      </c>
      <c r="B66" s="197" t="s">
        <v>148</v>
      </c>
      <c r="C66" s="193"/>
      <c r="D66" s="193"/>
      <c r="E66" s="193"/>
      <c r="F66" s="193"/>
      <c r="G66" s="192">
        <f t="shared" si="0"/>
        <v>0</v>
      </c>
    </row>
    <row r="67" spans="1:7" ht="15" customHeight="1" x14ac:dyDescent="0.25">
      <c r="A67" s="312">
        <v>54313</v>
      </c>
      <c r="B67" s="197" t="s">
        <v>149</v>
      </c>
      <c r="C67" s="193"/>
      <c r="D67" s="193"/>
      <c r="E67" s="193"/>
      <c r="F67" s="193"/>
      <c r="G67" s="192">
        <f t="shared" si="0"/>
        <v>0</v>
      </c>
    </row>
    <row r="68" spans="1:7" ht="15" customHeight="1" x14ac:dyDescent="0.25">
      <c r="A68" s="312">
        <v>54314</v>
      </c>
      <c r="B68" s="197" t="s">
        <v>150</v>
      </c>
      <c r="C68" s="193"/>
      <c r="D68" s="193"/>
      <c r="E68" s="193"/>
      <c r="F68" s="193"/>
      <c r="G68" s="192">
        <f t="shared" si="0"/>
        <v>0</v>
      </c>
    </row>
    <row r="69" spans="1:7" ht="15" customHeight="1" x14ac:dyDescent="0.25">
      <c r="A69" s="312">
        <v>54316</v>
      </c>
      <c r="B69" s="197" t="s">
        <v>151</v>
      </c>
      <c r="C69" s="193"/>
      <c r="D69" s="193"/>
      <c r="E69" s="193"/>
      <c r="F69" s="193"/>
      <c r="G69" s="192">
        <f t="shared" si="0"/>
        <v>0</v>
      </c>
    </row>
    <row r="70" spans="1:7" ht="15" customHeight="1" x14ac:dyDescent="0.25">
      <c r="A70" s="312">
        <v>54317</v>
      </c>
      <c r="B70" s="197" t="s">
        <v>487</v>
      </c>
      <c r="C70" s="193">
        <f>6700</f>
        <v>6700</v>
      </c>
      <c r="D70" s="193"/>
      <c r="E70" s="193"/>
      <c r="F70" s="193"/>
      <c r="G70" s="192">
        <f>C70+D70+E70+F70</f>
        <v>6700</v>
      </c>
    </row>
    <row r="71" spans="1:7" ht="15" customHeight="1" x14ac:dyDescent="0.25">
      <c r="A71" s="311">
        <v>544</v>
      </c>
      <c r="B71" s="190" t="s">
        <v>152</v>
      </c>
      <c r="C71" s="190"/>
      <c r="D71" s="203">
        <f t="shared" ref="D71:F71" si="9">SUM(D72:D74)</f>
        <v>0</v>
      </c>
      <c r="E71" s="203">
        <f t="shared" si="9"/>
        <v>0</v>
      </c>
      <c r="F71" s="203">
        <f t="shared" si="9"/>
        <v>0</v>
      </c>
      <c r="G71" s="202">
        <f>SUM(G72:G74)</f>
        <v>0</v>
      </c>
    </row>
    <row r="72" spans="1:7" ht="15" customHeight="1" x14ac:dyDescent="0.25">
      <c r="A72" s="312">
        <v>54401</v>
      </c>
      <c r="B72" s="197" t="s">
        <v>153</v>
      </c>
      <c r="C72" s="197"/>
      <c r="D72" s="201"/>
      <c r="E72" s="193"/>
      <c r="F72" s="193"/>
      <c r="G72" s="192">
        <f t="shared" si="0"/>
        <v>0</v>
      </c>
    </row>
    <row r="73" spans="1:7" ht="15" customHeight="1" x14ac:dyDescent="0.25">
      <c r="A73" s="312">
        <v>54402</v>
      </c>
      <c r="B73" s="197" t="s">
        <v>154</v>
      </c>
      <c r="C73" s="398">
        <v>0</v>
      </c>
      <c r="D73" s="396"/>
      <c r="E73" s="397"/>
      <c r="F73" s="397"/>
      <c r="G73" s="192">
        <f t="shared" si="0"/>
        <v>0</v>
      </c>
    </row>
    <row r="74" spans="1:7" ht="15" customHeight="1" x14ac:dyDescent="0.25">
      <c r="A74" s="312">
        <v>54403</v>
      </c>
      <c r="B74" s="197" t="s">
        <v>155</v>
      </c>
      <c r="C74" s="197"/>
      <c r="D74" s="201"/>
      <c r="E74" s="193"/>
      <c r="F74" s="193"/>
      <c r="G74" s="192">
        <f t="shared" si="0"/>
        <v>0</v>
      </c>
    </row>
    <row r="75" spans="1:7" ht="15" customHeight="1" x14ac:dyDescent="0.25">
      <c r="A75" s="312"/>
      <c r="B75" s="197" t="s">
        <v>587</v>
      </c>
      <c r="C75" s="398">
        <v>0</v>
      </c>
      <c r="D75" s="201"/>
      <c r="E75" s="193"/>
      <c r="F75" s="193"/>
      <c r="G75" s="192">
        <f t="shared" si="0"/>
        <v>0</v>
      </c>
    </row>
    <row r="76" spans="1:7" ht="15" customHeight="1" x14ac:dyDescent="0.25">
      <c r="A76" s="311">
        <v>545</v>
      </c>
      <c r="B76" s="190" t="s">
        <v>156</v>
      </c>
      <c r="C76" s="4">
        <f>SUM(C77:C81)</f>
        <v>3000</v>
      </c>
      <c r="D76" s="4">
        <f>SUM(D77:D81)</f>
        <v>0</v>
      </c>
      <c r="E76" s="4">
        <f>SUM(E77:E81)</f>
        <v>0</v>
      </c>
      <c r="F76" s="4">
        <f t="shared" ref="F76" si="10">SUM(F77:F81)</f>
        <v>0</v>
      </c>
      <c r="G76" s="5">
        <f>SUM(G77:G81)</f>
        <v>3000</v>
      </c>
    </row>
    <row r="77" spans="1:7" ht="15" customHeight="1" x14ac:dyDescent="0.25">
      <c r="A77" s="312">
        <v>54502</v>
      </c>
      <c r="B77" s="197" t="s">
        <v>157</v>
      </c>
      <c r="C77" s="197"/>
      <c r="D77" s="201"/>
      <c r="E77" s="193"/>
      <c r="F77" s="193"/>
      <c r="G77" s="192">
        <f t="shared" si="0"/>
        <v>0</v>
      </c>
    </row>
    <row r="78" spans="1:7" ht="15" customHeight="1" x14ac:dyDescent="0.25">
      <c r="A78" s="484">
        <v>54503</v>
      </c>
      <c r="B78" s="485" t="s">
        <v>158</v>
      </c>
      <c r="C78" s="491">
        <v>3000</v>
      </c>
      <c r="D78" s="492"/>
      <c r="E78" s="482"/>
      <c r="F78" s="482"/>
      <c r="G78" s="486">
        <f t="shared" si="0"/>
        <v>3000</v>
      </c>
    </row>
    <row r="79" spans="1:7" ht="15" customHeight="1" x14ac:dyDescent="0.25">
      <c r="A79" s="484">
        <v>54504</v>
      </c>
      <c r="B79" s="485" t="s">
        <v>159</v>
      </c>
      <c r="C79" s="485"/>
      <c r="D79" s="492"/>
      <c r="E79" s="482"/>
      <c r="F79" s="482"/>
      <c r="G79" s="486">
        <f t="shared" si="0"/>
        <v>0</v>
      </c>
    </row>
    <row r="80" spans="1:7" ht="15" customHeight="1" x14ac:dyDescent="0.25">
      <c r="A80" s="484">
        <v>54505</v>
      </c>
      <c r="B80" s="485" t="s">
        <v>160</v>
      </c>
      <c r="C80" s="485"/>
      <c r="D80" s="492"/>
      <c r="E80" s="482"/>
      <c r="F80" s="482"/>
      <c r="G80" s="486">
        <f t="shared" si="0"/>
        <v>0</v>
      </c>
    </row>
    <row r="81" spans="1:7" ht="15" customHeight="1" x14ac:dyDescent="0.25">
      <c r="A81" s="484">
        <v>54599</v>
      </c>
      <c r="B81" s="485" t="s">
        <v>161</v>
      </c>
      <c r="C81" s="485"/>
      <c r="D81" s="492"/>
      <c r="E81" s="482"/>
      <c r="F81" s="482"/>
      <c r="G81" s="486">
        <f t="shared" si="0"/>
        <v>0</v>
      </c>
    </row>
    <row r="82" spans="1:7" ht="15" customHeight="1" x14ac:dyDescent="0.25">
      <c r="A82" s="487">
        <v>546</v>
      </c>
      <c r="B82" s="488" t="s">
        <v>162</v>
      </c>
      <c r="C82" s="488"/>
      <c r="D82" s="489">
        <f>D83</f>
        <v>0</v>
      </c>
      <c r="E82" s="489">
        <f>E83</f>
        <v>0</v>
      </c>
      <c r="F82" s="489">
        <f t="shared" ref="F82" si="11">F83</f>
        <v>0</v>
      </c>
      <c r="G82" s="490">
        <f>G83</f>
        <v>0</v>
      </c>
    </row>
    <row r="83" spans="1:7" ht="15" customHeight="1" x14ac:dyDescent="0.25">
      <c r="A83" s="484">
        <v>54602</v>
      </c>
      <c r="B83" s="485" t="s">
        <v>163</v>
      </c>
      <c r="C83" s="485"/>
      <c r="D83" s="482"/>
      <c r="E83" s="482"/>
      <c r="F83" s="482"/>
      <c r="G83" s="486">
        <f t="shared" si="0"/>
        <v>0</v>
      </c>
    </row>
    <row r="84" spans="1:7" ht="15" customHeight="1" x14ac:dyDescent="0.25">
      <c r="A84" s="487">
        <v>55</v>
      </c>
      <c r="B84" s="488" t="s">
        <v>164</v>
      </c>
      <c r="C84" s="489">
        <f>C85+C88+C91</f>
        <v>4500</v>
      </c>
      <c r="D84" s="489">
        <f>D85+D88+D91</f>
        <v>0</v>
      </c>
      <c r="E84" s="489">
        <f>E85+E88+E91</f>
        <v>0</v>
      </c>
      <c r="F84" s="489">
        <f t="shared" ref="F84" si="12">F85+F88+F91</f>
        <v>0</v>
      </c>
      <c r="G84" s="490">
        <f>G85+G88+G91</f>
        <v>4500</v>
      </c>
    </row>
    <row r="85" spans="1:7" ht="15" customHeight="1" x14ac:dyDescent="0.25">
      <c r="A85" s="487">
        <v>553</v>
      </c>
      <c r="B85" s="488" t="s">
        <v>165</v>
      </c>
      <c r="C85" s="488"/>
      <c r="D85" s="489">
        <f>SUM(D86:D87)</f>
        <v>0</v>
      </c>
      <c r="E85" s="489">
        <f>SUM(E86:E87)</f>
        <v>0</v>
      </c>
      <c r="F85" s="489">
        <f t="shared" ref="F85:G85" si="13">SUM(F86:F87)</f>
        <v>0</v>
      </c>
      <c r="G85" s="490">
        <f t="shared" si="13"/>
        <v>0</v>
      </c>
    </row>
    <row r="86" spans="1:7" ht="15" customHeight="1" x14ac:dyDescent="0.25">
      <c r="A86" s="484">
        <v>55302</v>
      </c>
      <c r="B86" s="485" t="s">
        <v>166</v>
      </c>
      <c r="C86" s="485"/>
      <c r="D86" s="482"/>
      <c r="E86" s="482"/>
      <c r="F86" s="482"/>
      <c r="G86" s="486">
        <f t="shared" ref="G86:G87" si="14">C86+D86+E86+F86</f>
        <v>0</v>
      </c>
    </row>
    <row r="87" spans="1:7" ht="15" customHeight="1" x14ac:dyDescent="0.25">
      <c r="A87" s="484">
        <v>55304</v>
      </c>
      <c r="B87" s="485" t="s">
        <v>167</v>
      </c>
      <c r="C87" s="485"/>
      <c r="D87" s="482"/>
      <c r="E87" s="482"/>
      <c r="F87" s="482"/>
      <c r="G87" s="486">
        <f t="shared" si="14"/>
        <v>0</v>
      </c>
    </row>
    <row r="88" spans="1:7" ht="15" customHeight="1" x14ac:dyDescent="0.25">
      <c r="A88" s="487">
        <v>556</v>
      </c>
      <c r="B88" s="488" t="s">
        <v>168</v>
      </c>
      <c r="C88" s="493">
        <f>C89+C90</f>
        <v>4500</v>
      </c>
      <c r="D88" s="489">
        <f>SUM(D89:D90)</f>
        <v>0</v>
      </c>
      <c r="E88" s="489">
        <f>SUM(E89:E90)</f>
        <v>0</v>
      </c>
      <c r="F88" s="489">
        <f t="shared" ref="F88" si="15">SUM(F89:F90)</f>
        <v>0</v>
      </c>
      <c r="G88" s="490">
        <f>SUM(G89:G90)</f>
        <v>4500</v>
      </c>
    </row>
    <row r="89" spans="1:7" ht="15" customHeight="1" x14ac:dyDescent="0.25">
      <c r="A89" s="484">
        <v>55602</v>
      </c>
      <c r="B89" s="485" t="s">
        <v>169</v>
      </c>
      <c r="C89" s="491">
        <v>4500</v>
      </c>
      <c r="D89" s="482"/>
      <c r="E89" s="482"/>
      <c r="F89" s="482"/>
      <c r="G89" s="486">
        <f>C89+D89+E89+F89</f>
        <v>4500</v>
      </c>
    </row>
    <row r="90" spans="1:7" ht="15" customHeight="1" x14ac:dyDescent="0.25">
      <c r="A90" s="312">
        <v>55603</v>
      </c>
      <c r="B90" s="197" t="s">
        <v>170</v>
      </c>
      <c r="C90" s="197"/>
      <c r="D90" s="193"/>
      <c r="E90" s="193"/>
      <c r="F90" s="193"/>
      <c r="G90" s="192">
        <f t="shared" ref="G90" si="16">C90+D90+E90+F90</f>
        <v>0</v>
      </c>
    </row>
    <row r="91" spans="1:7" ht="15" customHeight="1" x14ac:dyDescent="0.25">
      <c r="A91" s="311">
        <v>557</v>
      </c>
      <c r="B91" s="190" t="s">
        <v>171</v>
      </c>
      <c r="C91" s="190"/>
      <c r="D91" s="4">
        <f>SUM(D92:D93)</f>
        <v>0</v>
      </c>
      <c r="E91" s="4">
        <f>SUM(E92:E93)</f>
        <v>0</v>
      </c>
      <c r="F91" s="4">
        <f t="shared" ref="F91:G91" si="17">SUM(F92:F93)</f>
        <v>0</v>
      </c>
      <c r="G91" s="5">
        <f t="shared" si="17"/>
        <v>0</v>
      </c>
    </row>
    <row r="92" spans="1:7" ht="15" customHeight="1" x14ac:dyDescent="0.25">
      <c r="A92" s="312">
        <v>55703</v>
      </c>
      <c r="B92" s="197" t="s">
        <v>172</v>
      </c>
      <c r="C92" s="197"/>
      <c r="D92" s="193"/>
      <c r="E92" s="193"/>
      <c r="F92" s="193"/>
      <c r="G92" s="192">
        <f t="shared" ref="G92:G93" si="18">C92+D92+E92+F92</f>
        <v>0</v>
      </c>
    </row>
    <row r="93" spans="1:7" ht="15" customHeight="1" x14ac:dyDescent="0.25">
      <c r="A93" s="312">
        <v>55799</v>
      </c>
      <c r="B93" s="197" t="s">
        <v>173</v>
      </c>
      <c r="C93" s="197"/>
      <c r="D93" s="193"/>
      <c r="E93" s="193"/>
      <c r="F93" s="193"/>
      <c r="G93" s="192">
        <f t="shared" si="18"/>
        <v>0</v>
      </c>
    </row>
    <row r="94" spans="1:7" x14ac:dyDescent="0.25">
      <c r="A94" s="311">
        <v>56</v>
      </c>
      <c r="B94" s="190" t="s">
        <v>174</v>
      </c>
      <c r="C94" s="313">
        <f>C95+C97</f>
        <v>15155.88</v>
      </c>
      <c r="D94" s="4"/>
      <c r="E94" s="4">
        <f t="shared" ref="E94:F95" si="19">E95</f>
        <v>0</v>
      </c>
      <c r="F94" s="4">
        <f t="shared" si="19"/>
        <v>0</v>
      </c>
      <c r="G94" s="5">
        <f>SUM(C94:F94)</f>
        <v>15155.88</v>
      </c>
    </row>
    <row r="95" spans="1:7" x14ac:dyDescent="0.25">
      <c r="A95" s="311">
        <v>562</v>
      </c>
      <c r="B95" s="190" t="s">
        <v>175</v>
      </c>
      <c r="C95" s="313">
        <f>C96</f>
        <v>15155.88</v>
      </c>
      <c r="D95" s="4"/>
      <c r="E95" s="4">
        <f>E96</f>
        <v>0</v>
      </c>
      <c r="F95" s="4">
        <f t="shared" si="19"/>
        <v>0</v>
      </c>
      <c r="G95" s="5">
        <f>SUM(C95:F95)</f>
        <v>15155.88</v>
      </c>
    </row>
    <row r="96" spans="1:7" x14ac:dyDescent="0.25">
      <c r="A96" s="312">
        <v>56201</v>
      </c>
      <c r="B96" s="197" t="s">
        <v>176</v>
      </c>
      <c r="C96" s="494">
        <f>13955.88+1200</f>
        <v>15155.88</v>
      </c>
      <c r="D96" s="193">
        <v>0</v>
      </c>
      <c r="E96" s="193"/>
      <c r="F96" s="193"/>
      <c r="G96" s="192">
        <f>C96+D96+E96+F96</f>
        <v>15155.88</v>
      </c>
    </row>
    <row r="97" spans="1:7" x14ac:dyDescent="0.25">
      <c r="A97" s="311">
        <v>563</v>
      </c>
      <c r="B97" s="190" t="s">
        <v>177</v>
      </c>
      <c r="C97" s="190"/>
      <c r="D97" s="4">
        <f>SUM(D98:D100)</f>
        <v>0</v>
      </c>
      <c r="E97" s="4">
        <f>SUM(E98:E100)</f>
        <v>0</v>
      </c>
      <c r="F97" s="4">
        <f t="shared" ref="F97:G97" si="20">SUM(F98:F100)</f>
        <v>0</v>
      </c>
      <c r="G97" s="5">
        <f t="shared" si="20"/>
        <v>0</v>
      </c>
    </row>
    <row r="98" spans="1:7" x14ac:dyDescent="0.25">
      <c r="A98" s="312">
        <v>56301</v>
      </c>
      <c r="B98" s="197" t="s">
        <v>178</v>
      </c>
      <c r="C98" s="197"/>
      <c r="D98" s="193"/>
      <c r="E98" s="193"/>
      <c r="F98" s="193"/>
      <c r="G98" s="192">
        <f t="shared" ref="G98:G100" si="21">C98+D98+E98+F98</f>
        <v>0</v>
      </c>
    </row>
    <row r="99" spans="1:7" x14ac:dyDescent="0.25">
      <c r="A99" s="312">
        <v>56303</v>
      </c>
      <c r="B99" s="197" t="s">
        <v>179</v>
      </c>
      <c r="C99" s="197"/>
      <c r="D99" s="193"/>
      <c r="E99" s="193"/>
      <c r="F99" s="193"/>
      <c r="G99" s="192">
        <f t="shared" si="21"/>
        <v>0</v>
      </c>
    </row>
    <row r="100" spans="1:7" x14ac:dyDescent="0.25">
      <c r="A100" s="312">
        <v>56305</v>
      </c>
      <c r="B100" s="197" t="s">
        <v>180</v>
      </c>
      <c r="C100" s="197"/>
      <c r="D100" s="193"/>
      <c r="E100" s="193"/>
      <c r="F100" s="193"/>
      <c r="G100" s="192">
        <f t="shared" si="21"/>
        <v>0</v>
      </c>
    </row>
    <row r="101" spans="1:7" x14ac:dyDescent="0.25">
      <c r="A101" s="311">
        <v>61</v>
      </c>
      <c r="B101" s="190" t="s">
        <v>181</v>
      </c>
      <c r="C101" s="190"/>
      <c r="D101" s="4">
        <f>D102+D106+D108+D110</f>
        <v>0</v>
      </c>
      <c r="E101" s="4">
        <f>E102+E106+E108+E110</f>
        <v>0</v>
      </c>
      <c r="F101" s="4">
        <f t="shared" ref="F101:G101" si="22">F102+F106+F108+F110</f>
        <v>0</v>
      </c>
      <c r="G101" s="5">
        <f t="shared" si="22"/>
        <v>0</v>
      </c>
    </row>
    <row r="102" spans="1:7" x14ac:dyDescent="0.25">
      <c r="A102" s="311">
        <v>611</v>
      </c>
      <c r="B102" s="190" t="s">
        <v>182</v>
      </c>
      <c r="C102" s="190"/>
      <c r="D102" s="4">
        <f>SUM(D103:D105)</f>
        <v>0</v>
      </c>
      <c r="E102" s="4">
        <f>SUM(E103:E105)</f>
        <v>0</v>
      </c>
      <c r="F102" s="4">
        <f t="shared" ref="F102:G102" si="23">SUM(F103:F105)</f>
        <v>0</v>
      </c>
      <c r="G102" s="5">
        <f t="shared" si="23"/>
        <v>0</v>
      </c>
    </row>
    <row r="103" spans="1:7" x14ac:dyDescent="0.25">
      <c r="A103" s="312">
        <v>61102</v>
      </c>
      <c r="B103" s="197" t="s">
        <v>183</v>
      </c>
      <c r="C103" s="197"/>
      <c r="D103" s="193"/>
      <c r="E103" s="193"/>
      <c r="F103" s="193"/>
      <c r="G103" s="192">
        <f t="shared" ref="G103:G105" si="24">C103+D103+E103+F103</f>
        <v>0</v>
      </c>
    </row>
    <row r="104" spans="1:7" x14ac:dyDescent="0.25">
      <c r="A104" s="312">
        <v>61104</v>
      </c>
      <c r="B104" s="197" t="s">
        <v>184</v>
      </c>
      <c r="C104" s="197"/>
      <c r="D104" s="193"/>
      <c r="E104" s="193"/>
      <c r="F104" s="193"/>
      <c r="G104" s="192">
        <f t="shared" si="24"/>
        <v>0</v>
      </c>
    </row>
    <row r="105" spans="1:7" x14ac:dyDescent="0.25">
      <c r="A105" s="312">
        <v>61199</v>
      </c>
      <c r="B105" s="197" t="s">
        <v>185</v>
      </c>
      <c r="C105" s="197"/>
      <c r="D105" s="193"/>
      <c r="E105" s="193"/>
      <c r="F105" s="193"/>
      <c r="G105" s="192">
        <f t="shared" si="24"/>
        <v>0</v>
      </c>
    </row>
    <row r="106" spans="1:7" x14ac:dyDescent="0.25">
      <c r="A106" s="311">
        <v>612</v>
      </c>
      <c r="B106" s="190" t="s">
        <v>186</v>
      </c>
      <c r="C106" s="190"/>
      <c r="D106" s="4">
        <f>D107</f>
        <v>0</v>
      </c>
      <c r="E106" s="4">
        <f>E107</f>
        <v>0</v>
      </c>
      <c r="F106" s="4">
        <f t="shared" ref="F106:G106" si="25">F107</f>
        <v>0</v>
      </c>
      <c r="G106" s="5">
        <f t="shared" si="25"/>
        <v>0</v>
      </c>
    </row>
    <row r="107" spans="1:7" x14ac:dyDescent="0.25">
      <c r="A107" s="312">
        <v>61201</v>
      </c>
      <c r="B107" s="197" t="s">
        <v>187</v>
      </c>
      <c r="C107" s="197"/>
      <c r="D107" s="193"/>
      <c r="E107" s="193"/>
      <c r="F107" s="193"/>
      <c r="G107" s="192">
        <f t="shared" ref="G107" si="26">C107+D107+E107+F107</f>
        <v>0</v>
      </c>
    </row>
    <row r="108" spans="1:7" x14ac:dyDescent="0.25">
      <c r="A108" s="312">
        <v>615</v>
      </c>
      <c r="B108" s="190" t="s">
        <v>188</v>
      </c>
      <c r="C108" s="190"/>
      <c r="D108" s="4">
        <f>D109</f>
        <v>0</v>
      </c>
      <c r="E108" s="4">
        <f>E109</f>
        <v>0</v>
      </c>
      <c r="F108" s="4">
        <f t="shared" ref="F108:G108" si="27">F109</f>
        <v>0</v>
      </c>
      <c r="G108" s="5">
        <f t="shared" si="27"/>
        <v>0</v>
      </c>
    </row>
    <row r="109" spans="1:7" x14ac:dyDescent="0.25">
      <c r="A109" s="312">
        <v>61599</v>
      </c>
      <c r="B109" s="197" t="s">
        <v>189</v>
      </c>
      <c r="C109" s="197"/>
      <c r="D109" s="193"/>
      <c r="E109" s="193"/>
      <c r="F109" s="193"/>
      <c r="G109" s="192">
        <f t="shared" ref="G109" si="28">C109+D109+E109+F109</f>
        <v>0</v>
      </c>
    </row>
    <row r="110" spans="1:7" x14ac:dyDescent="0.25">
      <c r="A110" s="311">
        <v>616</v>
      </c>
      <c r="B110" s="190" t="s">
        <v>190</v>
      </c>
      <c r="C110" s="190"/>
      <c r="D110" s="4">
        <f>SUM(D111:D115)</f>
        <v>0</v>
      </c>
      <c r="E110" s="4">
        <f>SUM(E111:E115)</f>
        <v>0</v>
      </c>
      <c r="F110" s="4">
        <f t="shared" ref="F110:G110" si="29">SUM(F111:F115)</f>
        <v>0</v>
      </c>
      <c r="G110" s="5">
        <f t="shared" si="29"/>
        <v>0</v>
      </c>
    </row>
    <row r="111" spans="1:7" x14ac:dyDescent="0.25">
      <c r="A111" s="312">
        <v>61601</v>
      </c>
      <c r="B111" s="197" t="s">
        <v>191</v>
      </c>
      <c r="C111" s="197"/>
      <c r="D111" s="193"/>
      <c r="E111" s="193"/>
      <c r="F111" s="193"/>
      <c r="G111" s="192">
        <f t="shared" ref="G111:G117" si="30">C111+D111+E111+F111</f>
        <v>0</v>
      </c>
    </row>
    <row r="112" spans="1:7" x14ac:dyDescent="0.25">
      <c r="A112" s="312">
        <v>61603</v>
      </c>
      <c r="B112" s="197" t="s">
        <v>192</v>
      </c>
      <c r="C112" s="197"/>
      <c r="D112" s="193"/>
      <c r="E112" s="193"/>
      <c r="F112" s="193"/>
      <c r="G112" s="192">
        <f t="shared" si="30"/>
        <v>0</v>
      </c>
    </row>
    <row r="113" spans="1:7" x14ac:dyDescent="0.25">
      <c r="A113" s="312">
        <v>61606</v>
      </c>
      <c r="B113" s="197" t="s">
        <v>193</v>
      </c>
      <c r="C113" s="197"/>
      <c r="D113" s="193"/>
      <c r="E113" s="193"/>
      <c r="F113" s="193"/>
      <c r="G113" s="192">
        <f t="shared" si="30"/>
        <v>0</v>
      </c>
    </row>
    <row r="114" spans="1:7" x14ac:dyDescent="0.25">
      <c r="A114" s="312">
        <v>61608</v>
      </c>
      <c r="B114" s="197" t="s">
        <v>194</v>
      </c>
      <c r="C114" s="197"/>
      <c r="D114" s="193"/>
      <c r="E114" s="193"/>
      <c r="F114" s="193"/>
      <c r="G114" s="192">
        <f t="shared" si="30"/>
        <v>0</v>
      </c>
    </row>
    <row r="115" spans="1:7" x14ac:dyDescent="0.25">
      <c r="A115" s="312">
        <v>61609</v>
      </c>
      <c r="B115" s="197" t="s">
        <v>195</v>
      </c>
      <c r="C115" s="197"/>
      <c r="D115" s="193"/>
      <c r="E115" s="193"/>
      <c r="F115" s="193"/>
      <c r="G115" s="192">
        <f t="shared" si="30"/>
        <v>0</v>
      </c>
    </row>
    <row r="116" spans="1:7" x14ac:dyDescent="0.25">
      <c r="A116" s="312">
        <v>61610</v>
      </c>
      <c r="B116" s="197" t="s">
        <v>196</v>
      </c>
      <c r="C116" s="197"/>
      <c r="D116" s="193"/>
      <c r="E116" s="193"/>
      <c r="F116" s="193"/>
      <c r="G116" s="192">
        <f t="shared" si="30"/>
        <v>0</v>
      </c>
    </row>
    <row r="117" spans="1:7" x14ac:dyDescent="0.25">
      <c r="A117" s="312">
        <v>61611</v>
      </c>
      <c r="B117" s="197" t="s">
        <v>197</v>
      </c>
      <c r="C117" s="197"/>
      <c r="D117" s="193"/>
      <c r="E117" s="193"/>
      <c r="F117" s="193"/>
      <c r="G117" s="192">
        <f t="shared" si="30"/>
        <v>0</v>
      </c>
    </row>
    <row r="118" spans="1:7" x14ac:dyDescent="0.25">
      <c r="A118" s="311">
        <v>71</v>
      </c>
      <c r="B118" s="190" t="s">
        <v>198</v>
      </c>
      <c r="C118" s="190"/>
      <c r="D118" s="4">
        <f>D119</f>
        <v>0</v>
      </c>
      <c r="E118" s="4">
        <f>E119</f>
        <v>0</v>
      </c>
      <c r="F118" s="4">
        <f t="shared" ref="F118:G119" si="31">F119</f>
        <v>0</v>
      </c>
      <c r="G118" s="5">
        <f t="shared" si="31"/>
        <v>0</v>
      </c>
    </row>
    <row r="119" spans="1:7" x14ac:dyDescent="0.25">
      <c r="A119" s="311">
        <v>713</v>
      </c>
      <c r="B119" s="190" t="s">
        <v>199</v>
      </c>
      <c r="C119" s="190"/>
      <c r="D119" s="4">
        <f>D120</f>
        <v>0</v>
      </c>
      <c r="E119" s="4">
        <f>E120</f>
        <v>0</v>
      </c>
      <c r="F119" s="4">
        <f t="shared" si="31"/>
        <v>0</v>
      </c>
      <c r="G119" s="5">
        <f t="shared" si="31"/>
        <v>0</v>
      </c>
    </row>
    <row r="120" spans="1:7" x14ac:dyDescent="0.25">
      <c r="A120" s="312">
        <v>71304</v>
      </c>
      <c r="B120" s="197" t="s">
        <v>167</v>
      </c>
      <c r="C120" s="197"/>
      <c r="D120" s="193"/>
      <c r="E120" s="193"/>
      <c r="F120" s="193"/>
      <c r="G120" s="192">
        <f t="shared" ref="G120" si="32">C120+D120+E120+F120</f>
        <v>0</v>
      </c>
    </row>
    <row r="121" spans="1:7" x14ac:dyDescent="0.25">
      <c r="A121" s="311">
        <v>72</v>
      </c>
      <c r="B121" s="190" t="s">
        <v>200</v>
      </c>
      <c r="C121" s="190"/>
      <c r="D121" s="4">
        <f>D122</f>
        <v>0</v>
      </c>
      <c r="E121" s="4">
        <f>E122</f>
        <v>0</v>
      </c>
      <c r="F121" s="4">
        <f t="shared" ref="F121:G122" si="33">F122</f>
        <v>0</v>
      </c>
      <c r="G121" s="5">
        <f t="shared" si="33"/>
        <v>0</v>
      </c>
    </row>
    <row r="122" spans="1:7" x14ac:dyDescent="0.25">
      <c r="A122" s="311">
        <v>721</v>
      </c>
      <c r="B122" s="190" t="s">
        <v>201</v>
      </c>
      <c r="C122" s="190"/>
      <c r="D122" s="4">
        <f>D123</f>
        <v>0</v>
      </c>
      <c r="E122" s="4">
        <f>E123</f>
        <v>0</v>
      </c>
      <c r="F122" s="4">
        <f t="shared" si="33"/>
        <v>0</v>
      </c>
      <c r="G122" s="5">
        <f t="shared" si="33"/>
        <v>0</v>
      </c>
    </row>
    <row r="123" spans="1:7" x14ac:dyDescent="0.25">
      <c r="A123" s="312">
        <v>72101</v>
      </c>
      <c r="B123" s="197" t="s">
        <v>201</v>
      </c>
      <c r="C123" s="197"/>
      <c r="D123" s="193"/>
      <c r="E123" s="193"/>
      <c r="F123" s="193"/>
      <c r="G123" s="192">
        <f t="shared" ref="G123" si="34">C123+D123+E123+F123</f>
        <v>0</v>
      </c>
    </row>
    <row r="124" spans="1:7" x14ac:dyDescent="0.25">
      <c r="A124" s="311" t="s">
        <v>202</v>
      </c>
      <c r="B124" s="190" t="s">
        <v>203</v>
      </c>
      <c r="C124" s="4">
        <f>C9+C32+C84+C94+C101+C118+C121</f>
        <v>359100.63</v>
      </c>
      <c r="D124" s="4">
        <f>D9+D32+D84+D94+D101+D118+D121</f>
        <v>97240.01</v>
      </c>
      <c r="E124" s="4">
        <f>E9+E32+E84+E94+E101+E118+E121</f>
        <v>22650</v>
      </c>
      <c r="F124" s="4">
        <f>F9+F32+F84+F94+F101+F118+F121</f>
        <v>98802.239999999991</v>
      </c>
      <c r="G124" s="5">
        <f>G9+G32+G84+G94+G101+G118+G121</f>
        <v>577792.88</v>
      </c>
    </row>
    <row r="125" spans="1:7" x14ac:dyDescent="0.25">
      <c r="A125" s="311" t="s">
        <v>202</v>
      </c>
      <c r="B125" s="190" t="s">
        <v>204</v>
      </c>
      <c r="C125" s="4">
        <f>C124</f>
        <v>359100.63</v>
      </c>
      <c r="D125" s="4">
        <f>D124</f>
        <v>97240.01</v>
      </c>
      <c r="E125" s="4">
        <f t="shared" ref="E125:G126" si="35">E124</f>
        <v>22650</v>
      </c>
      <c r="F125" s="4">
        <f t="shared" si="35"/>
        <v>98802.239999999991</v>
      </c>
      <c r="G125" s="5">
        <f t="shared" si="35"/>
        <v>577792.88</v>
      </c>
    </row>
    <row r="126" spans="1:7" ht="15.75" thickBot="1" x14ac:dyDescent="0.3">
      <c r="A126" s="314" t="s">
        <v>205</v>
      </c>
      <c r="B126" s="315"/>
      <c r="C126" s="184">
        <f>C125</f>
        <v>359100.63</v>
      </c>
      <c r="D126" s="184">
        <f>D125</f>
        <v>97240.01</v>
      </c>
      <c r="E126" s="184">
        <f t="shared" si="35"/>
        <v>22650</v>
      </c>
      <c r="F126" s="184">
        <f t="shared" si="35"/>
        <v>98802.239999999991</v>
      </c>
      <c r="G126" s="183">
        <f>G125</f>
        <v>577792.88</v>
      </c>
    </row>
    <row r="127" spans="1:7" x14ac:dyDescent="0.25">
      <c r="D127" s="316"/>
    </row>
    <row r="128" spans="1:7" ht="15" customHeight="1" x14ac:dyDescent="0.25">
      <c r="D128" s="306"/>
      <c r="G128" s="317">
        <v>577792.88</v>
      </c>
    </row>
    <row r="129" spans="2:7" ht="15" customHeight="1" x14ac:dyDescent="0.25">
      <c r="C129" s="207"/>
      <c r="F129" s="200"/>
    </row>
    <row r="130" spans="2:7" ht="15" customHeight="1" x14ac:dyDescent="0.25">
      <c r="G130" s="316">
        <f>G126-G128</f>
        <v>0</v>
      </c>
    </row>
    <row r="131" spans="2:7" ht="15" customHeight="1" x14ac:dyDescent="0.25"/>
    <row r="132" spans="2:7" ht="15" customHeight="1" x14ac:dyDescent="0.25"/>
    <row r="133" spans="2:7" ht="15" customHeight="1" x14ac:dyDescent="0.25">
      <c r="B133" s="483"/>
      <c r="C133" s="483"/>
      <c r="D133" s="207"/>
    </row>
    <row r="134" spans="2:7" x14ac:dyDescent="0.25">
      <c r="C134" s="207"/>
      <c r="G134" s="317"/>
    </row>
    <row r="135" spans="2:7" x14ac:dyDescent="0.25">
      <c r="F135" s="200"/>
    </row>
    <row r="136" spans="2:7" x14ac:dyDescent="0.25">
      <c r="G136" s="316"/>
    </row>
  </sheetData>
  <mergeCells count="7">
    <mergeCell ref="C7:G7"/>
    <mergeCell ref="A1:G1"/>
    <mergeCell ref="A2:G2"/>
    <mergeCell ref="A3:G3"/>
    <mergeCell ref="C4:G4"/>
    <mergeCell ref="C5:G5"/>
    <mergeCell ref="C6:G6"/>
  </mergeCells>
  <pageMargins left="0.70866141732283472" right="0.70866141732283472" top="0.35433070866141736" bottom="0.35433070866141736" header="0.31496062992125984" footer="0.31496062992125984"/>
  <pageSetup paperSize="9" scale="110" orientation="landscape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95"/>
  <sheetViews>
    <sheetView zoomScale="106" zoomScaleNormal="106" workbookViewId="0">
      <selection activeCell="X12" sqref="X12"/>
    </sheetView>
  </sheetViews>
  <sheetFormatPr baseColWidth="10" defaultRowHeight="15" x14ac:dyDescent="0.25"/>
  <cols>
    <col min="1" max="1" width="8" style="182" customWidth="1"/>
    <col min="2" max="2" width="36" style="182" customWidth="1"/>
    <col min="3" max="3" width="15.28515625" style="182" hidden="1" customWidth="1"/>
    <col min="4" max="5" width="13.5703125" style="182" hidden="1" customWidth="1"/>
    <col min="6" max="6" width="14.7109375" style="182" hidden="1" customWidth="1"/>
    <col min="7" max="7" width="14.42578125" style="182" hidden="1" customWidth="1"/>
    <col min="8" max="8" width="12.7109375" style="182" hidden="1" customWidth="1"/>
    <col min="9" max="9" width="16.42578125" style="182" hidden="1" customWidth="1"/>
    <col min="10" max="10" width="11.42578125" style="182" hidden="1" customWidth="1"/>
    <col min="11" max="11" width="13" style="182" hidden="1" customWidth="1"/>
    <col min="12" max="12" width="11.42578125" style="182" hidden="1" customWidth="1"/>
    <col min="13" max="13" width="13.5703125" style="182" hidden="1" customWidth="1"/>
    <col min="14" max="14" width="16" style="182" hidden="1" customWidth="1"/>
    <col min="15" max="15" width="15" style="182" customWidth="1"/>
    <col min="16" max="16" width="13.5703125" style="182" customWidth="1"/>
    <col min="17" max="18" width="12.85546875" style="182" customWidth="1"/>
    <col min="19" max="19" width="13.7109375" style="182" customWidth="1"/>
    <col min="20" max="20" width="17.28515625" style="182" hidden="1" customWidth="1"/>
    <col min="21" max="21" width="11.42578125" style="182" customWidth="1"/>
    <col min="22" max="16384" width="11.42578125" style="182"/>
  </cols>
  <sheetData>
    <row r="1" spans="1:20" ht="21" x14ac:dyDescent="0.35">
      <c r="A1" s="547" t="s">
        <v>86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  <c r="T1" s="547"/>
    </row>
    <row r="2" spans="1:20" ht="21" x14ac:dyDescent="0.35">
      <c r="A2" s="547" t="s">
        <v>598</v>
      </c>
      <c r="B2" s="547"/>
      <c r="C2" s="547"/>
      <c r="D2" s="547"/>
      <c r="E2" s="547"/>
      <c r="F2" s="547"/>
      <c r="G2" s="547"/>
      <c r="H2" s="547"/>
      <c r="I2" s="547"/>
      <c r="J2" s="547"/>
      <c r="K2" s="547"/>
      <c r="L2" s="547"/>
      <c r="M2" s="547"/>
      <c r="N2" s="547"/>
      <c r="O2" s="547"/>
      <c r="P2" s="547"/>
      <c r="Q2" s="547"/>
      <c r="R2" s="547"/>
      <c r="S2" s="547"/>
      <c r="T2" s="547"/>
    </row>
    <row r="3" spans="1:20" ht="21.75" thickBot="1" x14ac:dyDescent="0.4">
      <c r="A3" s="547" t="s">
        <v>206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</row>
    <row r="4" spans="1:20" ht="15.75" thickBot="1" x14ac:dyDescent="0.3">
      <c r="A4" s="272"/>
      <c r="B4" s="273"/>
      <c r="C4" s="274" t="s">
        <v>87</v>
      </c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6"/>
      <c r="O4" s="558" t="s">
        <v>504</v>
      </c>
      <c r="P4" s="559"/>
      <c r="Q4" s="559"/>
      <c r="R4" s="559"/>
      <c r="S4" s="560"/>
      <c r="T4" s="273"/>
    </row>
    <row r="5" spans="1:20" ht="15.75" thickBot="1" x14ac:dyDescent="0.3">
      <c r="A5" s="277"/>
      <c r="B5" s="278"/>
      <c r="C5" s="551" t="s">
        <v>88</v>
      </c>
      <c r="D5" s="551"/>
      <c r="E5" s="551"/>
      <c r="F5" s="551"/>
      <c r="G5" s="552"/>
      <c r="H5" s="558" t="s">
        <v>503</v>
      </c>
      <c r="I5" s="559"/>
      <c r="J5" s="559"/>
      <c r="K5" s="559"/>
      <c r="L5" s="559"/>
      <c r="M5" s="559"/>
      <c r="N5" s="559"/>
      <c r="O5" s="561" t="s">
        <v>206</v>
      </c>
      <c r="P5" s="551"/>
      <c r="Q5" s="551"/>
      <c r="R5" s="551"/>
      <c r="S5" s="552"/>
      <c r="T5" s="279" t="s">
        <v>502</v>
      </c>
    </row>
    <row r="6" spans="1:20" x14ac:dyDescent="0.25">
      <c r="A6" s="280" t="s">
        <v>89</v>
      </c>
      <c r="B6" s="279" t="s">
        <v>90</v>
      </c>
      <c r="C6" s="553" t="s">
        <v>91</v>
      </c>
      <c r="D6" s="553"/>
      <c r="E6" s="553"/>
      <c r="F6" s="553"/>
      <c r="G6" s="553"/>
      <c r="H6" s="281" t="s">
        <v>500</v>
      </c>
      <c r="I6" s="282" t="s">
        <v>500</v>
      </c>
      <c r="J6" s="282" t="s">
        <v>500</v>
      </c>
      <c r="K6" s="282" t="s">
        <v>501</v>
      </c>
      <c r="L6" s="282" t="s">
        <v>500</v>
      </c>
      <c r="M6" s="282" t="s">
        <v>499</v>
      </c>
      <c r="N6" s="283"/>
      <c r="O6" s="555" t="s">
        <v>91</v>
      </c>
      <c r="P6" s="556"/>
      <c r="Q6" s="556"/>
      <c r="R6" s="556"/>
      <c r="S6" s="557"/>
      <c r="T6" s="279" t="s">
        <v>24</v>
      </c>
    </row>
    <row r="7" spans="1:20" x14ac:dyDescent="0.25">
      <c r="A7" s="277"/>
      <c r="B7" s="278"/>
      <c r="C7" s="545" t="s">
        <v>92</v>
      </c>
      <c r="D7" s="545"/>
      <c r="E7" s="545"/>
      <c r="F7" s="545"/>
      <c r="G7" s="545"/>
      <c r="H7" s="284" t="s">
        <v>497</v>
      </c>
      <c r="I7" s="285" t="s">
        <v>497</v>
      </c>
      <c r="J7" s="285" t="s">
        <v>497</v>
      </c>
      <c r="K7" s="285" t="s">
        <v>498</v>
      </c>
      <c r="L7" s="285" t="s">
        <v>497</v>
      </c>
      <c r="M7" s="285" t="s">
        <v>496</v>
      </c>
      <c r="N7" s="286" t="s">
        <v>495</v>
      </c>
      <c r="O7" s="555" t="s">
        <v>494</v>
      </c>
      <c r="P7" s="556"/>
      <c r="Q7" s="556"/>
      <c r="R7" s="556"/>
      <c r="S7" s="557"/>
      <c r="T7" s="278"/>
    </row>
    <row r="8" spans="1:20" ht="25.5" thickBot="1" x14ac:dyDescent="0.3">
      <c r="A8" s="287"/>
      <c r="B8" s="288"/>
      <c r="C8" s="289" t="s">
        <v>93</v>
      </c>
      <c r="D8" s="290" t="s">
        <v>94</v>
      </c>
      <c r="E8" s="290" t="s">
        <v>95</v>
      </c>
      <c r="F8" s="290" t="s">
        <v>96</v>
      </c>
      <c r="G8" s="291" t="s">
        <v>207</v>
      </c>
      <c r="H8" s="292" t="s">
        <v>493</v>
      </c>
      <c r="I8" s="290" t="s">
        <v>492</v>
      </c>
      <c r="J8" s="290" t="s">
        <v>492</v>
      </c>
      <c r="K8" s="290" t="s">
        <v>491</v>
      </c>
      <c r="L8" s="290" t="s">
        <v>490</v>
      </c>
      <c r="M8" s="291" t="s">
        <v>489</v>
      </c>
      <c r="N8" s="293"/>
      <c r="O8" s="294" t="s">
        <v>93</v>
      </c>
      <c r="P8" s="295" t="s">
        <v>94</v>
      </c>
      <c r="Q8" s="295" t="s">
        <v>95</v>
      </c>
      <c r="R8" s="295" t="s">
        <v>96</v>
      </c>
      <c r="S8" s="296" t="s">
        <v>207</v>
      </c>
      <c r="T8" s="288"/>
    </row>
    <row r="9" spans="1:20" x14ac:dyDescent="0.25">
      <c r="A9" s="297">
        <v>51</v>
      </c>
      <c r="B9" s="298" t="s">
        <v>97</v>
      </c>
      <c r="C9" s="4">
        <f t="shared" ref="C9:R9" si="0">C10+C17+C21+C24+C30+C33+C27</f>
        <v>124657.79</v>
      </c>
      <c r="D9" s="4">
        <f t="shared" si="0"/>
        <v>103071</v>
      </c>
      <c r="E9" s="4">
        <f t="shared" si="0"/>
        <v>39043</v>
      </c>
      <c r="F9" s="4">
        <f t="shared" si="0"/>
        <v>114095.69</v>
      </c>
      <c r="G9" s="186">
        <f t="shared" si="0"/>
        <v>380867.48</v>
      </c>
      <c r="H9" s="189">
        <f t="shared" si="0"/>
        <v>0</v>
      </c>
      <c r="I9" s="4">
        <f t="shared" si="0"/>
        <v>0</v>
      </c>
      <c r="J9" s="4">
        <f t="shared" si="0"/>
        <v>0</v>
      </c>
      <c r="K9" s="4">
        <f t="shared" si="0"/>
        <v>0</v>
      </c>
      <c r="L9" s="4">
        <f t="shared" si="0"/>
        <v>0</v>
      </c>
      <c r="M9" s="4">
        <f t="shared" si="0"/>
        <v>0</v>
      </c>
      <c r="N9" s="5">
        <f t="shared" si="0"/>
        <v>0</v>
      </c>
      <c r="O9" s="189">
        <f>O10+O17+O21+O24+O30+O33+O27</f>
        <v>140478.72</v>
      </c>
      <c r="P9" s="4">
        <f t="shared" si="0"/>
        <v>59618.080000000002</v>
      </c>
      <c r="Q9" s="4">
        <f t="shared" si="0"/>
        <v>11951.56</v>
      </c>
      <c r="R9" s="4">
        <f t="shared" si="0"/>
        <v>82671.26999999999</v>
      </c>
      <c r="S9" s="4">
        <f>S10+S17+S21+S24+S27+S30+S33</f>
        <v>294719.63</v>
      </c>
      <c r="T9" s="5">
        <f>T10+T17+T21+T24+T30+T33+T27</f>
        <v>440969.23000000004</v>
      </c>
    </row>
    <row r="10" spans="1:20" x14ac:dyDescent="0.25">
      <c r="A10" s="191">
        <v>511</v>
      </c>
      <c r="B10" s="190" t="s">
        <v>98</v>
      </c>
      <c r="C10" s="4">
        <f t="shared" ref="C10:R10" si="1">C11+C12+C13</f>
        <v>112657.79</v>
      </c>
      <c r="D10" s="4">
        <f t="shared" si="1"/>
        <v>103071</v>
      </c>
      <c r="E10" s="4">
        <f t="shared" si="1"/>
        <v>39043</v>
      </c>
      <c r="F10" s="4">
        <f t="shared" si="1"/>
        <v>114095.69</v>
      </c>
      <c r="G10" s="186">
        <f t="shared" si="1"/>
        <v>368867.48</v>
      </c>
      <c r="H10" s="189">
        <f t="shared" si="1"/>
        <v>0</v>
      </c>
      <c r="I10" s="4">
        <f t="shared" si="1"/>
        <v>0</v>
      </c>
      <c r="J10" s="4">
        <f t="shared" si="1"/>
        <v>0</v>
      </c>
      <c r="K10" s="4">
        <f t="shared" si="1"/>
        <v>0</v>
      </c>
      <c r="L10" s="4">
        <f t="shared" si="1"/>
        <v>0</v>
      </c>
      <c r="M10" s="4">
        <f t="shared" si="1"/>
        <v>0</v>
      </c>
      <c r="N10" s="5">
        <f t="shared" si="1"/>
        <v>0</v>
      </c>
      <c r="O10" s="189">
        <f>O11+O12+O13</f>
        <v>39600</v>
      </c>
      <c r="P10" s="4">
        <f t="shared" si="1"/>
        <v>40595.56</v>
      </c>
      <c r="Q10" s="4">
        <f t="shared" si="1"/>
        <v>8200</v>
      </c>
      <c r="R10" s="4">
        <f t="shared" si="1"/>
        <v>37720</v>
      </c>
      <c r="S10" s="4">
        <f>S11+S12+S13+S14+S15+S16</f>
        <v>126115.56</v>
      </c>
      <c r="T10" s="5">
        <f>T11+T12+T13</f>
        <v>260365.16</v>
      </c>
    </row>
    <row r="11" spans="1:20" x14ac:dyDescent="0.25">
      <c r="A11" s="237">
        <v>51101</v>
      </c>
      <c r="B11" s="485" t="s">
        <v>99</v>
      </c>
      <c r="C11" s="482">
        <v>66166.679999999993</v>
      </c>
      <c r="D11" s="482">
        <v>95880</v>
      </c>
      <c r="E11" s="482">
        <v>36240</v>
      </c>
      <c r="F11" s="482">
        <f>65946.72+32000.04</f>
        <v>97946.760000000009</v>
      </c>
      <c r="G11" s="495">
        <f>C11+D11+E11+F11</f>
        <v>296233.44</v>
      </c>
      <c r="H11" s="496"/>
      <c r="I11" s="482"/>
      <c r="J11" s="482"/>
      <c r="K11" s="482"/>
      <c r="L11" s="482"/>
      <c r="M11" s="482"/>
      <c r="N11" s="497">
        <f>SUM(H11:M11)</f>
        <v>0</v>
      </c>
      <c r="O11" s="496">
        <f>'Sueldo Jornal (2)'!I7</f>
        <v>17100</v>
      </c>
      <c r="P11" s="482">
        <f>'Sueldo Jornal (2)'!I24</f>
        <v>40595.56</v>
      </c>
      <c r="Q11" s="482">
        <f>'Sueldo Jornal (2)'!I29</f>
        <v>8200</v>
      </c>
      <c r="R11" s="498">
        <f>'Sueldo Jornal (2)'!I51</f>
        <v>37720</v>
      </c>
      <c r="S11" s="482">
        <f>SUM(O11:R11)</f>
        <v>103615.56</v>
      </c>
      <c r="T11" s="192">
        <f>S11+R11+Q11+P11+O11</f>
        <v>207231.12</v>
      </c>
    </row>
    <row r="12" spans="1:20" x14ac:dyDescent="0.25">
      <c r="A12" s="237">
        <v>51103</v>
      </c>
      <c r="B12" s="485" t="s">
        <v>100</v>
      </c>
      <c r="C12" s="482">
        <v>4491.1099999999997</v>
      </c>
      <c r="D12" s="482">
        <v>7191</v>
      </c>
      <c r="E12" s="482">
        <v>2803</v>
      </c>
      <c r="F12" s="482">
        <f>8032.23+8116.7</f>
        <v>16148.93</v>
      </c>
      <c r="G12" s="495">
        <f>C12+D12+E12+F12</f>
        <v>30634.04</v>
      </c>
      <c r="H12" s="496"/>
      <c r="I12" s="482"/>
      <c r="J12" s="482"/>
      <c r="K12" s="482"/>
      <c r="L12" s="482"/>
      <c r="M12" s="482"/>
      <c r="N12" s="497">
        <f>SUM(H12:M12)</f>
        <v>0</v>
      </c>
      <c r="O12" s="496"/>
      <c r="P12" s="482"/>
      <c r="Q12" s="482"/>
      <c r="R12" s="482"/>
      <c r="S12" s="482">
        <f>SUM(O12:R12)</f>
        <v>0</v>
      </c>
      <c r="T12" s="192">
        <f>S12+N12+G12</f>
        <v>30634.04</v>
      </c>
    </row>
    <row r="13" spans="1:20" x14ac:dyDescent="0.25">
      <c r="A13" s="237">
        <v>51105</v>
      </c>
      <c r="B13" s="485" t="s">
        <v>101</v>
      </c>
      <c r="C13" s="482">
        <v>42000</v>
      </c>
      <c r="D13" s="482"/>
      <c r="E13" s="482"/>
      <c r="F13" s="482"/>
      <c r="G13" s="495">
        <f>C13+D13+E13+F13</f>
        <v>42000</v>
      </c>
      <c r="H13" s="496"/>
      <c r="I13" s="482"/>
      <c r="J13" s="482"/>
      <c r="K13" s="482"/>
      <c r="L13" s="482"/>
      <c r="M13" s="482"/>
      <c r="N13" s="497">
        <f>SUM(H13:M13)</f>
        <v>0</v>
      </c>
      <c r="O13" s="496">
        <v>22500</v>
      </c>
      <c r="P13" s="482"/>
      <c r="Q13" s="482"/>
      <c r="R13" s="482"/>
      <c r="S13" s="482">
        <f>SUM(O13:R13)</f>
        <v>22500</v>
      </c>
      <c r="T13" s="192">
        <f>S13</f>
        <v>22500</v>
      </c>
    </row>
    <row r="14" spans="1:20" x14ac:dyDescent="0.25">
      <c r="A14" s="237"/>
      <c r="B14" s="485"/>
      <c r="C14" s="482"/>
      <c r="D14" s="482"/>
      <c r="E14" s="482"/>
      <c r="F14" s="482"/>
      <c r="G14" s="495"/>
      <c r="H14" s="496"/>
      <c r="I14" s="482"/>
      <c r="J14" s="482"/>
      <c r="K14" s="482"/>
      <c r="L14" s="482"/>
      <c r="M14" s="482"/>
      <c r="N14" s="497"/>
      <c r="O14" s="496"/>
      <c r="P14" s="482"/>
      <c r="Q14" s="482"/>
      <c r="R14" s="482"/>
      <c r="S14" s="482">
        <f t="shared" ref="S14:S16" si="2">SUM(O14:R14)</f>
        <v>0</v>
      </c>
      <c r="T14" s="192"/>
    </row>
    <row r="15" spans="1:20" x14ac:dyDescent="0.25">
      <c r="A15" s="237"/>
      <c r="B15" s="485"/>
      <c r="C15" s="482"/>
      <c r="D15" s="482"/>
      <c r="E15" s="482"/>
      <c r="F15" s="482"/>
      <c r="G15" s="495"/>
      <c r="H15" s="496"/>
      <c r="I15" s="482"/>
      <c r="J15" s="482"/>
      <c r="K15" s="482"/>
      <c r="L15" s="482"/>
      <c r="M15" s="482"/>
      <c r="N15" s="497"/>
      <c r="O15" s="496"/>
      <c r="P15" s="482"/>
      <c r="Q15" s="482"/>
      <c r="R15" s="482"/>
      <c r="S15" s="482">
        <f t="shared" si="2"/>
        <v>0</v>
      </c>
      <c r="T15" s="192"/>
    </row>
    <row r="16" spans="1:20" x14ac:dyDescent="0.25">
      <c r="A16" s="237"/>
      <c r="B16" s="485"/>
      <c r="C16" s="482"/>
      <c r="D16" s="482"/>
      <c r="E16" s="482"/>
      <c r="F16" s="482"/>
      <c r="G16" s="495"/>
      <c r="H16" s="496"/>
      <c r="I16" s="482"/>
      <c r="J16" s="482"/>
      <c r="K16" s="482"/>
      <c r="L16" s="482"/>
      <c r="M16" s="482"/>
      <c r="N16" s="497"/>
      <c r="O16" s="496"/>
      <c r="P16" s="482"/>
      <c r="Q16" s="482"/>
      <c r="R16" s="482"/>
      <c r="S16" s="482">
        <f t="shared" si="2"/>
        <v>0</v>
      </c>
      <c r="T16" s="192"/>
    </row>
    <row r="17" spans="1:20" x14ac:dyDescent="0.25">
      <c r="A17" s="238">
        <v>512</v>
      </c>
      <c r="B17" s="488" t="s">
        <v>102</v>
      </c>
      <c r="C17" s="489">
        <f t="shared" ref="C17:T17" si="3">C18+C19+C20</f>
        <v>7200</v>
      </c>
      <c r="D17" s="489">
        <f t="shared" si="3"/>
        <v>0</v>
      </c>
      <c r="E17" s="489">
        <f t="shared" si="3"/>
        <v>0</v>
      </c>
      <c r="F17" s="489">
        <f t="shared" si="3"/>
        <v>0</v>
      </c>
      <c r="G17" s="499">
        <f t="shared" si="3"/>
        <v>7200</v>
      </c>
      <c r="H17" s="500">
        <f t="shared" si="3"/>
        <v>0</v>
      </c>
      <c r="I17" s="489">
        <f t="shared" si="3"/>
        <v>0</v>
      </c>
      <c r="J17" s="489">
        <f t="shared" si="3"/>
        <v>0</v>
      </c>
      <c r="K17" s="489">
        <f t="shared" si="3"/>
        <v>0</v>
      </c>
      <c r="L17" s="489">
        <f t="shared" si="3"/>
        <v>0</v>
      </c>
      <c r="M17" s="489">
        <f t="shared" si="3"/>
        <v>0</v>
      </c>
      <c r="N17" s="490">
        <f t="shared" si="3"/>
        <v>0</v>
      </c>
      <c r="O17" s="500">
        <f t="shared" si="3"/>
        <v>68550</v>
      </c>
      <c r="P17" s="489">
        <f t="shared" si="3"/>
        <v>0</v>
      </c>
      <c r="Q17" s="489">
        <f t="shared" si="3"/>
        <v>0</v>
      </c>
      <c r="R17" s="489">
        <f t="shared" si="3"/>
        <v>0</v>
      </c>
      <c r="S17" s="489">
        <f>S18+S19+S20</f>
        <v>68550</v>
      </c>
      <c r="T17" s="5">
        <f t="shared" si="3"/>
        <v>75750</v>
      </c>
    </row>
    <row r="18" spans="1:20" x14ac:dyDescent="0.25">
      <c r="A18" s="237">
        <v>51201</v>
      </c>
      <c r="B18" s="485" t="s">
        <v>488</v>
      </c>
      <c r="C18" s="482">
        <v>7200</v>
      </c>
      <c r="D18" s="482"/>
      <c r="E18" s="482"/>
      <c r="F18" s="482"/>
      <c r="G18" s="495">
        <f>C18+D18+E18+F18</f>
        <v>7200</v>
      </c>
      <c r="H18" s="496"/>
      <c r="I18" s="482"/>
      <c r="J18" s="482"/>
      <c r="K18" s="482"/>
      <c r="L18" s="482"/>
      <c r="M18" s="482"/>
      <c r="N18" s="497">
        <f>SUM(H18:M18)</f>
        <v>0</v>
      </c>
      <c r="O18" s="496">
        <v>41500</v>
      </c>
      <c r="P18" s="482">
        <v>0</v>
      </c>
      <c r="Q18" s="501">
        <v>0</v>
      </c>
      <c r="R18" s="482">
        <v>0</v>
      </c>
      <c r="S18" s="482">
        <f>O18+P18+Q18+R18</f>
        <v>41500</v>
      </c>
      <c r="T18" s="70">
        <f>S18+N18+G18</f>
        <v>48700</v>
      </c>
    </row>
    <row r="19" spans="1:20" x14ac:dyDescent="0.25">
      <c r="A19" s="237">
        <v>51202</v>
      </c>
      <c r="B19" s="485" t="s">
        <v>103</v>
      </c>
      <c r="C19" s="482"/>
      <c r="D19" s="482"/>
      <c r="E19" s="482"/>
      <c r="F19" s="482"/>
      <c r="G19" s="495">
        <f>C19+D19+E19+F19</f>
        <v>0</v>
      </c>
      <c r="H19" s="496"/>
      <c r="I19" s="482"/>
      <c r="J19" s="482"/>
      <c r="K19" s="482"/>
      <c r="L19" s="482"/>
      <c r="M19" s="482"/>
      <c r="N19" s="497">
        <f>SUM(H19:M19)</f>
        <v>0</v>
      </c>
      <c r="O19" s="496">
        <f>26000+1050</f>
        <v>27050</v>
      </c>
      <c r="P19" s="482"/>
      <c r="Q19" s="482"/>
      <c r="R19" s="482"/>
      <c r="S19" s="482">
        <f>SUM(O19:R19)</f>
        <v>27050</v>
      </c>
      <c r="T19" s="192">
        <f>S19+N19+G19</f>
        <v>27050</v>
      </c>
    </row>
    <row r="20" spans="1:20" x14ac:dyDescent="0.25">
      <c r="A20" s="237">
        <v>51203</v>
      </c>
      <c r="B20" s="485" t="s">
        <v>100</v>
      </c>
      <c r="C20" s="482"/>
      <c r="D20" s="482"/>
      <c r="E20" s="482"/>
      <c r="F20" s="482"/>
      <c r="G20" s="495">
        <f>C20+D20+E20+F20</f>
        <v>0</v>
      </c>
      <c r="H20" s="496"/>
      <c r="I20" s="482"/>
      <c r="J20" s="482"/>
      <c r="K20" s="482"/>
      <c r="L20" s="482"/>
      <c r="M20" s="482"/>
      <c r="N20" s="497">
        <f>SUM(H20:M20)</f>
        <v>0</v>
      </c>
      <c r="O20" s="496"/>
      <c r="P20" s="482"/>
      <c r="Q20" s="482"/>
      <c r="R20" s="482"/>
      <c r="S20" s="482">
        <f>SUM(O20:R20)</f>
        <v>0</v>
      </c>
      <c r="T20" s="192">
        <f>S20+N20+G20</f>
        <v>0</v>
      </c>
    </row>
    <row r="21" spans="1:20" x14ac:dyDescent="0.25">
      <c r="A21" s="238">
        <v>514</v>
      </c>
      <c r="B21" s="488" t="s">
        <v>104</v>
      </c>
      <c r="C21" s="489">
        <f t="shared" ref="C21:T21" si="4">C22+C23</f>
        <v>0</v>
      </c>
      <c r="D21" s="489">
        <f t="shared" si="4"/>
        <v>0</v>
      </c>
      <c r="E21" s="489">
        <f t="shared" si="4"/>
        <v>0</v>
      </c>
      <c r="F21" s="489">
        <f t="shared" si="4"/>
        <v>0</v>
      </c>
      <c r="G21" s="499">
        <f t="shared" si="4"/>
        <v>0</v>
      </c>
      <c r="H21" s="500">
        <f t="shared" si="4"/>
        <v>0</v>
      </c>
      <c r="I21" s="489">
        <f t="shared" si="4"/>
        <v>0</v>
      </c>
      <c r="J21" s="489">
        <f t="shared" si="4"/>
        <v>0</v>
      </c>
      <c r="K21" s="489">
        <f t="shared" si="4"/>
        <v>0</v>
      </c>
      <c r="L21" s="489">
        <f t="shared" si="4"/>
        <v>0</v>
      </c>
      <c r="M21" s="489">
        <f t="shared" si="4"/>
        <v>0</v>
      </c>
      <c r="N21" s="490">
        <f t="shared" si="4"/>
        <v>0</v>
      </c>
      <c r="O21" s="500">
        <f>O22+O23</f>
        <v>3200</v>
      </c>
      <c r="P21" s="489">
        <f t="shared" si="4"/>
        <v>10142.040000000001</v>
      </c>
      <c r="Q21" s="489">
        <f t="shared" si="4"/>
        <v>1845</v>
      </c>
      <c r="R21" s="489">
        <f t="shared" si="4"/>
        <v>22683.48</v>
      </c>
      <c r="S21" s="489">
        <f>S22+S23</f>
        <v>37870.520000000004</v>
      </c>
      <c r="T21" s="399">
        <f t="shared" si="4"/>
        <v>37870.520000000004</v>
      </c>
    </row>
    <row r="22" spans="1:20" x14ac:dyDescent="0.25">
      <c r="A22" s="237">
        <v>51401</v>
      </c>
      <c r="B22" s="485" t="s">
        <v>105</v>
      </c>
      <c r="C22" s="482">
        <v>0</v>
      </c>
      <c r="D22" s="482">
        <v>0</v>
      </c>
      <c r="E22" s="482">
        <v>0</v>
      </c>
      <c r="F22" s="482">
        <v>0</v>
      </c>
      <c r="G22" s="495">
        <f>C22+D22+E22+F22</f>
        <v>0</v>
      </c>
      <c r="H22" s="496"/>
      <c r="I22" s="482"/>
      <c r="J22" s="482"/>
      <c r="K22" s="482"/>
      <c r="L22" s="482"/>
      <c r="M22" s="482"/>
      <c r="N22" s="497">
        <f>SUM(H22:M22)</f>
        <v>0</v>
      </c>
      <c r="O22" s="496">
        <f>'Sueldo Jornal (2)'!K7*12</f>
        <v>2700</v>
      </c>
      <c r="P22" s="482">
        <f>9134.04+1008</f>
        <v>10142.040000000001</v>
      </c>
      <c r="Q22" s="482">
        <f>153.75*12</f>
        <v>1845</v>
      </c>
      <c r="R22" s="482">
        <f>(707.25*12)+14196.48</f>
        <v>22683.48</v>
      </c>
      <c r="S22" s="482">
        <f>SUM(O22:R22)</f>
        <v>37370.520000000004</v>
      </c>
      <c r="T22" s="400">
        <f>S22+N22+G22</f>
        <v>37370.520000000004</v>
      </c>
    </row>
    <row r="23" spans="1:20" x14ac:dyDescent="0.25">
      <c r="A23" s="237">
        <v>51402</v>
      </c>
      <c r="B23" s="485" t="s">
        <v>106</v>
      </c>
      <c r="C23" s="482"/>
      <c r="D23" s="482"/>
      <c r="E23" s="482"/>
      <c r="F23" s="482"/>
      <c r="G23" s="495">
        <f>C23+D23+E23+F23</f>
        <v>0</v>
      </c>
      <c r="H23" s="496"/>
      <c r="I23" s="482"/>
      <c r="J23" s="482"/>
      <c r="K23" s="482"/>
      <c r="L23" s="482"/>
      <c r="M23" s="482"/>
      <c r="N23" s="497">
        <f>SUM(H23:M23)</f>
        <v>0</v>
      </c>
      <c r="O23" s="496">
        <v>500</v>
      </c>
      <c r="P23" s="482"/>
      <c r="Q23" s="482"/>
      <c r="R23" s="482"/>
      <c r="S23" s="482">
        <f>SUM(O23:R23)</f>
        <v>500</v>
      </c>
      <c r="T23" s="400">
        <f>S23+N23+G23</f>
        <v>500</v>
      </c>
    </row>
    <row r="24" spans="1:20" x14ac:dyDescent="0.25">
      <c r="A24" s="238">
        <v>515</v>
      </c>
      <c r="B24" s="488" t="s">
        <v>107</v>
      </c>
      <c r="C24" s="489">
        <f t="shared" ref="C24:T24" si="5">C25+C26</f>
        <v>0</v>
      </c>
      <c r="D24" s="489">
        <f t="shared" si="5"/>
        <v>0</v>
      </c>
      <c r="E24" s="489">
        <f t="shared" si="5"/>
        <v>0</v>
      </c>
      <c r="F24" s="489">
        <f t="shared" si="5"/>
        <v>0</v>
      </c>
      <c r="G24" s="499">
        <f t="shared" si="5"/>
        <v>0</v>
      </c>
      <c r="H24" s="500">
        <f t="shared" si="5"/>
        <v>0</v>
      </c>
      <c r="I24" s="489">
        <f t="shared" si="5"/>
        <v>0</v>
      </c>
      <c r="J24" s="489">
        <f t="shared" si="5"/>
        <v>0</v>
      </c>
      <c r="K24" s="489">
        <f t="shared" si="5"/>
        <v>0</v>
      </c>
      <c r="L24" s="489">
        <f t="shared" si="5"/>
        <v>0</v>
      </c>
      <c r="M24" s="489">
        <f t="shared" si="5"/>
        <v>0</v>
      </c>
      <c r="N24" s="490">
        <f t="shared" si="5"/>
        <v>0</v>
      </c>
      <c r="O24" s="500">
        <f>O25+O26</f>
        <v>4528.72</v>
      </c>
      <c r="P24" s="489">
        <f t="shared" si="5"/>
        <v>8880.48</v>
      </c>
      <c r="Q24" s="489">
        <f t="shared" si="5"/>
        <v>1906.56</v>
      </c>
      <c r="R24" s="489">
        <f t="shared" si="5"/>
        <v>22267.79</v>
      </c>
      <c r="S24" s="489">
        <f>S25+S26</f>
        <v>37583.550000000003</v>
      </c>
      <c r="T24" s="5">
        <f t="shared" si="5"/>
        <v>37583.550000000003</v>
      </c>
    </row>
    <row r="25" spans="1:20" x14ac:dyDescent="0.25">
      <c r="A25" s="237">
        <v>51501</v>
      </c>
      <c r="B25" s="485" t="s">
        <v>105</v>
      </c>
      <c r="C25" s="482"/>
      <c r="D25" s="482"/>
      <c r="E25" s="482"/>
      <c r="F25" s="482"/>
      <c r="G25" s="495">
        <f>C25+D25+E25+F25</f>
        <v>0</v>
      </c>
      <c r="H25" s="496"/>
      <c r="I25" s="482"/>
      <c r="J25" s="482"/>
      <c r="K25" s="482"/>
      <c r="L25" s="482"/>
      <c r="M25" s="482"/>
      <c r="N25" s="497">
        <f>SUM(H25:M25)</f>
        <v>0</v>
      </c>
      <c r="O25" s="496">
        <f>331.31*12</f>
        <v>3975.7200000000003</v>
      </c>
      <c r="P25" s="482">
        <f>740.04*12</f>
        <v>8880.48</v>
      </c>
      <c r="Q25" s="482">
        <f>158.88*12</f>
        <v>1906.56</v>
      </c>
      <c r="R25" s="482">
        <f>(684.33*12)+14055.83</f>
        <v>22267.79</v>
      </c>
      <c r="S25" s="482">
        <f>SUM(O25:R25)</f>
        <v>37030.550000000003</v>
      </c>
      <c r="T25" s="192">
        <f>S25+N25+G25</f>
        <v>37030.550000000003</v>
      </c>
    </row>
    <row r="26" spans="1:20" x14ac:dyDescent="0.25">
      <c r="A26" s="237">
        <v>51502</v>
      </c>
      <c r="B26" s="485" t="s">
        <v>106</v>
      </c>
      <c r="C26" s="482"/>
      <c r="D26" s="482"/>
      <c r="E26" s="482"/>
      <c r="F26" s="482"/>
      <c r="G26" s="495">
        <f>C26+D26+E26+F26</f>
        <v>0</v>
      </c>
      <c r="H26" s="496"/>
      <c r="I26" s="482"/>
      <c r="J26" s="482"/>
      <c r="K26" s="482"/>
      <c r="L26" s="482"/>
      <c r="M26" s="482"/>
      <c r="N26" s="497">
        <f>SUM(H26:M26)</f>
        <v>0</v>
      </c>
      <c r="O26" s="496">
        <v>553</v>
      </c>
      <c r="P26" s="482"/>
      <c r="Q26" s="482"/>
      <c r="R26" s="482"/>
      <c r="S26" s="482">
        <f>SUM(O26:R26)</f>
        <v>553</v>
      </c>
      <c r="T26" s="192">
        <f>S26+N26+G26</f>
        <v>553</v>
      </c>
    </row>
    <row r="27" spans="1:20" x14ac:dyDescent="0.25">
      <c r="A27" s="238">
        <v>517</v>
      </c>
      <c r="B27" s="488" t="s">
        <v>108</v>
      </c>
      <c r="C27" s="489">
        <f t="shared" ref="C27:T27" si="6">C28+C29</f>
        <v>0</v>
      </c>
      <c r="D27" s="489">
        <f t="shared" si="6"/>
        <v>0</v>
      </c>
      <c r="E27" s="489">
        <f t="shared" si="6"/>
        <v>0</v>
      </c>
      <c r="F27" s="489">
        <f t="shared" si="6"/>
        <v>0</v>
      </c>
      <c r="G27" s="499">
        <f t="shared" si="6"/>
        <v>0</v>
      </c>
      <c r="H27" s="500">
        <f t="shared" si="6"/>
        <v>0</v>
      </c>
      <c r="I27" s="489">
        <f t="shared" si="6"/>
        <v>0</v>
      </c>
      <c r="J27" s="489">
        <f t="shared" si="6"/>
        <v>0</v>
      </c>
      <c r="K27" s="489">
        <f t="shared" si="6"/>
        <v>0</v>
      </c>
      <c r="L27" s="489">
        <f t="shared" si="6"/>
        <v>0</v>
      </c>
      <c r="M27" s="489">
        <f t="shared" si="6"/>
        <v>0</v>
      </c>
      <c r="N27" s="490">
        <f t="shared" si="6"/>
        <v>0</v>
      </c>
      <c r="O27" s="489">
        <f>O28+O29</f>
        <v>5100</v>
      </c>
      <c r="P27" s="489">
        <f t="shared" si="6"/>
        <v>0</v>
      </c>
      <c r="Q27" s="489">
        <f t="shared" si="6"/>
        <v>0</v>
      </c>
      <c r="R27" s="489">
        <f t="shared" si="6"/>
        <v>0</v>
      </c>
      <c r="S27" s="489">
        <f>S28+S29</f>
        <v>5100</v>
      </c>
      <c r="T27" s="5">
        <f t="shared" si="6"/>
        <v>5100</v>
      </c>
    </row>
    <row r="28" spans="1:20" x14ac:dyDescent="0.25">
      <c r="A28" s="237">
        <v>51701</v>
      </c>
      <c r="B28" s="485" t="s">
        <v>109</v>
      </c>
      <c r="C28" s="482"/>
      <c r="D28" s="482">
        <v>0</v>
      </c>
      <c r="E28" s="482">
        <v>0</v>
      </c>
      <c r="F28" s="482">
        <v>0</v>
      </c>
      <c r="G28" s="502">
        <v>0</v>
      </c>
      <c r="H28" s="496">
        <v>0</v>
      </c>
      <c r="I28" s="482">
        <v>0</v>
      </c>
      <c r="J28" s="482">
        <v>0</v>
      </c>
      <c r="K28" s="482">
        <v>0</v>
      </c>
      <c r="L28" s="482">
        <v>0</v>
      </c>
      <c r="M28" s="482">
        <v>0</v>
      </c>
      <c r="N28" s="503">
        <v>0</v>
      </c>
      <c r="O28" s="498">
        <v>5000</v>
      </c>
      <c r="P28" s="482">
        <v>0</v>
      </c>
      <c r="Q28" s="482">
        <v>0</v>
      </c>
      <c r="R28" s="482">
        <v>0</v>
      </c>
      <c r="S28" s="482">
        <f>SUM(O28:R28)</f>
        <v>5000</v>
      </c>
      <c r="T28" s="192">
        <f>S28+N28+G28</f>
        <v>5000</v>
      </c>
    </row>
    <row r="29" spans="1:20" x14ac:dyDescent="0.25">
      <c r="A29" s="198">
        <v>51702</v>
      </c>
      <c r="B29" s="197" t="s">
        <v>110</v>
      </c>
      <c r="C29" s="193"/>
      <c r="D29" s="193"/>
      <c r="E29" s="193"/>
      <c r="F29" s="193"/>
      <c r="G29" s="300">
        <v>0</v>
      </c>
      <c r="H29" s="194"/>
      <c r="I29" s="193"/>
      <c r="J29" s="193"/>
      <c r="K29" s="193"/>
      <c r="L29" s="193"/>
      <c r="M29" s="193"/>
      <c r="N29" s="206"/>
      <c r="O29" s="301">
        <v>100</v>
      </c>
      <c r="P29" s="193"/>
      <c r="Q29" s="193"/>
      <c r="R29" s="193"/>
      <c r="S29" s="193">
        <f>SUM(O29:R29)</f>
        <v>100</v>
      </c>
      <c r="T29" s="192">
        <f>S29+N29+G29</f>
        <v>100</v>
      </c>
    </row>
    <row r="30" spans="1:20" ht="18" customHeight="1" x14ac:dyDescent="0.25">
      <c r="A30" s="191">
        <v>516</v>
      </c>
      <c r="B30" s="190" t="s">
        <v>111</v>
      </c>
      <c r="C30" s="4">
        <f t="shared" ref="C30:T30" si="7">C31+C32</f>
        <v>0</v>
      </c>
      <c r="D30" s="4">
        <f t="shared" si="7"/>
        <v>0</v>
      </c>
      <c r="E30" s="4">
        <f t="shared" si="7"/>
        <v>0</v>
      </c>
      <c r="F30" s="4">
        <f t="shared" si="7"/>
        <v>0</v>
      </c>
      <c r="G30" s="186">
        <f t="shared" si="7"/>
        <v>0</v>
      </c>
      <c r="H30" s="189">
        <f t="shared" si="7"/>
        <v>0</v>
      </c>
      <c r="I30" s="4">
        <f t="shared" si="7"/>
        <v>0</v>
      </c>
      <c r="J30" s="4">
        <f t="shared" si="7"/>
        <v>0</v>
      </c>
      <c r="K30" s="4">
        <f t="shared" si="7"/>
        <v>0</v>
      </c>
      <c r="L30" s="4">
        <f t="shared" si="7"/>
        <v>0</v>
      </c>
      <c r="M30" s="4">
        <f t="shared" si="7"/>
        <v>0</v>
      </c>
      <c r="N30" s="5">
        <f t="shared" si="7"/>
        <v>0</v>
      </c>
      <c r="O30" s="189">
        <f>O31+O32</f>
        <v>14000</v>
      </c>
      <c r="P30" s="4">
        <f t="shared" si="7"/>
        <v>0</v>
      </c>
      <c r="Q30" s="4">
        <f t="shared" si="7"/>
        <v>0</v>
      </c>
      <c r="R30" s="4">
        <f t="shared" si="7"/>
        <v>0</v>
      </c>
      <c r="S30" s="4">
        <f>S31+S32</f>
        <v>14000</v>
      </c>
      <c r="T30" s="5">
        <f t="shared" si="7"/>
        <v>14000</v>
      </c>
    </row>
    <row r="31" spans="1:20" ht="18" customHeight="1" x14ac:dyDescent="0.25">
      <c r="A31" s="198">
        <v>51601</v>
      </c>
      <c r="B31" s="197" t="s">
        <v>112</v>
      </c>
      <c r="C31" s="193"/>
      <c r="D31" s="193"/>
      <c r="E31" s="193"/>
      <c r="F31" s="193"/>
      <c r="G31" s="196">
        <f>C31+D31+E31+F31</f>
        <v>0</v>
      </c>
      <c r="H31" s="194"/>
      <c r="I31" s="193"/>
      <c r="J31" s="193"/>
      <c r="K31" s="193"/>
      <c r="L31" s="193"/>
      <c r="M31" s="193"/>
      <c r="N31" s="206">
        <f>SUM(H31:M31)</f>
        <v>0</v>
      </c>
      <c r="O31" s="194">
        <v>12000</v>
      </c>
      <c r="P31" s="193"/>
      <c r="Q31" s="193"/>
      <c r="R31" s="193"/>
      <c r="S31" s="193">
        <f>SUM(O31:R31)</f>
        <v>12000</v>
      </c>
      <c r="T31" s="192">
        <f>S31+N31+G31</f>
        <v>12000</v>
      </c>
    </row>
    <row r="32" spans="1:20" ht="16.5" customHeight="1" x14ac:dyDescent="0.25">
      <c r="A32" s="198">
        <v>51602</v>
      </c>
      <c r="B32" s="197" t="s">
        <v>113</v>
      </c>
      <c r="C32" s="193"/>
      <c r="D32" s="193"/>
      <c r="E32" s="193"/>
      <c r="F32" s="193"/>
      <c r="G32" s="196">
        <f>C32+D32+E32+F32</f>
        <v>0</v>
      </c>
      <c r="H32" s="194"/>
      <c r="I32" s="193"/>
      <c r="J32" s="193"/>
      <c r="K32" s="193"/>
      <c r="L32" s="193"/>
      <c r="M32" s="193"/>
      <c r="N32" s="206">
        <f>SUM(H32:M32)</f>
        <v>0</v>
      </c>
      <c r="O32" s="194">
        <v>2000</v>
      </c>
      <c r="P32" s="193"/>
      <c r="Q32" s="193"/>
      <c r="R32" s="193"/>
      <c r="S32" s="193">
        <f>SUM(O32:R32)</f>
        <v>2000</v>
      </c>
      <c r="T32" s="192">
        <f>S32+N32+G32</f>
        <v>2000</v>
      </c>
    </row>
    <row r="33" spans="1:20" ht="16.5" customHeight="1" x14ac:dyDescent="0.25">
      <c r="A33" s="191">
        <v>519</v>
      </c>
      <c r="B33" s="190" t="s">
        <v>114</v>
      </c>
      <c r="C33" s="4">
        <f t="shared" ref="C33:T33" si="8">C34</f>
        <v>4800</v>
      </c>
      <c r="D33" s="4">
        <f t="shared" si="8"/>
        <v>0</v>
      </c>
      <c r="E33" s="4">
        <f t="shared" si="8"/>
        <v>0</v>
      </c>
      <c r="F33" s="4">
        <f t="shared" si="8"/>
        <v>0</v>
      </c>
      <c r="G33" s="186">
        <f t="shared" si="8"/>
        <v>4800</v>
      </c>
      <c r="H33" s="189">
        <f t="shared" si="8"/>
        <v>0</v>
      </c>
      <c r="I33" s="4">
        <f t="shared" si="8"/>
        <v>0</v>
      </c>
      <c r="J33" s="4">
        <f t="shared" si="8"/>
        <v>0</v>
      </c>
      <c r="K33" s="4">
        <f t="shared" si="8"/>
        <v>0</v>
      </c>
      <c r="L33" s="4">
        <f t="shared" si="8"/>
        <v>0</v>
      </c>
      <c r="M33" s="4">
        <f t="shared" si="8"/>
        <v>0</v>
      </c>
      <c r="N33" s="5">
        <f t="shared" si="8"/>
        <v>0</v>
      </c>
      <c r="O33" s="189">
        <f>O34</f>
        <v>5500</v>
      </c>
      <c r="P33" s="4">
        <f t="shared" si="8"/>
        <v>0</v>
      </c>
      <c r="Q33" s="4">
        <f t="shared" si="8"/>
        <v>0</v>
      </c>
      <c r="R33" s="4">
        <f t="shared" si="8"/>
        <v>0</v>
      </c>
      <c r="S33" s="4">
        <f>S34</f>
        <v>5500</v>
      </c>
      <c r="T33" s="5">
        <f t="shared" si="8"/>
        <v>10300</v>
      </c>
    </row>
    <row r="34" spans="1:20" ht="17.25" customHeight="1" x14ac:dyDescent="0.25">
      <c r="A34" s="198">
        <v>51901</v>
      </c>
      <c r="B34" s="197" t="s">
        <v>115</v>
      </c>
      <c r="C34" s="193">
        <v>4800</v>
      </c>
      <c r="D34" s="193"/>
      <c r="E34" s="193"/>
      <c r="F34" s="193"/>
      <c r="G34" s="196">
        <f>C34+D34+E34+F34</f>
        <v>4800</v>
      </c>
      <c r="H34" s="194"/>
      <c r="I34" s="193"/>
      <c r="J34" s="193"/>
      <c r="K34" s="193"/>
      <c r="L34" s="193"/>
      <c r="M34" s="193"/>
      <c r="N34" s="206">
        <f>SUM(H34:M34)</f>
        <v>0</v>
      </c>
      <c r="O34" s="194">
        <v>5500</v>
      </c>
      <c r="P34" s="193"/>
      <c r="Q34" s="193"/>
      <c r="R34" s="193"/>
      <c r="S34" s="193">
        <f>SUM(O34:R34)</f>
        <v>5500</v>
      </c>
      <c r="T34" s="192">
        <f>S34+N34+G34</f>
        <v>10300</v>
      </c>
    </row>
    <row r="35" spans="1:20" x14ac:dyDescent="0.25">
      <c r="A35" s="191">
        <v>54</v>
      </c>
      <c r="B35" s="190" t="s">
        <v>116</v>
      </c>
      <c r="C35" s="4">
        <f>C36+C55+C61</f>
        <v>119847.8</v>
      </c>
      <c r="D35" s="4">
        <f>D36+D55+D61</f>
        <v>1000</v>
      </c>
      <c r="E35" s="4">
        <f>E36+E55+E61</f>
        <v>500</v>
      </c>
      <c r="F35" s="4">
        <f>F36+F55+F61</f>
        <v>500</v>
      </c>
      <c r="G35" s="186">
        <f>G36+G55+G61+G73+G84+G78</f>
        <v>121847.8</v>
      </c>
      <c r="H35" s="189">
        <f t="shared" ref="H35:N35" si="9">H36+H55+H61</f>
        <v>0</v>
      </c>
      <c r="I35" s="4">
        <f t="shared" si="9"/>
        <v>0</v>
      </c>
      <c r="J35" s="4">
        <f t="shared" si="9"/>
        <v>0</v>
      </c>
      <c r="K35" s="4">
        <f t="shared" si="9"/>
        <v>0</v>
      </c>
      <c r="L35" s="4">
        <f t="shared" si="9"/>
        <v>0</v>
      </c>
      <c r="M35" s="4">
        <f t="shared" si="9"/>
        <v>0</v>
      </c>
      <c r="N35" s="5">
        <f t="shared" si="9"/>
        <v>0</v>
      </c>
      <c r="O35" s="189">
        <f>O36+O55+O61+O73+O78</f>
        <v>101300</v>
      </c>
      <c r="P35" s="4">
        <f>P36+P55+P61</f>
        <v>2400</v>
      </c>
      <c r="Q35" s="4">
        <f>Q36+Q55+Q61</f>
        <v>1800</v>
      </c>
      <c r="R35" s="4">
        <f>R36+R55+R61</f>
        <v>1800</v>
      </c>
      <c r="S35" s="4">
        <f>S36+S55+S61+S73+S84+S78</f>
        <v>107300</v>
      </c>
      <c r="T35" s="5">
        <f>T36+T55+T61</f>
        <v>210147.8</v>
      </c>
    </row>
    <row r="36" spans="1:20" x14ac:dyDescent="0.25">
      <c r="A36" s="191">
        <v>541</v>
      </c>
      <c r="B36" s="190" t="s">
        <v>117</v>
      </c>
      <c r="C36" s="4">
        <f t="shared" ref="C36:T36" si="10">SUM(C37:C54)</f>
        <v>9102.36</v>
      </c>
      <c r="D36" s="4">
        <f t="shared" si="10"/>
        <v>1000</v>
      </c>
      <c r="E36" s="4">
        <f t="shared" si="10"/>
        <v>500</v>
      </c>
      <c r="F36" s="4">
        <f t="shared" si="10"/>
        <v>500</v>
      </c>
      <c r="G36" s="186">
        <f t="shared" si="10"/>
        <v>11102.36</v>
      </c>
      <c r="H36" s="189">
        <f t="shared" si="10"/>
        <v>0</v>
      </c>
      <c r="I36" s="4">
        <f t="shared" si="10"/>
        <v>0</v>
      </c>
      <c r="J36" s="4">
        <f t="shared" si="10"/>
        <v>0</v>
      </c>
      <c r="K36" s="4">
        <f t="shared" si="10"/>
        <v>0</v>
      </c>
      <c r="L36" s="4">
        <f t="shared" si="10"/>
        <v>0</v>
      </c>
      <c r="M36" s="4">
        <f t="shared" si="10"/>
        <v>0</v>
      </c>
      <c r="N36" s="5">
        <f t="shared" si="10"/>
        <v>0</v>
      </c>
      <c r="O36" s="189">
        <f>SUM(O37:O54)</f>
        <v>15800</v>
      </c>
      <c r="P36" s="4">
        <f t="shared" si="10"/>
        <v>2400</v>
      </c>
      <c r="Q36" s="4">
        <f t="shared" si="10"/>
        <v>1800</v>
      </c>
      <c r="R36" s="4">
        <f t="shared" si="10"/>
        <v>1800</v>
      </c>
      <c r="S36" s="4">
        <f>SUM(S37:S54)</f>
        <v>21800</v>
      </c>
      <c r="T36" s="5">
        <f t="shared" si="10"/>
        <v>32902.36</v>
      </c>
    </row>
    <row r="37" spans="1:20" x14ac:dyDescent="0.25">
      <c r="A37" s="198">
        <v>54101</v>
      </c>
      <c r="B37" s="197" t="s">
        <v>118</v>
      </c>
      <c r="C37" s="193"/>
      <c r="D37" s="193"/>
      <c r="E37" s="193"/>
      <c r="F37" s="193"/>
      <c r="G37" s="196">
        <f t="shared" ref="G37:G54" si="11">C37+D37+E37+F37</f>
        <v>0</v>
      </c>
      <c r="H37" s="194"/>
      <c r="I37" s="193"/>
      <c r="J37" s="193"/>
      <c r="K37" s="193"/>
      <c r="L37" s="193"/>
      <c r="M37" s="193"/>
      <c r="N37" s="206">
        <f t="shared" ref="N37:N54" si="12">SUM(H37:M37)</f>
        <v>0</v>
      </c>
      <c r="O37" s="194">
        <v>5000</v>
      </c>
      <c r="P37" s="193"/>
      <c r="Q37" s="193"/>
      <c r="R37" s="193"/>
      <c r="S37" s="193">
        <f>SUM(O37:R37)</f>
        <v>5000</v>
      </c>
      <c r="T37" s="192">
        <f t="shared" ref="T37:T54" si="13">S37+N37+G37</f>
        <v>5000</v>
      </c>
    </row>
    <row r="38" spans="1:20" x14ac:dyDescent="0.25">
      <c r="A38" s="198">
        <v>54103</v>
      </c>
      <c r="B38" s="197" t="s">
        <v>119</v>
      </c>
      <c r="C38" s="193"/>
      <c r="D38" s="193"/>
      <c r="E38" s="193"/>
      <c r="F38" s="193"/>
      <c r="G38" s="196">
        <f t="shared" si="11"/>
        <v>0</v>
      </c>
      <c r="H38" s="194"/>
      <c r="I38" s="193"/>
      <c r="J38" s="193"/>
      <c r="K38" s="193"/>
      <c r="L38" s="193"/>
      <c r="M38" s="193"/>
      <c r="N38" s="206">
        <f t="shared" si="12"/>
        <v>0</v>
      </c>
      <c r="O38" s="496">
        <v>100</v>
      </c>
      <c r="P38" s="193"/>
      <c r="Q38" s="193"/>
      <c r="R38" s="193"/>
      <c r="S38" s="193">
        <f>SUM(O38:R38)</f>
        <v>100</v>
      </c>
      <c r="T38" s="192">
        <f t="shared" si="13"/>
        <v>100</v>
      </c>
    </row>
    <row r="39" spans="1:20" x14ac:dyDescent="0.25">
      <c r="A39" s="198">
        <v>54104</v>
      </c>
      <c r="B39" s="197" t="s">
        <v>120</v>
      </c>
      <c r="C39" s="193">
        <f>3605.36</f>
        <v>3605.36</v>
      </c>
      <c r="D39" s="193"/>
      <c r="E39" s="193"/>
      <c r="F39" s="193"/>
      <c r="G39" s="196">
        <f t="shared" si="11"/>
        <v>3605.36</v>
      </c>
      <c r="H39" s="194"/>
      <c r="I39" s="193"/>
      <c r="J39" s="193"/>
      <c r="K39" s="193"/>
      <c r="L39" s="193"/>
      <c r="M39" s="193"/>
      <c r="N39" s="206">
        <f t="shared" si="12"/>
        <v>0</v>
      </c>
      <c r="O39" s="496">
        <v>500</v>
      </c>
      <c r="P39" s="193"/>
      <c r="Q39" s="193"/>
      <c r="R39" s="193"/>
      <c r="S39" s="193">
        <f>SUM(O39:R39)</f>
        <v>500</v>
      </c>
      <c r="T39" s="192">
        <f t="shared" si="13"/>
        <v>4105.3600000000006</v>
      </c>
    </row>
    <row r="40" spans="1:20" x14ac:dyDescent="0.25">
      <c r="A40" s="198">
        <v>54105</v>
      </c>
      <c r="B40" s="197" t="s">
        <v>121</v>
      </c>
      <c r="C40" s="193"/>
      <c r="D40" s="193"/>
      <c r="E40" s="193"/>
      <c r="F40" s="193"/>
      <c r="G40" s="196">
        <f t="shared" si="11"/>
        <v>0</v>
      </c>
      <c r="H40" s="194"/>
      <c r="I40" s="193"/>
      <c r="J40" s="193"/>
      <c r="K40" s="193"/>
      <c r="L40" s="193"/>
      <c r="M40" s="193"/>
      <c r="N40" s="206">
        <f t="shared" si="12"/>
        <v>0</v>
      </c>
      <c r="O40" s="496">
        <v>500</v>
      </c>
      <c r="P40" s="193">
        <v>0</v>
      </c>
      <c r="Q40" s="193">
        <v>0</v>
      </c>
      <c r="R40" s="193">
        <v>0</v>
      </c>
      <c r="S40" s="193">
        <f>SUM(O40:R40)</f>
        <v>500</v>
      </c>
      <c r="T40" s="192">
        <f t="shared" si="13"/>
        <v>500</v>
      </c>
    </row>
    <row r="41" spans="1:20" x14ac:dyDescent="0.25">
      <c r="A41" s="198">
        <v>54106</v>
      </c>
      <c r="B41" s="197" t="s">
        <v>122</v>
      </c>
      <c r="C41" s="193"/>
      <c r="D41" s="193"/>
      <c r="E41" s="193"/>
      <c r="F41" s="193"/>
      <c r="G41" s="196">
        <f t="shared" si="11"/>
        <v>0</v>
      </c>
      <c r="H41" s="194"/>
      <c r="I41" s="193"/>
      <c r="J41" s="193"/>
      <c r="K41" s="193"/>
      <c r="L41" s="193"/>
      <c r="M41" s="193"/>
      <c r="N41" s="206">
        <f t="shared" si="12"/>
        <v>0</v>
      </c>
      <c r="O41" s="496">
        <v>100</v>
      </c>
      <c r="P41" s="194"/>
      <c r="Q41" s="194"/>
      <c r="R41" s="194"/>
      <c r="S41" s="193">
        <f t="shared" ref="S41:S53" si="14">SUM(O41:R41)</f>
        <v>100</v>
      </c>
      <c r="T41" s="192">
        <f t="shared" si="13"/>
        <v>100</v>
      </c>
    </row>
    <row r="42" spans="1:20" x14ac:dyDescent="0.25">
      <c r="A42" s="198">
        <v>54107</v>
      </c>
      <c r="B42" s="302" t="s">
        <v>123</v>
      </c>
      <c r="C42" s="299"/>
      <c r="D42" s="299"/>
      <c r="E42" s="299"/>
      <c r="F42" s="299"/>
      <c r="G42" s="303">
        <f t="shared" si="11"/>
        <v>0</v>
      </c>
      <c r="H42" s="301"/>
      <c r="I42" s="299"/>
      <c r="J42" s="299"/>
      <c r="K42" s="299"/>
      <c r="L42" s="299"/>
      <c r="M42" s="299"/>
      <c r="N42" s="304">
        <f t="shared" si="12"/>
        <v>0</v>
      </c>
      <c r="O42" s="301">
        <v>500</v>
      </c>
      <c r="P42" s="299">
        <v>0</v>
      </c>
      <c r="Q42" s="299">
        <v>0</v>
      </c>
      <c r="R42" s="299">
        <v>0</v>
      </c>
      <c r="S42" s="299">
        <f t="shared" ref="S42:S52" si="15">SUM(O42:R42)</f>
        <v>500</v>
      </c>
      <c r="T42" s="192">
        <f t="shared" si="13"/>
        <v>500</v>
      </c>
    </row>
    <row r="43" spans="1:20" x14ac:dyDescent="0.25">
      <c r="A43" s="198">
        <v>54108</v>
      </c>
      <c r="B43" s="197" t="s">
        <v>124</v>
      </c>
      <c r="C43" s="193"/>
      <c r="D43" s="193"/>
      <c r="E43" s="193"/>
      <c r="F43" s="193"/>
      <c r="G43" s="196">
        <f t="shared" si="11"/>
        <v>0</v>
      </c>
      <c r="H43" s="194"/>
      <c r="I43" s="193"/>
      <c r="J43" s="193"/>
      <c r="K43" s="193"/>
      <c r="L43" s="193"/>
      <c r="M43" s="193"/>
      <c r="N43" s="206">
        <f t="shared" si="12"/>
        <v>0</v>
      </c>
      <c r="O43" s="194">
        <v>100</v>
      </c>
      <c r="P43" s="193"/>
      <c r="Q43" s="193"/>
      <c r="R43" s="193"/>
      <c r="S43" s="193">
        <f t="shared" si="15"/>
        <v>100</v>
      </c>
      <c r="T43" s="192">
        <f t="shared" si="13"/>
        <v>100</v>
      </c>
    </row>
    <row r="44" spans="1:20" x14ac:dyDescent="0.25">
      <c r="A44" s="198">
        <v>54109</v>
      </c>
      <c r="B44" s="197" t="s">
        <v>125</v>
      </c>
      <c r="C44" s="193"/>
      <c r="D44" s="193"/>
      <c r="E44" s="193"/>
      <c r="F44" s="193"/>
      <c r="G44" s="196">
        <f t="shared" si="11"/>
        <v>0</v>
      </c>
      <c r="H44" s="194"/>
      <c r="I44" s="193"/>
      <c r="J44" s="193"/>
      <c r="K44" s="193"/>
      <c r="L44" s="193"/>
      <c r="M44" s="193"/>
      <c r="N44" s="206">
        <f t="shared" si="12"/>
        <v>0</v>
      </c>
      <c r="O44" s="194">
        <v>1000</v>
      </c>
      <c r="P44" s="193"/>
      <c r="Q44" s="193"/>
      <c r="R44" s="193"/>
      <c r="S44" s="193">
        <f t="shared" si="15"/>
        <v>1000</v>
      </c>
      <c r="T44" s="192">
        <f t="shared" si="13"/>
        <v>1000</v>
      </c>
    </row>
    <row r="45" spans="1:20" x14ac:dyDescent="0.25">
      <c r="A45" s="237">
        <v>54110</v>
      </c>
      <c r="B45" s="485" t="s">
        <v>126</v>
      </c>
      <c r="C45" s="482">
        <v>1497</v>
      </c>
      <c r="D45" s="482">
        <v>1000</v>
      </c>
      <c r="E45" s="482">
        <v>500</v>
      </c>
      <c r="F45" s="482">
        <v>500</v>
      </c>
      <c r="G45" s="495">
        <f t="shared" si="11"/>
        <v>3497</v>
      </c>
      <c r="H45" s="496"/>
      <c r="I45" s="482"/>
      <c r="J45" s="482"/>
      <c r="K45" s="482"/>
      <c r="L45" s="482"/>
      <c r="M45" s="482"/>
      <c r="N45" s="497">
        <f t="shared" si="12"/>
        <v>0</v>
      </c>
      <c r="O45" s="496">
        <v>2000</v>
      </c>
      <c r="P45" s="482">
        <v>1000</v>
      </c>
      <c r="Q45" s="482">
        <v>1000</v>
      </c>
      <c r="R45" s="482">
        <v>1000</v>
      </c>
      <c r="S45" s="482">
        <f t="shared" si="15"/>
        <v>5000</v>
      </c>
      <c r="T45" s="192">
        <f>S45+N45+G45</f>
        <v>8497</v>
      </c>
    </row>
    <row r="46" spans="1:20" x14ac:dyDescent="0.25">
      <c r="A46" s="237">
        <v>54111</v>
      </c>
      <c r="B46" s="485" t="s">
        <v>127</v>
      </c>
      <c r="C46" s="482"/>
      <c r="D46" s="482"/>
      <c r="E46" s="482"/>
      <c r="F46" s="482"/>
      <c r="G46" s="495">
        <f t="shared" si="11"/>
        <v>0</v>
      </c>
      <c r="H46" s="496"/>
      <c r="I46" s="482"/>
      <c r="J46" s="482"/>
      <c r="K46" s="482"/>
      <c r="L46" s="482"/>
      <c r="M46" s="482"/>
      <c r="N46" s="497">
        <f t="shared" si="12"/>
        <v>0</v>
      </c>
      <c r="O46" s="496">
        <v>600</v>
      </c>
      <c r="P46" s="482">
        <v>200</v>
      </c>
      <c r="Q46" s="482">
        <v>200</v>
      </c>
      <c r="R46" s="482"/>
      <c r="S46" s="482">
        <f t="shared" si="15"/>
        <v>1000</v>
      </c>
      <c r="T46" s="192">
        <f t="shared" si="13"/>
        <v>1000</v>
      </c>
    </row>
    <row r="47" spans="1:20" x14ac:dyDescent="0.25">
      <c r="A47" s="237">
        <v>54112</v>
      </c>
      <c r="B47" s="485" t="s">
        <v>128</v>
      </c>
      <c r="C47" s="482"/>
      <c r="D47" s="482"/>
      <c r="E47" s="482"/>
      <c r="F47" s="482"/>
      <c r="G47" s="495">
        <f t="shared" si="11"/>
        <v>0</v>
      </c>
      <c r="H47" s="496"/>
      <c r="I47" s="482"/>
      <c r="J47" s="482"/>
      <c r="K47" s="482"/>
      <c r="L47" s="482"/>
      <c r="M47" s="482"/>
      <c r="N47" s="497">
        <f t="shared" si="12"/>
        <v>0</v>
      </c>
      <c r="O47" s="496">
        <v>500</v>
      </c>
      <c r="P47" s="482">
        <v>300</v>
      </c>
      <c r="Q47" s="482">
        <v>200</v>
      </c>
      <c r="R47" s="482">
        <v>500</v>
      </c>
      <c r="S47" s="482">
        <f t="shared" si="15"/>
        <v>1500</v>
      </c>
      <c r="T47" s="192">
        <f t="shared" si="13"/>
        <v>1500</v>
      </c>
    </row>
    <row r="48" spans="1:20" x14ac:dyDescent="0.25">
      <c r="A48" s="237">
        <v>54114</v>
      </c>
      <c r="B48" s="485" t="s">
        <v>129</v>
      </c>
      <c r="C48" s="482"/>
      <c r="D48" s="482"/>
      <c r="E48" s="482"/>
      <c r="F48" s="482"/>
      <c r="G48" s="495">
        <f t="shared" si="11"/>
        <v>0</v>
      </c>
      <c r="H48" s="496"/>
      <c r="I48" s="482"/>
      <c r="J48" s="482"/>
      <c r="K48" s="482"/>
      <c r="L48" s="482"/>
      <c r="M48" s="482"/>
      <c r="N48" s="497">
        <f t="shared" si="12"/>
        <v>0</v>
      </c>
      <c r="O48" s="496">
        <v>200</v>
      </c>
      <c r="P48" s="482">
        <v>300</v>
      </c>
      <c r="Q48" s="482">
        <v>300</v>
      </c>
      <c r="R48" s="482">
        <v>200</v>
      </c>
      <c r="S48" s="482">
        <f t="shared" si="15"/>
        <v>1000</v>
      </c>
      <c r="T48" s="192">
        <f t="shared" si="13"/>
        <v>1000</v>
      </c>
    </row>
    <row r="49" spans="1:20" x14ac:dyDescent="0.25">
      <c r="A49" s="237">
        <v>54115</v>
      </c>
      <c r="B49" s="485" t="s">
        <v>130</v>
      </c>
      <c r="C49" s="482"/>
      <c r="D49" s="482"/>
      <c r="E49" s="482"/>
      <c r="F49" s="482"/>
      <c r="G49" s="495">
        <f t="shared" si="11"/>
        <v>0</v>
      </c>
      <c r="H49" s="496"/>
      <c r="I49" s="482"/>
      <c r="J49" s="482"/>
      <c r="K49" s="482"/>
      <c r="L49" s="482"/>
      <c r="M49" s="482"/>
      <c r="N49" s="497">
        <f t="shared" si="12"/>
        <v>0</v>
      </c>
      <c r="O49" s="496">
        <v>500</v>
      </c>
      <c r="P49" s="482">
        <v>500</v>
      </c>
      <c r="Q49" s="482"/>
      <c r="R49" s="482"/>
      <c r="S49" s="482">
        <f t="shared" si="15"/>
        <v>1000</v>
      </c>
      <c r="T49" s="192">
        <f t="shared" si="13"/>
        <v>1000</v>
      </c>
    </row>
    <row r="50" spans="1:20" x14ac:dyDescent="0.25">
      <c r="A50" s="237">
        <v>54116</v>
      </c>
      <c r="B50" s="485" t="s">
        <v>131</v>
      </c>
      <c r="C50" s="482"/>
      <c r="D50" s="482"/>
      <c r="E50" s="482"/>
      <c r="F50" s="482"/>
      <c r="G50" s="495">
        <f t="shared" si="11"/>
        <v>0</v>
      </c>
      <c r="H50" s="496"/>
      <c r="I50" s="482"/>
      <c r="J50" s="482"/>
      <c r="K50" s="482"/>
      <c r="L50" s="482"/>
      <c r="M50" s="482"/>
      <c r="N50" s="497">
        <f t="shared" si="12"/>
        <v>0</v>
      </c>
      <c r="O50" s="496">
        <v>100</v>
      </c>
      <c r="P50" s="482"/>
      <c r="Q50" s="482"/>
      <c r="R50" s="482"/>
      <c r="S50" s="482">
        <f t="shared" si="15"/>
        <v>100</v>
      </c>
      <c r="T50" s="192">
        <f t="shared" si="13"/>
        <v>100</v>
      </c>
    </row>
    <row r="51" spans="1:20" x14ac:dyDescent="0.25">
      <c r="A51" s="237">
        <v>54118</v>
      </c>
      <c r="B51" s="485" t="s">
        <v>132</v>
      </c>
      <c r="C51" s="482"/>
      <c r="D51" s="482"/>
      <c r="E51" s="482"/>
      <c r="F51" s="482"/>
      <c r="G51" s="495">
        <f t="shared" si="11"/>
        <v>0</v>
      </c>
      <c r="H51" s="496"/>
      <c r="I51" s="482"/>
      <c r="J51" s="482"/>
      <c r="K51" s="482"/>
      <c r="L51" s="482"/>
      <c r="M51" s="482"/>
      <c r="N51" s="497">
        <f t="shared" si="12"/>
        <v>0</v>
      </c>
      <c r="O51" s="496">
        <v>2000</v>
      </c>
      <c r="P51" s="482"/>
      <c r="Q51" s="482"/>
      <c r="R51" s="482"/>
      <c r="S51" s="482">
        <f t="shared" si="15"/>
        <v>2000</v>
      </c>
      <c r="T51" s="192">
        <f t="shared" si="13"/>
        <v>2000</v>
      </c>
    </row>
    <row r="52" spans="1:20" x14ac:dyDescent="0.25">
      <c r="A52" s="237">
        <v>54119</v>
      </c>
      <c r="B52" s="485" t="s">
        <v>133</v>
      </c>
      <c r="C52" s="482"/>
      <c r="D52" s="482"/>
      <c r="E52" s="482"/>
      <c r="F52" s="482"/>
      <c r="G52" s="495">
        <f t="shared" si="11"/>
        <v>0</v>
      </c>
      <c r="H52" s="496"/>
      <c r="I52" s="482"/>
      <c r="J52" s="482"/>
      <c r="K52" s="482"/>
      <c r="L52" s="482"/>
      <c r="M52" s="482"/>
      <c r="N52" s="497">
        <f t="shared" si="12"/>
        <v>0</v>
      </c>
      <c r="O52" s="496">
        <v>2000</v>
      </c>
      <c r="P52" s="482"/>
      <c r="Q52" s="482"/>
      <c r="R52" s="482"/>
      <c r="S52" s="482">
        <f t="shared" si="15"/>
        <v>2000</v>
      </c>
      <c r="T52" s="192">
        <f t="shared" si="13"/>
        <v>2000</v>
      </c>
    </row>
    <row r="53" spans="1:20" x14ac:dyDescent="0.25">
      <c r="A53" s="237">
        <v>54121</v>
      </c>
      <c r="B53" s="485" t="s">
        <v>134</v>
      </c>
      <c r="C53" s="482">
        <v>4000</v>
      </c>
      <c r="D53" s="482"/>
      <c r="E53" s="482"/>
      <c r="F53" s="482"/>
      <c r="G53" s="495">
        <f t="shared" si="11"/>
        <v>4000</v>
      </c>
      <c r="H53" s="496"/>
      <c r="I53" s="482"/>
      <c r="J53" s="482"/>
      <c r="K53" s="482"/>
      <c r="L53" s="482"/>
      <c r="M53" s="482"/>
      <c r="N53" s="497">
        <f t="shared" si="12"/>
        <v>0</v>
      </c>
      <c r="O53" s="496"/>
      <c r="P53" s="482"/>
      <c r="Q53" s="482"/>
      <c r="R53" s="482"/>
      <c r="S53" s="482">
        <f t="shared" si="14"/>
        <v>0</v>
      </c>
      <c r="T53" s="192">
        <f t="shared" si="13"/>
        <v>4000</v>
      </c>
    </row>
    <row r="54" spans="1:20" x14ac:dyDescent="0.25">
      <c r="A54" s="237">
        <v>54199</v>
      </c>
      <c r="B54" s="485" t="s">
        <v>117</v>
      </c>
      <c r="C54" s="482"/>
      <c r="D54" s="482"/>
      <c r="E54" s="482"/>
      <c r="F54" s="482"/>
      <c r="G54" s="495">
        <f t="shared" si="11"/>
        <v>0</v>
      </c>
      <c r="H54" s="496"/>
      <c r="I54" s="482"/>
      <c r="J54" s="482"/>
      <c r="K54" s="482"/>
      <c r="L54" s="482"/>
      <c r="M54" s="482"/>
      <c r="N54" s="497">
        <f t="shared" si="12"/>
        <v>0</v>
      </c>
      <c r="O54" s="496">
        <v>100</v>
      </c>
      <c r="P54" s="482">
        <v>100</v>
      </c>
      <c r="Q54" s="482">
        <v>100</v>
      </c>
      <c r="R54" s="482">
        <v>100</v>
      </c>
      <c r="S54" s="482">
        <f>SUM(O54:R54)</f>
        <v>400</v>
      </c>
      <c r="T54" s="192">
        <f t="shared" si="13"/>
        <v>400</v>
      </c>
    </row>
    <row r="55" spans="1:20" x14ac:dyDescent="0.25">
      <c r="A55" s="238">
        <v>542</v>
      </c>
      <c r="B55" s="488" t="s">
        <v>135</v>
      </c>
      <c r="C55" s="489">
        <f t="shared" ref="C55:T55" si="16">SUM(C56:C60)</f>
        <v>110745.44</v>
      </c>
      <c r="D55" s="489">
        <f t="shared" si="16"/>
        <v>0</v>
      </c>
      <c r="E55" s="489">
        <f t="shared" si="16"/>
        <v>0</v>
      </c>
      <c r="F55" s="489">
        <f t="shared" si="16"/>
        <v>0</v>
      </c>
      <c r="G55" s="499">
        <f t="shared" si="16"/>
        <v>110745.44</v>
      </c>
      <c r="H55" s="500">
        <f t="shared" si="16"/>
        <v>0</v>
      </c>
      <c r="I55" s="489">
        <f t="shared" si="16"/>
        <v>0</v>
      </c>
      <c r="J55" s="489">
        <f t="shared" si="16"/>
        <v>0</v>
      </c>
      <c r="K55" s="489">
        <f t="shared" si="16"/>
        <v>0</v>
      </c>
      <c r="L55" s="489">
        <f t="shared" si="16"/>
        <v>0</v>
      </c>
      <c r="M55" s="489">
        <f t="shared" si="16"/>
        <v>0</v>
      </c>
      <c r="N55" s="490">
        <f t="shared" si="16"/>
        <v>0</v>
      </c>
      <c r="O55" s="500">
        <f>SUM(O56:O60)</f>
        <v>15800</v>
      </c>
      <c r="P55" s="489">
        <f t="shared" si="16"/>
        <v>0</v>
      </c>
      <c r="Q55" s="489">
        <f t="shared" si="16"/>
        <v>0</v>
      </c>
      <c r="R55" s="489">
        <f t="shared" si="16"/>
        <v>0</v>
      </c>
      <c r="S55" s="489">
        <f>SUM(S56:S60)</f>
        <v>15800</v>
      </c>
      <c r="T55" s="5">
        <f t="shared" si="16"/>
        <v>126545.44</v>
      </c>
    </row>
    <row r="56" spans="1:20" x14ac:dyDescent="0.25">
      <c r="A56" s="237">
        <v>54201</v>
      </c>
      <c r="B56" s="485" t="s">
        <v>136</v>
      </c>
      <c r="C56" s="482">
        <v>49082.94</v>
      </c>
      <c r="D56" s="482"/>
      <c r="E56" s="482"/>
      <c r="F56" s="482"/>
      <c r="G56" s="495">
        <f>C56+D56+E56+F56</f>
        <v>49082.94</v>
      </c>
      <c r="H56" s="496"/>
      <c r="I56" s="482"/>
      <c r="J56" s="482"/>
      <c r="K56" s="482"/>
      <c r="L56" s="482"/>
      <c r="M56" s="482"/>
      <c r="N56" s="497">
        <f>SUM(H56:M56)</f>
        <v>0</v>
      </c>
      <c r="O56" s="496">
        <v>500</v>
      </c>
      <c r="P56" s="482"/>
      <c r="Q56" s="482"/>
      <c r="R56" s="482"/>
      <c r="S56" s="482">
        <f>SUM(O56:R56)</f>
        <v>500</v>
      </c>
      <c r="T56" s="192">
        <f>S56+N56+G56</f>
        <v>49582.94</v>
      </c>
    </row>
    <row r="57" spans="1:20" x14ac:dyDescent="0.25">
      <c r="A57" s="237">
        <v>54202</v>
      </c>
      <c r="B57" s="485" t="s">
        <v>137</v>
      </c>
      <c r="C57" s="482">
        <f>944.73</f>
        <v>944.73</v>
      </c>
      <c r="D57" s="482"/>
      <c r="E57" s="482"/>
      <c r="F57" s="482"/>
      <c r="G57" s="495">
        <f>C57+D57+E57+F57</f>
        <v>944.73</v>
      </c>
      <c r="H57" s="496"/>
      <c r="I57" s="482"/>
      <c r="J57" s="482"/>
      <c r="K57" s="482"/>
      <c r="L57" s="482"/>
      <c r="M57" s="482"/>
      <c r="N57" s="497">
        <f>SUM(H57:M57)</f>
        <v>0</v>
      </c>
      <c r="O57" s="496">
        <v>100</v>
      </c>
      <c r="P57" s="482"/>
      <c r="Q57" s="482"/>
      <c r="R57" s="482"/>
      <c r="S57" s="482">
        <f>SUM(O57:R57)</f>
        <v>100</v>
      </c>
      <c r="T57" s="192">
        <f>S57+N57+G57</f>
        <v>1044.73</v>
      </c>
    </row>
    <row r="58" spans="1:20" x14ac:dyDescent="0.25">
      <c r="A58" s="237">
        <v>54203</v>
      </c>
      <c r="B58" s="485" t="s">
        <v>138</v>
      </c>
      <c r="C58" s="482">
        <f>3217.77+4500+3500</f>
        <v>11217.77</v>
      </c>
      <c r="D58" s="482"/>
      <c r="E58" s="482"/>
      <c r="F58" s="482"/>
      <c r="G58" s="495">
        <f>C58+D58+E58+F58</f>
        <v>11217.77</v>
      </c>
      <c r="H58" s="496"/>
      <c r="I58" s="482"/>
      <c r="J58" s="482"/>
      <c r="K58" s="482"/>
      <c r="L58" s="482"/>
      <c r="M58" s="482"/>
      <c r="N58" s="497">
        <f>SUM(H58:M58)</f>
        <v>0</v>
      </c>
      <c r="O58" s="496">
        <v>100</v>
      </c>
      <c r="P58" s="482"/>
      <c r="Q58" s="482"/>
      <c r="R58" s="482"/>
      <c r="S58" s="482">
        <f>SUM(O58:R58)</f>
        <v>100</v>
      </c>
      <c r="T58" s="192">
        <f>S58+N58+G58</f>
        <v>11317.77</v>
      </c>
    </row>
    <row r="59" spans="1:20" x14ac:dyDescent="0.25">
      <c r="A59" s="237">
        <v>54204</v>
      </c>
      <c r="B59" s="485" t="s">
        <v>139</v>
      </c>
      <c r="C59" s="482"/>
      <c r="D59" s="482"/>
      <c r="E59" s="482"/>
      <c r="F59" s="482"/>
      <c r="G59" s="495">
        <f>C59+D59+E59+F59</f>
        <v>0</v>
      </c>
      <c r="H59" s="496"/>
      <c r="I59" s="482"/>
      <c r="J59" s="482"/>
      <c r="K59" s="482"/>
      <c r="L59" s="482"/>
      <c r="M59" s="482"/>
      <c r="N59" s="497">
        <f>SUM(H59:M59)</f>
        <v>0</v>
      </c>
      <c r="O59" s="496">
        <v>100</v>
      </c>
      <c r="P59" s="482"/>
      <c r="Q59" s="482"/>
      <c r="R59" s="482"/>
      <c r="S59" s="482">
        <f>SUM(O59:R59)</f>
        <v>100</v>
      </c>
      <c r="T59" s="192">
        <f>S59+N59+G59</f>
        <v>100</v>
      </c>
    </row>
    <row r="60" spans="1:20" x14ac:dyDescent="0.25">
      <c r="A60" s="237">
        <v>54205</v>
      </c>
      <c r="B60" s="485" t="s">
        <v>140</v>
      </c>
      <c r="C60" s="482">
        <v>49500</v>
      </c>
      <c r="D60" s="482"/>
      <c r="E60" s="482"/>
      <c r="F60" s="482"/>
      <c r="G60" s="495">
        <f>C60+D60+E60+F60</f>
        <v>49500</v>
      </c>
      <c r="H60" s="496"/>
      <c r="I60" s="482"/>
      <c r="J60" s="482"/>
      <c r="K60" s="482"/>
      <c r="L60" s="482"/>
      <c r="M60" s="482"/>
      <c r="N60" s="497">
        <f>SUM(H60:M60)</f>
        <v>0</v>
      </c>
      <c r="O60" s="496">
        <v>15000</v>
      </c>
      <c r="P60" s="482"/>
      <c r="Q60" s="482"/>
      <c r="R60" s="482"/>
      <c r="S60" s="482">
        <f>SUM(O60:R60)</f>
        <v>15000</v>
      </c>
      <c r="T60" s="70">
        <f>S60+N60+G60</f>
        <v>64500</v>
      </c>
    </row>
    <row r="61" spans="1:20" x14ac:dyDescent="0.25">
      <c r="A61" s="238">
        <v>543</v>
      </c>
      <c r="B61" s="488" t="s">
        <v>141</v>
      </c>
      <c r="C61" s="489">
        <f t="shared" ref="C61:R61" si="17">SUM(C62:C71)</f>
        <v>0</v>
      </c>
      <c r="D61" s="489">
        <f t="shared" si="17"/>
        <v>0</v>
      </c>
      <c r="E61" s="489">
        <f t="shared" si="17"/>
        <v>0</v>
      </c>
      <c r="F61" s="489">
        <f t="shared" si="17"/>
        <v>0</v>
      </c>
      <c r="G61" s="499">
        <f t="shared" si="17"/>
        <v>0</v>
      </c>
      <c r="H61" s="500">
        <f t="shared" si="17"/>
        <v>0</v>
      </c>
      <c r="I61" s="489">
        <f t="shared" si="17"/>
        <v>0</v>
      </c>
      <c r="J61" s="489">
        <f t="shared" si="17"/>
        <v>0</v>
      </c>
      <c r="K61" s="489">
        <f t="shared" si="17"/>
        <v>0</v>
      </c>
      <c r="L61" s="489">
        <f t="shared" si="17"/>
        <v>0</v>
      </c>
      <c r="M61" s="489">
        <f t="shared" si="17"/>
        <v>0</v>
      </c>
      <c r="N61" s="490">
        <f t="shared" si="17"/>
        <v>0</v>
      </c>
      <c r="O61" s="500">
        <f>SUM(O62:O72)</f>
        <v>61200</v>
      </c>
      <c r="P61" s="489">
        <f t="shared" si="17"/>
        <v>0</v>
      </c>
      <c r="Q61" s="489">
        <f t="shared" si="17"/>
        <v>0</v>
      </c>
      <c r="R61" s="489">
        <f t="shared" si="17"/>
        <v>0</v>
      </c>
      <c r="S61" s="489">
        <f>SUM(S62:S72)</f>
        <v>61200</v>
      </c>
      <c r="T61" s="5">
        <f>SUM(T62:T71)</f>
        <v>50700</v>
      </c>
    </row>
    <row r="62" spans="1:20" x14ac:dyDescent="0.25">
      <c r="A62" s="237">
        <v>54301</v>
      </c>
      <c r="B62" s="485" t="s">
        <v>142</v>
      </c>
      <c r="C62" s="482"/>
      <c r="D62" s="482"/>
      <c r="E62" s="482"/>
      <c r="F62" s="482"/>
      <c r="G62" s="495">
        <f t="shared" ref="G62:G71" si="18">C62+D62+E62+F62</f>
        <v>0</v>
      </c>
      <c r="H62" s="496"/>
      <c r="I62" s="482"/>
      <c r="J62" s="482"/>
      <c r="K62" s="482"/>
      <c r="L62" s="482"/>
      <c r="M62" s="482"/>
      <c r="N62" s="497">
        <f t="shared" ref="N62:N71" si="19">SUM(H62:M62)</f>
        <v>0</v>
      </c>
      <c r="O62" s="496">
        <v>500</v>
      </c>
      <c r="P62" s="482"/>
      <c r="Q62" s="482"/>
      <c r="R62" s="482"/>
      <c r="S62" s="482">
        <f t="shared" ref="S62:S72" si="20">SUM(O62:R62)</f>
        <v>500</v>
      </c>
      <c r="T62" s="192">
        <f t="shared" ref="T62:T71" si="21">S62+N62+G62</f>
        <v>500</v>
      </c>
    </row>
    <row r="63" spans="1:20" x14ac:dyDescent="0.25">
      <c r="A63" s="504">
        <v>54302</v>
      </c>
      <c r="B63" s="505" t="s">
        <v>143</v>
      </c>
      <c r="C63" s="498"/>
      <c r="D63" s="498"/>
      <c r="E63" s="498"/>
      <c r="F63" s="498"/>
      <c r="G63" s="506">
        <f t="shared" si="18"/>
        <v>0</v>
      </c>
      <c r="H63" s="507"/>
      <c r="I63" s="498"/>
      <c r="J63" s="498"/>
      <c r="K63" s="498"/>
      <c r="L63" s="498"/>
      <c r="M63" s="498"/>
      <c r="N63" s="508">
        <f t="shared" si="19"/>
        <v>0</v>
      </c>
      <c r="O63" s="507">
        <v>100</v>
      </c>
      <c r="P63" s="498"/>
      <c r="Q63" s="498"/>
      <c r="R63" s="498"/>
      <c r="S63" s="498">
        <f t="shared" si="20"/>
        <v>100</v>
      </c>
      <c r="T63" s="192">
        <f t="shared" si="21"/>
        <v>100</v>
      </c>
    </row>
    <row r="64" spans="1:20" x14ac:dyDescent="0.25">
      <c r="A64" s="237">
        <v>54303</v>
      </c>
      <c r="B64" s="485" t="s">
        <v>144</v>
      </c>
      <c r="C64" s="482"/>
      <c r="D64" s="482"/>
      <c r="E64" s="482"/>
      <c r="F64" s="482"/>
      <c r="G64" s="495">
        <f t="shared" si="18"/>
        <v>0</v>
      </c>
      <c r="H64" s="496"/>
      <c r="I64" s="482"/>
      <c r="J64" s="482"/>
      <c r="K64" s="482"/>
      <c r="L64" s="482"/>
      <c r="M64" s="482"/>
      <c r="N64" s="497">
        <f t="shared" si="19"/>
        <v>0</v>
      </c>
      <c r="O64" s="496">
        <v>1000</v>
      </c>
      <c r="P64" s="482"/>
      <c r="Q64" s="482"/>
      <c r="R64" s="482"/>
      <c r="S64" s="482">
        <f t="shared" si="20"/>
        <v>1000</v>
      </c>
      <c r="T64" s="192">
        <f t="shared" si="21"/>
        <v>1000</v>
      </c>
    </row>
    <row r="65" spans="1:20" x14ac:dyDescent="0.25">
      <c r="A65" s="237">
        <v>54304</v>
      </c>
      <c r="B65" s="485" t="s">
        <v>145</v>
      </c>
      <c r="C65" s="482"/>
      <c r="D65" s="482"/>
      <c r="E65" s="482"/>
      <c r="F65" s="482"/>
      <c r="G65" s="495">
        <f t="shared" si="18"/>
        <v>0</v>
      </c>
      <c r="H65" s="496"/>
      <c r="I65" s="482"/>
      <c r="J65" s="482"/>
      <c r="K65" s="482"/>
      <c r="L65" s="482"/>
      <c r="M65" s="482"/>
      <c r="N65" s="497">
        <f t="shared" si="19"/>
        <v>0</v>
      </c>
      <c r="O65" s="496">
        <v>9000</v>
      </c>
      <c r="P65" s="482"/>
      <c r="Q65" s="482"/>
      <c r="R65" s="482"/>
      <c r="S65" s="482">
        <f t="shared" si="20"/>
        <v>9000</v>
      </c>
      <c r="T65" s="192">
        <f t="shared" si="21"/>
        <v>9000</v>
      </c>
    </row>
    <row r="66" spans="1:20" x14ac:dyDescent="0.25">
      <c r="A66" s="237">
        <v>54305</v>
      </c>
      <c r="B66" s="485" t="s">
        <v>146</v>
      </c>
      <c r="C66" s="482"/>
      <c r="D66" s="482"/>
      <c r="E66" s="482"/>
      <c r="F66" s="482"/>
      <c r="G66" s="495">
        <f t="shared" si="18"/>
        <v>0</v>
      </c>
      <c r="H66" s="496"/>
      <c r="I66" s="482"/>
      <c r="J66" s="482"/>
      <c r="K66" s="482"/>
      <c r="L66" s="482"/>
      <c r="M66" s="482"/>
      <c r="N66" s="497">
        <f t="shared" si="19"/>
        <v>0</v>
      </c>
      <c r="O66" s="496">
        <v>12000</v>
      </c>
      <c r="P66" s="482"/>
      <c r="Q66" s="482"/>
      <c r="R66" s="482"/>
      <c r="S66" s="482">
        <f t="shared" si="20"/>
        <v>12000</v>
      </c>
      <c r="T66" s="70">
        <f t="shared" si="21"/>
        <v>12000</v>
      </c>
    </row>
    <row r="67" spans="1:20" x14ac:dyDescent="0.25">
      <c r="A67" s="237">
        <v>54307</v>
      </c>
      <c r="B67" s="485" t="s">
        <v>147</v>
      </c>
      <c r="C67" s="482"/>
      <c r="D67" s="482"/>
      <c r="E67" s="482"/>
      <c r="F67" s="482"/>
      <c r="G67" s="495">
        <f t="shared" si="18"/>
        <v>0</v>
      </c>
      <c r="H67" s="496"/>
      <c r="I67" s="482"/>
      <c r="J67" s="482"/>
      <c r="K67" s="482"/>
      <c r="L67" s="482"/>
      <c r="M67" s="482"/>
      <c r="N67" s="497">
        <f t="shared" si="19"/>
        <v>0</v>
      </c>
      <c r="O67" s="496">
        <v>500</v>
      </c>
      <c r="P67" s="482"/>
      <c r="Q67" s="482"/>
      <c r="R67" s="482"/>
      <c r="S67" s="482">
        <f t="shared" si="20"/>
        <v>500</v>
      </c>
      <c r="T67" s="192">
        <f t="shared" si="21"/>
        <v>500</v>
      </c>
    </row>
    <row r="68" spans="1:20" x14ac:dyDescent="0.25">
      <c r="A68" s="198">
        <v>54311</v>
      </c>
      <c r="B68" s="197" t="s">
        <v>148</v>
      </c>
      <c r="C68" s="193"/>
      <c r="D68" s="193"/>
      <c r="E68" s="193"/>
      <c r="F68" s="193"/>
      <c r="G68" s="196">
        <f t="shared" si="18"/>
        <v>0</v>
      </c>
      <c r="H68" s="194"/>
      <c r="I68" s="193"/>
      <c r="J68" s="193"/>
      <c r="K68" s="193"/>
      <c r="L68" s="193"/>
      <c r="M68" s="193"/>
      <c r="N68" s="206">
        <f t="shared" si="19"/>
        <v>0</v>
      </c>
      <c r="O68" s="194">
        <v>100</v>
      </c>
      <c r="P68" s="193"/>
      <c r="Q68" s="193"/>
      <c r="R68" s="193"/>
      <c r="S68" s="193">
        <f t="shared" si="20"/>
        <v>100</v>
      </c>
      <c r="T68" s="192">
        <f t="shared" si="21"/>
        <v>100</v>
      </c>
    </row>
    <row r="69" spans="1:20" x14ac:dyDescent="0.25">
      <c r="A69" s="198">
        <v>54313</v>
      </c>
      <c r="B69" s="197" t="s">
        <v>149</v>
      </c>
      <c r="C69" s="193"/>
      <c r="D69" s="193"/>
      <c r="E69" s="193"/>
      <c r="F69" s="193"/>
      <c r="G69" s="196">
        <f t="shared" si="18"/>
        <v>0</v>
      </c>
      <c r="H69" s="194"/>
      <c r="I69" s="193"/>
      <c r="J69" s="193"/>
      <c r="K69" s="193"/>
      <c r="L69" s="193"/>
      <c r="M69" s="193"/>
      <c r="N69" s="206">
        <f t="shared" si="19"/>
        <v>0</v>
      </c>
      <c r="O69" s="194">
        <v>2000</v>
      </c>
      <c r="P69" s="193"/>
      <c r="Q69" s="193"/>
      <c r="R69" s="193"/>
      <c r="S69" s="193">
        <f t="shared" si="20"/>
        <v>2000</v>
      </c>
      <c r="T69" s="192">
        <f t="shared" si="21"/>
        <v>2000</v>
      </c>
    </row>
    <row r="70" spans="1:20" x14ac:dyDescent="0.25">
      <c r="A70" s="198">
        <v>54314</v>
      </c>
      <c r="B70" s="197" t="s">
        <v>150</v>
      </c>
      <c r="C70" s="193"/>
      <c r="D70" s="193"/>
      <c r="E70" s="193"/>
      <c r="F70" s="193"/>
      <c r="G70" s="196">
        <f t="shared" si="18"/>
        <v>0</v>
      </c>
      <c r="H70" s="194"/>
      <c r="I70" s="193"/>
      <c r="J70" s="193"/>
      <c r="K70" s="193"/>
      <c r="L70" s="193"/>
      <c r="M70" s="193"/>
      <c r="N70" s="206">
        <f t="shared" si="19"/>
        <v>0</v>
      </c>
      <c r="O70" s="194">
        <v>24500</v>
      </c>
      <c r="P70" s="193"/>
      <c r="Q70" s="193"/>
      <c r="R70" s="193"/>
      <c r="S70" s="193">
        <f t="shared" si="20"/>
        <v>24500</v>
      </c>
      <c r="T70" s="192">
        <f t="shared" si="21"/>
        <v>24500</v>
      </c>
    </row>
    <row r="71" spans="1:20" x14ac:dyDescent="0.25">
      <c r="A71" s="198">
        <v>54316</v>
      </c>
      <c r="B71" s="197" t="s">
        <v>151</v>
      </c>
      <c r="C71" s="193"/>
      <c r="D71" s="193"/>
      <c r="E71" s="193"/>
      <c r="F71" s="193"/>
      <c r="G71" s="196">
        <f t="shared" si="18"/>
        <v>0</v>
      </c>
      <c r="H71" s="194"/>
      <c r="I71" s="193"/>
      <c r="J71" s="193"/>
      <c r="K71" s="193"/>
      <c r="L71" s="193"/>
      <c r="M71" s="193"/>
      <c r="N71" s="206">
        <f t="shared" si="19"/>
        <v>0</v>
      </c>
      <c r="O71" s="194">
        <v>1000</v>
      </c>
      <c r="P71" s="193"/>
      <c r="Q71" s="193"/>
      <c r="R71" s="193"/>
      <c r="S71" s="193">
        <f t="shared" si="20"/>
        <v>1000</v>
      </c>
      <c r="T71" s="192">
        <f t="shared" si="21"/>
        <v>1000</v>
      </c>
    </row>
    <row r="72" spans="1:20" x14ac:dyDescent="0.25">
      <c r="A72" s="198">
        <v>54317</v>
      </c>
      <c r="B72" s="197" t="s">
        <v>487</v>
      </c>
      <c r="C72" s="193"/>
      <c r="D72" s="193"/>
      <c r="E72" s="193"/>
      <c r="F72" s="193"/>
      <c r="G72" s="196"/>
      <c r="H72" s="194"/>
      <c r="I72" s="193"/>
      <c r="J72" s="193"/>
      <c r="K72" s="193"/>
      <c r="L72" s="193"/>
      <c r="M72" s="193"/>
      <c r="N72" s="206"/>
      <c r="O72" s="194">
        <v>10500</v>
      </c>
      <c r="P72" s="193"/>
      <c r="Q72" s="193"/>
      <c r="R72" s="193"/>
      <c r="S72" s="193">
        <f t="shared" si="20"/>
        <v>10500</v>
      </c>
      <c r="T72" s="192"/>
    </row>
    <row r="73" spans="1:20" x14ac:dyDescent="0.25">
      <c r="A73" s="191">
        <v>544</v>
      </c>
      <c r="B73" s="190" t="s">
        <v>152</v>
      </c>
      <c r="C73" s="190"/>
      <c r="D73" s="203">
        <f t="shared" ref="D73:T73" si="22">SUM(D74:D76)</f>
        <v>0</v>
      </c>
      <c r="E73" s="203">
        <f t="shared" si="22"/>
        <v>0</v>
      </c>
      <c r="F73" s="203">
        <f t="shared" si="22"/>
        <v>0</v>
      </c>
      <c r="G73" s="205">
        <f t="shared" si="22"/>
        <v>0</v>
      </c>
      <c r="H73" s="204">
        <f t="shared" si="22"/>
        <v>0</v>
      </c>
      <c r="I73" s="203">
        <f t="shared" si="22"/>
        <v>0</v>
      </c>
      <c r="J73" s="203">
        <f t="shared" si="22"/>
        <v>0</v>
      </c>
      <c r="K73" s="203">
        <f t="shared" si="22"/>
        <v>0</v>
      </c>
      <c r="L73" s="203">
        <f t="shared" si="22"/>
        <v>0</v>
      </c>
      <c r="M73" s="203">
        <f t="shared" si="22"/>
        <v>0</v>
      </c>
      <c r="N73" s="202">
        <f t="shared" si="22"/>
        <v>0</v>
      </c>
      <c r="O73" s="189">
        <f>SUM(O74:O76)</f>
        <v>5500</v>
      </c>
      <c r="P73" s="203">
        <f t="shared" si="22"/>
        <v>0</v>
      </c>
      <c r="Q73" s="203">
        <f t="shared" si="22"/>
        <v>0</v>
      </c>
      <c r="R73" s="203">
        <f t="shared" si="22"/>
        <v>0</v>
      </c>
      <c r="S73" s="4">
        <f>SUM(S74:S76)</f>
        <v>5500</v>
      </c>
      <c r="T73" s="202">
        <f t="shared" si="22"/>
        <v>5500</v>
      </c>
    </row>
    <row r="74" spans="1:20" x14ac:dyDescent="0.25">
      <c r="A74" s="237">
        <v>54401</v>
      </c>
      <c r="B74" s="485" t="s">
        <v>153</v>
      </c>
      <c r="C74" s="485"/>
      <c r="D74" s="492"/>
      <c r="E74" s="482"/>
      <c r="F74" s="482"/>
      <c r="G74" s="495">
        <f>C74+D74+E74+F74</f>
        <v>0</v>
      </c>
      <c r="H74" s="496"/>
      <c r="I74" s="482"/>
      <c r="J74" s="482"/>
      <c r="K74" s="482"/>
      <c r="L74" s="482"/>
      <c r="M74" s="482"/>
      <c r="N74" s="503"/>
      <c r="O74" s="496">
        <v>1000</v>
      </c>
      <c r="P74" s="482"/>
      <c r="Q74" s="482"/>
      <c r="R74" s="482"/>
      <c r="S74" s="482">
        <f>SUM(O74:R74)</f>
        <v>1000</v>
      </c>
      <c r="T74" s="70">
        <f>S74+N74+G74</f>
        <v>1000</v>
      </c>
    </row>
    <row r="75" spans="1:20" x14ac:dyDescent="0.25">
      <c r="A75" s="237">
        <v>54402</v>
      </c>
      <c r="B75" s="485" t="s">
        <v>154</v>
      </c>
      <c r="C75" s="485"/>
      <c r="D75" s="492"/>
      <c r="E75" s="482"/>
      <c r="F75" s="482"/>
      <c r="G75" s="495">
        <f>C75+D75+E75+F75</f>
        <v>0</v>
      </c>
      <c r="H75" s="496"/>
      <c r="I75" s="482"/>
      <c r="J75" s="482"/>
      <c r="K75" s="482"/>
      <c r="L75" s="482"/>
      <c r="M75" s="482"/>
      <c r="N75" s="503"/>
      <c r="O75" s="496">
        <v>3000</v>
      </c>
      <c r="P75" s="482"/>
      <c r="Q75" s="482"/>
      <c r="R75" s="482"/>
      <c r="S75" s="482">
        <f>SUM(O75:R75)</f>
        <v>3000</v>
      </c>
      <c r="T75" s="70">
        <f>S75+N75+G75</f>
        <v>3000</v>
      </c>
    </row>
    <row r="76" spans="1:20" x14ac:dyDescent="0.25">
      <c r="A76" s="237">
        <v>54403</v>
      </c>
      <c r="B76" s="485" t="s">
        <v>155</v>
      </c>
      <c r="C76" s="485"/>
      <c r="D76" s="492"/>
      <c r="E76" s="482"/>
      <c r="F76" s="482"/>
      <c r="G76" s="495">
        <f>C76+D76+E76+F76</f>
        <v>0</v>
      </c>
      <c r="H76" s="496"/>
      <c r="I76" s="482"/>
      <c r="J76" s="482"/>
      <c r="K76" s="482"/>
      <c r="L76" s="482"/>
      <c r="M76" s="482"/>
      <c r="N76" s="503"/>
      <c r="O76" s="496">
        <v>1500</v>
      </c>
      <c r="P76" s="482"/>
      <c r="Q76" s="482"/>
      <c r="R76" s="482"/>
      <c r="S76" s="482">
        <f>SUM(O76:R76)</f>
        <v>1500</v>
      </c>
      <c r="T76" s="70">
        <f>S76+N76+G76</f>
        <v>1500</v>
      </c>
    </row>
    <row r="77" spans="1:20" x14ac:dyDescent="0.25">
      <c r="A77" s="237">
        <v>54404</v>
      </c>
      <c r="B77" s="485" t="s">
        <v>587</v>
      </c>
      <c r="C77" s="485"/>
      <c r="D77" s="492"/>
      <c r="E77" s="482"/>
      <c r="F77" s="482"/>
      <c r="G77" s="495"/>
      <c r="H77" s="496"/>
      <c r="I77" s="482"/>
      <c r="J77" s="482"/>
      <c r="K77" s="482"/>
      <c r="L77" s="482"/>
      <c r="M77" s="482"/>
      <c r="N77" s="503"/>
      <c r="O77" s="496">
        <v>1000</v>
      </c>
      <c r="P77" s="482"/>
      <c r="Q77" s="482"/>
      <c r="R77" s="482"/>
      <c r="S77" s="482">
        <f>SUM(O77:R77)</f>
        <v>1000</v>
      </c>
      <c r="T77" s="70"/>
    </row>
    <row r="78" spans="1:20" x14ac:dyDescent="0.25">
      <c r="A78" s="191">
        <v>545</v>
      </c>
      <c r="B78" s="190" t="s">
        <v>156</v>
      </c>
      <c r="C78" s="190"/>
      <c r="D78" s="4">
        <f t="shared" ref="D78:T78" si="23">SUM(D79:D83)</f>
        <v>0</v>
      </c>
      <c r="E78" s="4">
        <f t="shared" si="23"/>
        <v>0</v>
      </c>
      <c r="F78" s="4">
        <f t="shared" si="23"/>
        <v>0</v>
      </c>
      <c r="G78" s="186">
        <f t="shared" si="23"/>
        <v>0</v>
      </c>
      <c r="H78" s="189">
        <f t="shared" si="23"/>
        <v>0</v>
      </c>
      <c r="I78" s="4">
        <f t="shared" si="23"/>
        <v>0</v>
      </c>
      <c r="J78" s="4">
        <f t="shared" si="23"/>
        <v>0</v>
      </c>
      <c r="K78" s="4">
        <f t="shared" si="23"/>
        <v>0</v>
      </c>
      <c r="L78" s="4">
        <f t="shared" si="23"/>
        <v>0</v>
      </c>
      <c r="M78" s="4">
        <f t="shared" si="23"/>
        <v>0</v>
      </c>
      <c r="N78" s="5">
        <f t="shared" si="23"/>
        <v>0</v>
      </c>
      <c r="O78" s="189">
        <f>SUM(O79:O83)</f>
        <v>3000</v>
      </c>
      <c r="P78" s="4">
        <f t="shared" si="23"/>
        <v>0</v>
      </c>
      <c r="Q78" s="4">
        <f t="shared" si="23"/>
        <v>0</v>
      </c>
      <c r="R78" s="4">
        <f t="shared" si="23"/>
        <v>0</v>
      </c>
      <c r="S78" s="4">
        <f>SUM(S79:S83)</f>
        <v>3000</v>
      </c>
      <c r="T78" s="5">
        <f t="shared" si="23"/>
        <v>3000</v>
      </c>
    </row>
    <row r="79" spans="1:20" x14ac:dyDescent="0.25">
      <c r="A79" s="198">
        <v>54502</v>
      </c>
      <c r="B79" s="197" t="s">
        <v>157</v>
      </c>
      <c r="C79" s="197"/>
      <c r="D79" s="201"/>
      <c r="E79" s="193"/>
      <c r="F79" s="193"/>
      <c r="G79" s="196">
        <f>C79+D79+E79+F79</f>
        <v>0</v>
      </c>
      <c r="H79" s="194"/>
      <c r="I79" s="193"/>
      <c r="J79" s="193"/>
      <c r="K79" s="193"/>
      <c r="L79" s="193"/>
      <c r="M79" s="193"/>
      <c r="N79" s="195"/>
      <c r="O79" s="194"/>
      <c r="P79" s="193"/>
      <c r="Q79" s="193"/>
      <c r="R79" s="193"/>
      <c r="S79" s="193">
        <f>SUM(O79:R79)</f>
        <v>0</v>
      </c>
      <c r="T79" s="192">
        <f>S79+N79+G79</f>
        <v>0</v>
      </c>
    </row>
    <row r="80" spans="1:20" x14ac:dyDescent="0.25">
      <c r="A80" s="198">
        <v>54503</v>
      </c>
      <c r="B80" s="197" t="s">
        <v>158</v>
      </c>
      <c r="C80" s="197"/>
      <c r="D80" s="201"/>
      <c r="E80" s="193"/>
      <c r="F80" s="193"/>
      <c r="G80" s="196">
        <f>C80+D80+E80+F80</f>
        <v>0</v>
      </c>
      <c r="H80" s="194"/>
      <c r="I80" s="193"/>
      <c r="J80" s="193"/>
      <c r="K80" s="193"/>
      <c r="L80" s="193"/>
      <c r="M80" s="193"/>
      <c r="N80" s="195"/>
      <c r="O80" s="194">
        <v>1000</v>
      </c>
      <c r="P80" s="193"/>
      <c r="Q80" s="193"/>
      <c r="R80" s="193"/>
      <c r="S80" s="193">
        <f>SUM(O80:R80)</f>
        <v>1000</v>
      </c>
      <c r="T80" s="192">
        <f>S80+N80+G80</f>
        <v>1000</v>
      </c>
    </row>
    <row r="81" spans="1:20" x14ac:dyDescent="0.25">
      <c r="A81" s="198">
        <v>54504</v>
      </c>
      <c r="B81" s="197" t="s">
        <v>159</v>
      </c>
      <c r="C81" s="197"/>
      <c r="D81" s="201"/>
      <c r="E81" s="193"/>
      <c r="F81" s="193"/>
      <c r="G81" s="196">
        <f>C81+D81+E81+F81</f>
        <v>0</v>
      </c>
      <c r="H81" s="194"/>
      <c r="I81" s="193"/>
      <c r="J81" s="193"/>
      <c r="K81" s="193"/>
      <c r="L81" s="193"/>
      <c r="M81" s="193"/>
      <c r="N81" s="195"/>
      <c r="O81" s="194">
        <v>1000</v>
      </c>
      <c r="P81" s="193"/>
      <c r="Q81" s="193"/>
      <c r="R81" s="193"/>
      <c r="S81" s="193">
        <f>SUM(O81:R81)</f>
        <v>1000</v>
      </c>
      <c r="T81" s="192">
        <f>S81+N81+G81</f>
        <v>1000</v>
      </c>
    </row>
    <row r="82" spans="1:20" x14ac:dyDescent="0.25">
      <c r="A82" s="198">
        <v>54505</v>
      </c>
      <c r="B82" s="197" t="s">
        <v>160</v>
      </c>
      <c r="C82" s="197"/>
      <c r="D82" s="201"/>
      <c r="E82" s="193"/>
      <c r="F82" s="193"/>
      <c r="G82" s="196">
        <f>C82+D82+E82+F82</f>
        <v>0</v>
      </c>
      <c r="H82" s="194"/>
      <c r="I82" s="193"/>
      <c r="J82" s="193"/>
      <c r="K82" s="193"/>
      <c r="L82" s="193"/>
      <c r="M82" s="193"/>
      <c r="N82" s="195"/>
      <c r="O82" s="194">
        <v>1000</v>
      </c>
      <c r="P82" s="193"/>
      <c r="Q82" s="193"/>
      <c r="R82" s="193"/>
      <c r="S82" s="193">
        <f>SUM(O82:R82)</f>
        <v>1000</v>
      </c>
      <c r="T82" s="192">
        <f>S82+N82+G82</f>
        <v>1000</v>
      </c>
    </row>
    <row r="83" spans="1:20" x14ac:dyDescent="0.25">
      <c r="A83" s="198">
        <v>54599</v>
      </c>
      <c r="B83" s="197" t="s">
        <v>161</v>
      </c>
      <c r="C83" s="197"/>
      <c r="D83" s="201"/>
      <c r="E83" s="193"/>
      <c r="F83" s="193"/>
      <c r="G83" s="196">
        <f>C83+D83+E83+F83</f>
        <v>0</v>
      </c>
      <c r="H83" s="194"/>
      <c r="I83" s="193"/>
      <c r="J83" s="193"/>
      <c r="K83" s="193"/>
      <c r="L83" s="193"/>
      <c r="M83" s="193"/>
      <c r="N83" s="195"/>
      <c r="O83" s="194"/>
      <c r="P83" s="193"/>
      <c r="Q83" s="193"/>
      <c r="R83" s="193"/>
      <c r="S83" s="193">
        <f>SUM(O83:R83)</f>
        <v>0</v>
      </c>
      <c r="T83" s="192">
        <f>S83+N83+G83</f>
        <v>0</v>
      </c>
    </row>
    <row r="84" spans="1:20" x14ac:dyDescent="0.25">
      <c r="A84" s="191">
        <v>546</v>
      </c>
      <c r="B84" s="190" t="s">
        <v>162</v>
      </c>
      <c r="C84" s="190"/>
      <c r="D84" s="4">
        <f t="shared" ref="D84:T84" si="24">D85</f>
        <v>0</v>
      </c>
      <c r="E84" s="4">
        <f t="shared" si="24"/>
        <v>0</v>
      </c>
      <c r="F84" s="4">
        <f t="shared" si="24"/>
        <v>0</v>
      </c>
      <c r="G84" s="186">
        <f t="shared" si="24"/>
        <v>0</v>
      </c>
      <c r="H84" s="189">
        <f t="shared" si="24"/>
        <v>0</v>
      </c>
      <c r="I84" s="4">
        <f t="shared" si="24"/>
        <v>0</v>
      </c>
      <c r="J84" s="4">
        <f t="shared" si="24"/>
        <v>0</v>
      </c>
      <c r="K84" s="4">
        <f t="shared" si="24"/>
        <v>0</v>
      </c>
      <c r="L84" s="4">
        <f t="shared" si="24"/>
        <v>0</v>
      </c>
      <c r="M84" s="4">
        <f t="shared" si="24"/>
        <v>0</v>
      </c>
      <c r="N84" s="5">
        <f t="shared" si="24"/>
        <v>0</v>
      </c>
      <c r="O84" s="189">
        <f t="shared" si="24"/>
        <v>0</v>
      </c>
      <c r="P84" s="4">
        <f t="shared" si="24"/>
        <v>0</v>
      </c>
      <c r="Q84" s="4">
        <f t="shared" si="24"/>
        <v>0</v>
      </c>
      <c r="R84" s="4">
        <f t="shared" si="24"/>
        <v>0</v>
      </c>
      <c r="S84" s="4">
        <f t="shared" si="24"/>
        <v>0</v>
      </c>
      <c r="T84" s="5">
        <f t="shared" si="24"/>
        <v>0</v>
      </c>
    </row>
    <row r="85" spans="1:20" x14ac:dyDescent="0.25">
      <c r="A85" s="198">
        <v>54602</v>
      </c>
      <c r="B85" s="197" t="s">
        <v>163</v>
      </c>
      <c r="C85" s="197"/>
      <c r="D85" s="193"/>
      <c r="E85" s="193"/>
      <c r="F85" s="193"/>
      <c r="G85" s="196">
        <f>C85+D85+E85+F85</f>
        <v>0</v>
      </c>
      <c r="H85" s="194"/>
      <c r="I85" s="193"/>
      <c r="J85" s="193"/>
      <c r="K85" s="193"/>
      <c r="L85" s="193"/>
      <c r="M85" s="193"/>
      <c r="N85" s="195"/>
      <c r="O85" s="194"/>
      <c r="P85" s="193"/>
      <c r="Q85" s="193"/>
      <c r="R85" s="193"/>
      <c r="S85" s="193">
        <f>SUM(O85:R85)</f>
        <v>0</v>
      </c>
      <c r="T85" s="192">
        <f>S85+N85+G85</f>
        <v>0</v>
      </c>
    </row>
    <row r="86" spans="1:20" x14ac:dyDescent="0.25">
      <c r="A86" s="191">
        <v>55</v>
      </c>
      <c r="B86" s="190" t="s">
        <v>164</v>
      </c>
      <c r="C86" s="190"/>
      <c r="D86" s="4">
        <f t="shared" ref="D86:T86" si="25">D87+D90+D93</f>
        <v>0</v>
      </c>
      <c r="E86" s="4">
        <f t="shared" si="25"/>
        <v>0</v>
      </c>
      <c r="F86" s="4">
        <f t="shared" si="25"/>
        <v>0</v>
      </c>
      <c r="G86" s="186">
        <f t="shared" si="25"/>
        <v>0</v>
      </c>
      <c r="H86" s="189">
        <f t="shared" si="25"/>
        <v>0</v>
      </c>
      <c r="I86" s="4">
        <f t="shared" si="25"/>
        <v>0</v>
      </c>
      <c r="J86" s="4">
        <f t="shared" si="25"/>
        <v>0</v>
      </c>
      <c r="K86" s="4">
        <f t="shared" si="25"/>
        <v>0</v>
      </c>
      <c r="L86" s="4">
        <f t="shared" si="25"/>
        <v>0</v>
      </c>
      <c r="M86" s="4">
        <f t="shared" si="25"/>
        <v>0</v>
      </c>
      <c r="N86" s="5">
        <f t="shared" si="25"/>
        <v>0</v>
      </c>
      <c r="O86" s="189">
        <f>O87+O90+O93</f>
        <v>0</v>
      </c>
      <c r="P86" s="4">
        <f t="shared" si="25"/>
        <v>0</v>
      </c>
      <c r="Q86" s="4">
        <f t="shared" si="25"/>
        <v>0</v>
      </c>
      <c r="R86" s="4">
        <f t="shared" si="25"/>
        <v>0</v>
      </c>
      <c r="S86" s="4">
        <f t="shared" si="25"/>
        <v>0</v>
      </c>
      <c r="T86" s="5">
        <f t="shared" si="25"/>
        <v>0</v>
      </c>
    </row>
    <row r="87" spans="1:20" x14ac:dyDescent="0.25">
      <c r="A87" s="191">
        <v>553</v>
      </c>
      <c r="B87" s="190" t="s">
        <v>165</v>
      </c>
      <c r="C87" s="190"/>
      <c r="D87" s="4">
        <f t="shared" ref="D87:T87" si="26">SUM(D88:D89)</f>
        <v>0</v>
      </c>
      <c r="E87" s="4">
        <f t="shared" si="26"/>
        <v>0</v>
      </c>
      <c r="F87" s="4">
        <f t="shared" si="26"/>
        <v>0</v>
      </c>
      <c r="G87" s="186">
        <f t="shared" si="26"/>
        <v>0</v>
      </c>
      <c r="H87" s="189">
        <f t="shared" si="26"/>
        <v>0</v>
      </c>
      <c r="I87" s="4">
        <f t="shared" si="26"/>
        <v>0</v>
      </c>
      <c r="J87" s="4">
        <f t="shared" si="26"/>
        <v>0</v>
      </c>
      <c r="K87" s="4">
        <f t="shared" si="26"/>
        <v>0</v>
      </c>
      <c r="L87" s="4">
        <f t="shared" si="26"/>
        <v>0</v>
      </c>
      <c r="M87" s="4">
        <f t="shared" si="26"/>
        <v>0</v>
      </c>
      <c r="N87" s="5">
        <f t="shared" si="26"/>
        <v>0</v>
      </c>
      <c r="O87" s="189">
        <f t="shared" si="26"/>
        <v>0</v>
      </c>
      <c r="P87" s="4">
        <f t="shared" si="26"/>
        <v>0</v>
      </c>
      <c r="Q87" s="4">
        <f t="shared" si="26"/>
        <v>0</v>
      </c>
      <c r="R87" s="4">
        <f t="shared" si="26"/>
        <v>0</v>
      </c>
      <c r="S87" s="4">
        <f t="shared" si="26"/>
        <v>0</v>
      </c>
      <c r="T87" s="5">
        <f t="shared" si="26"/>
        <v>0</v>
      </c>
    </row>
    <row r="88" spans="1:20" x14ac:dyDescent="0.25">
      <c r="A88" s="198">
        <v>55302</v>
      </c>
      <c r="B88" s="197" t="s">
        <v>166</v>
      </c>
      <c r="C88" s="197"/>
      <c r="D88" s="193"/>
      <c r="E88" s="193"/>
      <c r="F88" s="193"/>
      <c r="G88" s="196">
        <f>C88+D88+E88+F88</f>
        <v>0</v>
      </c>
      <c r="H88" s="194"/>
      <c r="I88" s="193"/>
      <c r="J88" s="193"/>
      <c r="K88" s="193"/>
      <c r="L88" s="193"/>
      <c r="M88" s="193"/>
      <c r="N88" s="195"/>
      <c r="O88" s="194"/>
      <c r="P88" s="193"/>
      <c r="Q88" s="193"/>
      <c r="R88" s="193"/>
      <c r="S88" s="193">
        <f>SUM(O88:R88)</f>
        <v>0</v>
      </c>
      <c r="T88" s="192">
        <f>S88+N88+G88</f>
        <v>0</v>
      </c>
    </row>
    <row r="89" spans="1:20" x14ac:dyDescent="0.25">
      <c r="A89" s="198">
        <v>55304</v>
      </c>
      <c r="B89" s="197" t="s">
        <v>167</v>
      </c>
      <c r="C89" s="197"/>
      <c r="D89" s="193"/>
      <c r="E89" s="193"/>
      <c r="F89" s="193"/>
      <c r="G89" s="196">
        <f>C89+D89+E89+F89</f>
        <v>0</v>
      </c>
      <c r="H89" s="194"/>
      <c r="I89" s="193"/>
      <c r="J89" s="193"/>
      <c r="K89" s="193"/>
      <c r="L89" s="193"/>
      <c r="M89" s="193"/>
      <c r="N89" s="195"/>
      <c r="O89" s="194"/>
      <c r="P89" s="193"/>
      <c r="Q89" s="193"/>
      <c r="R89" s="193"/>
      <c r="S89" s="193">
        <f>SUM(O89:R89)</f>
        <v>0</v>
      </c>
      <c r="T89" s="192">
        <f>S89+N89+G89</f>
        <v>0</v>
      </c>
    </row>
    <row r="90" spans="1:20" x14ac:dyDescent="0.25">
      <c r="A90" s="191">
        <v>556</v>
      </c>
      <c r="B90" s="190" t="s">
        <v>168</v>
      </c>
      <c r="C90" s="190"/>
      <c r="D90" s="4">
        <f t="shared" ref="D90:T90" si="27">SUM(D91:D92)</f>
        <v>0</v>
      </c>
      <c r="E90" s="4">
        <f t="shared" si="27"/>
        <v>0</v>
      </c>
      <c r="F90" s="4">
        <f t="shared" si="27"/>
        <v>0</v>
      </c>
      <c r="G90" s="186">
        <f t="shared" si="27"/>
        <v>0</v>
      </c>
      <c r="H90" s="189">
        <f t="shared" si="27"/>
        <v>0</v>
      </c>
      <c r="I90" s="4">
        <f t="shared" si="27"/>
        <v>0</v>
      </c>
      <c r="J90" s="4">
        <f t="shared" si="27"/>
        <v>0</v>
      </c>
      <c r="K90" s="4">
        <f t="shared" si="27"/>
        <v>0</v>
      </c>
      <c r="L90" s="4">
        <f t="shared" si="27"/>
        <v>0</v>
      </c>
      <c r="M90" s="4">
        <f t="shared" si="27"/>
        <v>0</v>
      </c>
      <c r="N90" s="5">
        <f t="shared" si="27"/>
        <v>0</v>
      </c>
      <c r="O90" s="189">
        <f t="shared" si="27"/>
        <v>0</v>
      </c>
      <c r="P90" s="4">
        <f t="shared" si="27"/>
        <v>0</v>
      </c>
      <c r="Q90" s="4">
        <f t="shared" si="27"/>
        <v>0</v>
      </c>
      <c r="R90" s="4">
        <f t="shared" si="27"/>
        <v>0</v>
      </c>
      <c r="S90" s="4">
        <f>SUM(S91:S92)</f>
        <v>0</v>
      </c>
      <c r="T90" s="5">
        <f t="shared" si="27"/>
        <v>0</v>
      </c>
    </row>
    <row r="91" spans="1:20" x14ac:dyDescent="0.25">
      <c r="A91" s="198">
        <v>55602</v>
      </c>
      <c r="B91" s="197" t="s">
        <v>169</v>
      </c>
      <c r="C91" s="197"/>
      <c r="D91" s="193"/>
      <c r="E91" s="193"/>
      <c r="F91" s="193"/>
      <c r="G91" s="196">
        <f>C91+D91+E91+F91</f>
        <v>0</v>
      </c>
      <c r="H91" s="194"/>
      <c r="I91" s="193"/>
      <c r="J91" s="193"/>
      <c r="K91" s="193"/>
      <c r="L91" s="193"/>
      <c r="M91" s="193"/>
      <c r="N91" s="195"/>
      <c r="O91" s="194">
        <v>0</v>
      </c>
      <c r="P91" s="193"/>
      <c r="Q91" s="193"/>
      <c r="R91" s="193"/>
      <c r="S91" s="193">
        <f>SUM(O91:R91)</f>
        <v>0</v>
      </c>
      <c r="T91" s="192">
        <f>S91+N91+G91</f>
        <v>0</v>
      </c>
    </row>
    <row r="92" spans="1:20" x14ac:dyDescent="0.25">
      <c r="A92" s="198">
        <v>55603</v>
      </c>
      <c r="B92" s="197" t="s">
        <v>170</v>
      </c>
      <c r="C92" s="197"/>
      <c r="D92" s="193"/>
      <c r="E92" s="193"/>
      <c r="F92" s="193"/>
      <c r="G92" s="196">
        <f>C92+D92+E92+F92</f>
        <v>0</v>
      </c>
      <c r="H92" s="194"/>
      <c r="I92" s="193"/>
      <c r="J92" s="193"/>
      <c r="K92" s="193"/>
      <c r="L92" s="193"/>
      <c r="M92" s="193"/>
      <c r="N92" s="195"/>
      <c r="O92" s="194"/>
      <c r="P92" s="193"/>
      <c r="Q92" s="193"/>
      <c r="R92" s="193"/>
      <c r="S92" s="193">
        <f>SUM(O92:R92)</f>
        <v>0</v>
      </c>
      <c r="T92" s="192">
        <f>S92+N92+G92</f>
        <v>0</v>
      </c>
    </row>
    <row r="93" spans="1:20" x14ac:dyDescent="0.25">
      <c r="A93" s="191">
        <v>557</v>
      </c>
      <c r="B93" s="190" t="s">
        <v>171</v>
      </c>
      <c r="C93" s="190"/>
      <c r="D93" s="4">
        <f t="shared" ref="D93:T93" si="28">SUM(D94:D95)</f>
        <v>0</v>
      </c>
      <c r="E93" s="4">
        <f t="shared" si="28"/>
        <v>0</v>
      </c>
      <c r="F93" s="4">
        <f t="shared" si="28"/>
        <v>0</v>
      </c>
      <c r="G93" s="186">
        <f t="shared" si="28"/>
        <v>0</v>
      </c>
      <c r="H93" s="189">
        <f t="shared" si="28"/>
        <v>0</v>
      </c>
      <c r="I93" s="4">
        <f t="shared" si="28"/>
        <v>0</v>
      </c>
      <c r="J93" s="4">
        <f t="shared" si="28"/>
        <v>0</v>
      </c>
      <c r="K93" s="4">
        <f t="shared" si="28"/>
        <v>0</v>
      </c>
      <c r="L93" s="4">
        <f t="shared" si="28"/>
        <v>0</v>
      </c>
      <c r="M93" s="4">
        <f t="shared" si="28"/>
        <v>0</v>
      </c>
      <c r="N93" s="5">
        <f t="shared" si="28"/>
        <v>0</v>
      </c>
      <c r="O93" s="189">
        <f t="shared" si="28"/>
        <v>0</v>
      </c>
      <c r="P93" s="4">
        <f t="shared" si="28"/>
        <v>0</v>
      </c>
      <c r="Q93" s="4">
        <f t="shared" si="28"/>
        <v>0</v>
      </c>
      <c r="R93" s="4">
        <f t="shared" si="28"/>
        <v>0</v>
      </c>
      <c r="S93" s="4">
        <f t="shared" si="28"/>
        <v>0</v>
      </c>
      <c r="T93" s="5">
        <f t="shared" si="28"/>
        <v>0</v>
      </c>
    </row>
    <row r="94" spans="1:20" x14ac:dyDescent="0.25">
      <c r="A94" s="198">
        <v>55703</v>
      </c>
      <c r="B94" s="197" t="s">
        <v>172</v>
      </c>
      <c r="C94" s="197"/>
      <c r="D94" s="193"/>
      <c r="E94" s="193"/>
      <c r="F94" s="193"/>
      <c r="G94" s="196">
        <f>C94+D94+E94+F94</f>
        <v>0</v>
      </c>
      <c r="H94" s="194"/>
      <c r="I94" s="193"/>
      <c r="J94" s="193"/>
      <c r="K94" s="193"/>
      <c r="L94" s="193"/>
      <c r="M94" s="193"/>
      <c r="N94" s="195"/>
      <c r="O94" s="194"/>
      <c r="P94" s="193"/>
      <c r="Q94" s="193"/>
      <c r="R94" s="193"/>
      <c r="S94" s="193">
        <f>SUM(O94:R94)</f>
        <v>0</v>
      </c>
      <c r="T94" s="192">
        <f>S94+N94+G94</f>
        <v>0</v>
      </c>
    </row>
    <row r="95" spans="1:20" x14ac:dyDescent="0.25">
      <c r="A95" s="198">
        <v>55799</v>
      </c>
      <c r="B95" s="197" t="s">
        <v>173</v>
      </c>
      <c r="C95" s="197"/>
      <c r="D95" s="193"/>
      <c r="E95" s="193"/>
      <c r="F95" s="193"/>
      <c r="G95" s="196">
        <f>C95+D95+E95+F95</f>
        <v>0</v>
      </c>
      <c r="H95" s="194"/>
      <c r="I95" s="193"/>
      <c r="J95" s="193"/>
      <c r="K95" s="193"/>
      <c r="L95" s="193"/>
      <c r="M95" s="193"/>
      <c r="N95" s="195"/>
      <c r="O95" s="194"/>
      <c r="P95" s="193"/>
      <c r="Q95" s="193"/>
      <c r="R95" s="193"/>
      <c r="S95" s="193">
        <f>SUM(O95:R95)</f>
        <v>0</v>
      </c>
      <c r="T95" s="192">
        <f>S95+N95+G95</f>
        <v>0</v>
      </c>
    </row>
    <row r="96" spans="1:20" x14ac:dyDescent="0.25">
      <c r="A96" s="191">
        <v>56</v>
      </c>
      <c r="B96" s="190" t="s">
        <v>174</v>
      </c>
      <c r="C96" s="190"/>
      <c r="D96" s="4">
        <f t="shared" ref="D96:F97" si="29">D97</f>
        <v>6000</v>
      </c>
      <c r="E96" s="4">
        <f t="shared" si="29"/>
        <v>0</v>
      </c>
      <c r="F96" s="4">
        <f t="shared" si="29"/>
        <v>0</v>
      </c>
      <c r="G96" s="4">
        <f>SUM(D96:F96)</f>
        <v>6000</v>
      </c>
      <c r="H96" s="189"/>
      <c r="I96" s="4"/>
      <c r="J96" s="4"/>
      <c r="K96" s="4"/>
      <c r="L96" s="4"/>
      <c r="M96" s="4"/>
      <c r="N96" s="5"/>
      <c r="O96" s="189">
        <f>O97+O99</f>
        <v>32944.28</v>
      </c>
      <c r="P96" s="189">
        <f t="shared" ref="P96:T96" si="30">P97+P99</f>
        <v>1217.8799999999999</v>
      </c>
      <c r="Q96" s="189">
        <f t="shared" si="30"/>
        <v>246</v>
      </c>
      <c r="R96" s="189">
        <f t="shared" si="30"/>
        <v>2425.9599999999996</v>
      </c>
      <c r="S96" s="4">
        <f>S97+S99</f>
        <v>36834.119999999995</v>
      </c>
      <c r="T96" s="5">
        <f t="shared" si="30"/>
        <v>12649.84</v>
      </c>
    </row>
    <row r="97" spans="1:20" x14ac:dyDescent="0.25">
      <c r="A97" s="191">
        <v>562</v>
      </c>
      <c r="B97" s="190" t="s">
        <v>175</v>
      </c>
      <c r="C97" s="190"/>
      <c r="D97" s="4">
        <f t="shared" si="29"/>
        <v>6000</v>
      </c>
      <c r="E97" s="4">
        <f t="shared" si="29"/>
        <v>0</v>
      </c>
      <c r="F97" s="4">
        <f t="shared" si="29"/>
        <v>0</v>
      </c>
      <c r="G97" s="186">
        <f t="shared" ref="G97:T97" si="31">G98</f>
        <v>6000</v>
      </c>
      <c r="H97" s="189">
        <f t="shared" si="31"/>
        <v>0</v>
      </c>
      <c r="I97" s="4">
        <f t="shared" si="31"/>
        <v>0</v>
      </c>
      <c r="J97" s="4">
        <f t="shared" si="31"/>
        <v>0</v>
      </c>
      <c r="K97" s="4">
        <f t="shared" si="31"/>
        <v>0</v>
      </c>
      <c r="L97" s="4">
        <f t="shared" si="31"/>
        <v>0</v>
      </c>
      <c r="M97" s="4">
        <f t="shared" si="31"/>
        <v>0</v>
      </c>
      <c r="N97" s="5">
        <f t="shared" si="31"/>
        <v>0</v>
      </c>
      <c r="O97" s="189">
        <f t="shared" si="31"/>
        <v>2760</v>
      </c>
      <c r="P97" s="4">
        <f t="shared" si="31"/>
        <v>1217.8799999999999</v>
      </c>
      <c r="Q97" s="4">
        <f t="shared" si="31"/>
        <v>246</v>
      </c>
      <c r="R97" s="4">
        <f t="shared" si="31"/>
        <v>2425.9599999999996</v>
      </c>
      <c r="S97" s="4">
        <f t="shared" si="31"/>
        <v>6649.84</v>
      </c>
      <c r="T97" s="5">
        <f t="shared" si="31"/>
        <v>12649.84</v>
      </c>
    </row>
    <row r="98" spans="1:20" x14ac:dyDescent="0.25">
      <c r="A98" s="198">
        <v>56201</v>
      </c>
      <c r="B98" s="197" t="s">
        <v>176</v>
      </c>
      <c r="C98" s="197"/>
      <c r="D98" s="193">
        <f>500*12</f>
        <v>6000</v>
      </c>
      <c r="E98" s="193"/>
      <c r="F98" s="193"/>
      <c r="G98" s="196">
        <f>C98+D98+E98+F98</f>
        <v>6000</v>
      </c>
      <c r="H98" s="194"/>
      <c r="I98" s="193"/>
      <c r="J98" s="193"/>
      <c r="K98" s="193"/>
      <c r="L98" s="193"/>
      <c r="M98" s="193"/>
      <c r="N98" s="195"/>
      <c r="O98" s="496">
        <f>(30*12)+2400</f>
        <v>2760</v>
      </c>
      <c r="P98" s="482">
        <f>101.49*12</f>
        <v>1217.8799999999999</v>
      </c>
      <c r="Q98" s="482">
        <f>20.5*12</f>
        <v>246</v>
      </c>
      <c r="R98" s="482">
        <f>(94.3*12)+(102.32*12)+66.52</f>
        <v>2425.9599999999996</v>
      </c>
      <c r="S98" s="482">
        <f>SUM(O98:R98)</f>
        <v>6649.84</v>
      </c>
      <c r="T98" s="400">
        <f>S98+N98+G98</f>
        <v>12649.84</v>
      </c>
    </row>
    <row r="99" spans="1:20" x14ac:dyDescent="0.25">
      <c r="A99" s="191">
        <v>563</v>
      </c>
      <c r="B99" s="190" t="s">
        <v>177</v>
      </c>
      <c r="C99" s="190"/>
      <c r="D99" s="4">
        <f t="shared" ref="D99:T99" si="32">SUM(D100:D103)</f>
        <v>0</v>
      </c>
      <c r="E99" s="4">
        <f t="shared" si="32"/>
        <v>0</v>
      </c>
      <c r="F99" s="4">
        <f t="shared" si="32"/>
        <v>0</v>
      </c>
      <c r="G99" s="186">
        <f t="shared" si="32"/>
        <v>0</v>
      </c>
      <c r="H99" s="189">
        <f t="shared" si="32"/>
        <v>0</v>
      </c>
      <c r="I99" s="4">
        <f t="shared" si="32"/>
        <v>0</v>
      </c>
      <c r="J99" s="4">
        <f t="shared" si="32"/>
        <v>0</v>
      </c>
      <c r="K99" s="4">
        <f t="shared" si="32"/>
        <v>0</v>
      </c>
      <c r="L99" s="4">
        <f t="shared" si="32"/>
        <v>0</v>
      </c>
      <c r="M99" s="4">
        <f t="shared" si="32"/>
        <v>0</v>
      </c>
      <c r="N99" s="5">
        <f t="shared" si="32"/>
        <v>0</v>
      </c>
      <c r="O99" s="189">
        <f>SUM(O100:O103)</f>
        <v>30184.28</v>
      </c>
      <c r="P99" s="4">
        <f t="shared" si="32"/>
        <v>0</v>
      </c>
      <c r="Q99" s="4">
        <f t="shared" si="32"/>
        <v>0</v>
      </c>
      <c r="R99" s="4">
        <f t="shared" si="32"/>
        <v>0</v>
      </c>
      <c r="S99" s="4">
        <f>SUM(S100:S103)</f>
        <v>30184.28</v>
      </c>
      <c r="T99" s="5">
        <f t="shared" si="32"/>
        <v>0</v>
      </c>
    </row>
    <row r="100" spans="1:20" x14ac:dyDescent="0.25">
      <c r="A100" s="198">
        <v>56301</v>
      </c>
      <c r="B100" s="197" t="s">
        <v>178</v>
      </c>
      <c r="C100" s="197"/>
      <c r="D100" s="193"/>
      <c r="E100" s="193"/>
      <c r="F100" s="193"/>
      <c r="G100" s="196">
        <f>C100+D100+E100+F100</f>
        <v>0</v>
      </c>
      <c r="H100" s="194"/>
      <c r="I100" s="193"/>
      <c r="J100" s="193"/>
      <c r="K100" s="193"/>
      <c r="L100" s="193"/>
      <c r="M100" s="193"/>
      <c r="N100" s="195"/>
      <c r="O100" s="194"/>
      <c r="P100" s="193"/>
      <c r="Q100" s="193"/>
      <c r="R100" s="193"/>
      <c r="S100" s="193">
        <f>SUM(O100:R100)</f>
        <v>0</v>
      </c>
      <c r="T100" s="192">
        <f>S100+N100+G100</f>
        <v>0</v>
      </c>
    </row>
    <row r="101" spans="1:20" x14ac:dyDescent="0.25">
      <c r="A101" s="198">
        <v>56303</v>
      </c>
      <c r="B101" s="197" t="s">
        <v>179</v>
      </c>
      <c r="C101" s="197"/>
      <c r="D101" s="193"/>
      <c r="E101" s="193"/>
      <c r="F101" s="193"/>
      <c r="G101" s="196">
        <f>C101+D101+E101+F101</f>
        <v>0</v>
      </c>
      <c r="H101" s="194"/>
      <c r="I101" s="193"/>
      <c r="J101" s="193"/>
      <c r="K101" s="193"/>
      <c r="L101" s="193"/>
      <c r="M101" s="193"/>
      <c r="N101" s="195"/>
      <c r="O101" s="194">
        <v>0</v>
      </c>
      <c r="P101" s="193"/>
      <c r="Q101" s="193"/>
      <c r="R101" s="193"/>
      <c r="S101" s="193">
        <f>SUM(O101:R101)</f>
        <v>0</v>
      </c>
      <c r="T101" s="192">
        <f>S101+N101+G101</f>
        <v>0</v>
      </c>
    </row>
    <row r="102" spans="1:20" x14ac:dyDescent="0.25">
      <c r="A102" s="198">
        <v>56304</v>
      </c>
      <c r="B102" s="197" t="s">
        <v>486</v>
      </c>
      <c r="C102" s="197"/>
      <c r="D102" s="193"/>
      <c r="E102" s="193"/>
      <c r="F102" s="193"/>
      <c r="G102" s="196"/>
      <c r="H102" s="194"/>
      <c r="I102" s="193"/>
      <c r="J102" s="193"/>
      <c r="K102" s="193"/>
      <c r="L102" s="193"/>
      <c r="M102" s="193"/>
      <c r="N102" s="195"/>
      <c r="O102" s="194">
        <v>30184.28</v>
      </c>
      <c r="P102" s="193"/>
      <c r="Q102" s="193"/>
      <c r="R102" s="193"/>
      <c r="S102" s="193">
        <f>SUM(O102:R102)</f>
        <v>30184.28</v>
      </c>
      <c r="T102" s="192"/>
    </row>
    <row r="103" spans="1:20" x14ac:dyDescent="0.25">
      <c r="A103" s="198">
        <v>56305</v>
      </c>
      <c r="B103" s="197" t="s">
        <v>180</v>
      </c>
      <c r="C103" s="197"/>
      <c r="D103" s="193"/>
      <c r="E103" s="193"/>
      <c r="F103" s="193"/>
      <c r="G103" s="196">
        <f>C103+D103+E103+F103</f>
        <v>0</v>
      </c>
      <c r="H103" s="194"/>
      <c r="I103" s="193"/>
      <c r="J103" s="193"/>
      <c r="K103" s="193"/>
      <c r="L103" s="193"/>
      <c r="M103" s="193"/>
      <c r="N103" s="195"/>
      <c r="O103" s="194"/>
      <c r="P103" s="193"/>
      <c r="Q103" s="193"/>
      <c r="R103" s="193"/>
      <c r="S103" s="193">
        <f>SUM(O103:R103)</f>
        <v>0</v>
      </c>
      <c r="T103" s="192">
        <f>S103+N103+G103</f>
        <v>0</v>
      </c>
    </row>
    <row r="104" spans="1:20" x14ac:dyDescent="0.25">
      <c r="A104" s="191">
        <v>61</v>
      </c>
      <c r="B104" s="190" t="s">
        <v>181</v>
      </c>
      <c r="C104" s="190"/>
      <c r="D104" s="4">
        <f t="shared" ref="D104:T104" si="33">D105+D109+D111+D113</f>
        <v>0</v>
      </c>
      <c r="E104" s="4">
        <f t="shared" si="33"/>
        <v>0</v>
      </c>
      <c r="F104" s="4">
        <f t="shared" si="33"/>
        <v>0</v>
      </c>
      <c r="G104" s="186">
        <f t="shared" si="33"/>
        <v>0</v>
      </c>
      <c r="H104" s="189">
        <f t="shared" si="33"/>
        <v>32000</v>
      </c>
      <c r="I104" s="4">
        <f t="shared" si="33"/>
        <v>1043365.44</v>
      </c>
      <c r="J104" s="4">
        <f t="shared" si="33"/>
        <v>0</v>
      </c>
      <c r="K104" s="4">
        <f t="shared" si="33"/>
        <v>85000</v>
      </c>
      <c r="L104" s="4">
        <f t="shared" si="33"/>
        <v>0</v>
      </c>
      <c r="M104" s="4">
        <f t="shared" si="33"/>
        <v>0</v>
      </c>
      <c r="N104" s="5">
        <f t="shared" si="33"/>
        <v>1160365.44</v>
      </c>
      <c r="O104" s="189">
        <f t="shared" si="33"/>
        <v>10000</v>
      </c>
      <c r="P104" s="4">
        <f t="shared" si="33"/>
        <v>0</v>
      </c>
      <c r="Q104" s="4">
        <f t="shared" si="33"/>
        <v>0</v>
      </c>
      <c r="R104" s="4">
        <f t="shared" si="33"/>
        <v>0</v>
      </c>
      <c r="S104" s="4">
        <f t="shared" si="33"/>
        <v>10000</v>
      </c>
      <c r="T104" s="5">
        <f t="shared" si="33"/>
        <v>873878.44</v>
      </c>
    </row>
    <row r="105" spans="1:20" x14ac:dyDescent="0.25">
      <c r="A105" s="191">
        <v>611</v>
      </c>
      <c r="B105" s="190" t="s">
        <v>182</v>
      </c>
      <c r="C105" s="190"/>
      <c r="D105" s="4">
        <f t="shared" ref="D105:T105" si="34">SUM(D106:D108)</f>
        <v>0</v>
      </c>
      <c r="E105" s="4">
        <f t="shared" si="34"/>
        <v>0</v>
      </c>
      <c r="F105" s="4">
        <f t="shared" si="34"/>
        <v>0</v>
      </c>
      <c r="G105" s="186">
        <f t="shared" si="34"/>
        <v>0</v>
      </c>
      <c r="H105" s="189">
        <f t="shared" si="34"/>
        <v>0</v>
      </c>
      <c r="I105" s="4">
        <f t="shared" si="34"/>
        <v>17000</v>
      </c>
      <c r="J105" s="4">
        <f t="shared" si="34"/>
        <v>0</v>
      </c>
      <c r="K105" s="4">
        <f t="shared" si="34"/>
        <v>0</v>
      </c>
      <c r="L105" s="4">
        <f t="shared" si="34"/>
        <v>0</v>
      </c>
      <c r="M105" s="4">
        <f t="shared" si="34"/>
        <v>0</v>
      </c>
      <c r="N105" s="5">
        <f t="shared" si="34"/>
        <v>17000</v>
      </c>
      <c r="O105" s="189">
        <f t="shared" si="34"/>
        <v>10000</v>
      </c>
      <c r="P105" s="4">
        <f t="shared" si="34"/>
        <v>0</v>
      </c>
      <c r="Q105" s="4">
        <f t="shared" si="34"/>
        <v>0</v>
      </c>
      <c r="R105" s="4">
        <f t="shared" si="34"/>
        <v>0</v>
      </c>
      <c r="S105" s="4">
        <f t="shared" si="34"/>
        <v>10000</v>
      </c>
      <c r="T105" s="5">
        <f t="shared" si="34"/>
        <v>27000</v>
      </c>
    </row>
    <row r="106" spans="1:20" x14ac:dyDescent="0.25">
      <c r="A106" s="198">
        <v>61102</v>
      </c>
      <c r="B106" s="197" t="s">
        <v>183</v>
      </c>
      <c r="C106" s="197"/>
      <c r="D106" s="193"/>
      <c r="E106" s="193"/>
      <c r="F106" s="193"/>
      <c r="G106" s="196">
        <f>C106+D106+E106+F106</f>
        <v>0</v>
      </c>
      <c r="H106" s="194"/>
      <c r="I106" s="193">
        <v>17000</v>
      </c>
      <c r="J106" s="193"/>
      <c r="K106" s="193"/>
      <c r="L106" s="193"/>
      <c r="M106" s="193"/>
      <c r="N106" s="195">
        <f>SUM(H106:M106)</f>
        <v>17000</v>
      </c>
      <c r="O106" s="194"/>
      <c r="P106" s="193"/>
      <c r="Q106" s="193"/>
      <c r="R106" s="193"/>
      <c r="S106" s="193">
        <f>SUM(O106:R106)</f>
        <v>0</v>
      </c>
      <c r="T106" s="192">
        <f>S106+N106+G106</f>
        <v>17000</v>
      </c>
    </row>
    <row r="107" spans="1:20" x14ac:dyDescent="0.25">
      <c r="A107" s="198">
        <v>61104</v>
      </c>
      <c r="B107" s="197" t="s">
        <v>184</v>
      </c>
      <c r="C107" s="197"/>
      <c r="D107" s="193"/>
      <c r="E107" s="193"/>
      <c r="F107" s="193"/>
      <c r="G107" s="196">
        <f>C107+D107+E107+F107</f>
        <v>0</v>
      </c>
      <c r="H107" s="194"/>
      <c r="I107" s="193"/>
      <c r="J107" s="193"/>
      <c r="K107" s="193"/>
      <c r="L107" s="193"/>
      <c r="M107" s="193"/>
      <c r="N107" s="195">
        <f>SUM(H107:M107)</f>
        <v>0</v>
      </c>
      <c r="O107" s="194">
        <v>6000</v>
      </c>
      <c r="P107" s="193"/>
      <c r="Q107" s="193"/>
      <c r="R107" s="193"/>
      <c r="S107" s="193">
        <f>SUM(O107:R107)</f>
        <v>6000</v>
      </c>
      <c r="T107" s="192">
        <f>S107+N107+G107</f>
        <v>6000</v>
      </c>
    </row>
    <row r="108" spans="1:20" x14ac:dyDescent="0.25">
      <c r="A108" s="198">
        <v>61199</v>
      </c>
      <c r="B108" s="197" t="s">
        <v>185</v>
      </c>
      <c r="C108" s="197"/>
      <c r="D108" s="193"/>
      <c r="E108" s="193"/>
      <c r="F108" s="193"/>
      <c r="G108" s="196">
        <f>C108+D108+E108+F108</f>
        <v>0</v>
      </c>
      <c r="H108" s="194"/>
      <c r="I108" s="193"/>
      <c r="J108" s="193"/>
      <c r="K108" s="193"/>
      <c r="L108" s="193"/>
      <c r="M108" s="193"/>
      <c r="N108" s="195">
        <f>SUM(H108:M108)</f>
        <v>0</v>
      </c>
      <c r="O108" s="194">
        <v>4000</v>
      </c>
      <c r="P108" s="193"/>
      <c r="Q108" s="193"/>
      <c r="R108" s="193"/>
      <c r="S108" s="193">
        <f>SUM(O108:R108)</f>
        <v>4000</v>
      </c>
      <c r="T108" s="192">
        <f>S108+N108+G108</f>
        <v>4000</v>
      </c>
    </row>
    <row r="109" spans="1:20" x14ac:dyDescent="0.25">
      <c r="A109" s="191">
        <v>612</v>
      </c>
      <c r="B109" s="190" t="s">
        <v>186</v>
      </c>
      <c r="C109" s="190"/>
      <c r="D109" s="4">
        <f t="shared" ref="D109:T109" si="35">D110</f>
        <v>0</v>
      </c>
      <c r="E109" s="4">
        <f t="shared" si="35"/>
        <v>0</v>
      </c>
      <c r="F109" s="4">
        <f t="shared" si="35"/>
        <v>0</v>
      </c>
      <c r="G109" s="186">
        <f t="shared" si="35"/>
        <v>0</v>
      </c>
      <c r="H109" s="189">
        <f t="shared" si="35"/>
        <v>0</v>
      </c>
      <c r="I109" s="4">
        <f t="shared" si="35"/>
        <v>35000</v>
      </c>
      <c r="J109" s="4">
        <f t="shared" si="35"/>
        <v>0</v>
      </c>
      <c r="K109" s="4">
        <f t="shared" si="35"/>
        <v>0</v>
      </c>
      <c r="L109" s="4">
        <f t="shared" si="35"/>
        <v>0</v>
      </c>
      <c r="M109" s="4">
        <f t="shared" si="35"/>
        <v>0</v>
      </c>
      <c r="N109" s="5">
        <f t="shared" si="35"/>
        <v>35000</v>
      </c>
      <c r="O109" s="189">
        <f t="shared" si="35"/>
        <v>0</v>
      </c>
      <c r="P109" s="4">
        <f t="shared" si="35"/>
        <v>0</v>
      </c>
      <c r="Q109" s="4">
        <f t="shared" si="35"/>
        <v>0</v>
      </c>
      <c r="R109" s="4">
        <f t="shared" si="35"/>
        <v>0</v>
      </c>
      <c r="S109" s="4">
        <f t="shared" si="35"/>
        <v>0</v>
      </c>
      <c r="T109" s="5">
        <f t="shared" si="35"/>
        <v>35000</v>
      </c>
    </row>
    <row r="110" spans="1:20" x14ac:dyDescent="0.25">
      <c r="A110" s="198">
        <v>61201</v>
      </c>
      <c r="B110" s="197" t="s">
        <v>187</v>
      </c>
      <c r="C110" s="197"/>
      <c r="D110" s="193"/>
      <c r="E110" s="193"/>
      <c r="F110" s="193"/>
      <c r="G110" s="196">
        <f>C110+D110+E110+F110</f>
        <v>0</v>
      </c>
      <c r="H110" s="194"/>
      <c r="I110" s="193">
        <v>35000</v>
      </c>
      <c r="J110" s="193"/>
      <c r="K110" s="193"/>
      <c r="L110" s="193"/>
      <c r="M110" s="193"/>
      <c r="N110" s="195">
        <f>SUM(H110:M110)</f>
        <v>35000</v>
      </c>
      <c r="O110" s="194"/>
      <c r="P110" s="193"/>
      <c r="Q110" s="193"/>
      <c r="R110" s="193"/>
      <c r="S110" s="193">
        <f>SUM(O110:R110)</f>
        <v>0</v>
      </c>
      <c r="T110" s="192">
        <f>S110+N110+G110</f>
        <v>35000</v>
      </c>
    </row>
    <row r="111" spans="1:20" x14ac:dyDescent="0.25">
      <c r="A111" s="198">
        <v>615</v>
      </c>
      <c r="B111" s="190" t="s">
        <v>188</v>
      </c>
      <c r="C111" s="190"/>
      <c r="D111" s="4">
        <f t="shared" ref="D111:T111" si="36">D112</f>
        <v>0</v>
      </c>
      <c r="E111" s="4">
        <f t="shared" si="36"/>
        <v>0</v>
      </c>
      <c r="F111" s="4">
        <f t="shared" si="36"/>
        <v>0</v>
      </c>
      <c r="G111" s="186">
        <f t="shared" si="36"/>
        <v>0</v>
      </c>
      <c r="H111" s="189">
        <f t="shared" si="36"/>
        <v>32000</v>
      </c>
      <c r="I111" s="4">
        <f t="shared" si="36"/>
        <v>0</v>
      </c>
      <c r="J111" s="4">
        <f t="shared" si="36"/>
        <v>0</v>
      </c>
      <c r="K111" s="4">
        <f t="shared" si="36"/>
        <v>0</v>
      </c>
      <c r="L111" s="4">
        <f t="shared" si="36"/>
        <v>0</v>
      </c>
      <c r="M111" s="4">
        <f t="shared" si="36"/>
        <v>0</v>
      </c>
      <c r="N111" s="5">
        <f t="shared" si="36"/>
        <v>32000</v>
      </c>
      <c r="O111" s="189">
        <f t="shared" si="36"/>
        <v>0</v>
      </c>
      <c r="P111" s="4">
        <f t="shared" si="36"/>
        <v>0</v>
      </c>
      <c r="Q111" s="4">
        <f t="shared" si="36"/>
        <v>0</v>
      </c>
      <c r="R111" s="4">
        <f t="shared" si="36"/>
        <v>0</v>
      </c>
      <c r="S111" s="4">
        <f t="shared" si="36"/>
        <v>0</v>
      </c>
      <c r="T111" s="5">
        <f t="shared" si="36"/>
        <v>32000</v>
      </c>
    </row>
    <row r="112" spans="1:20" x14ac:dyDescent="0.25">
      <c r="A112" s="198">
        <v>61599</v>
      </c>
      <c r="B112" s="197" t="s">
        <v>189</v>
      </c>
      <c r="C112" s="197"/>
      <c r="D112" s="193"/>
      <c r="E112" s="193"/>
      <c r="F112" s="193"/>
      <c r="G112" s="196">
        <f>C112+D112+E112+F112</f>
        <v>0</v>
      </c>
      <c r="H112" s="194">
        <v>32000</v>
      </c>
      <c r="I112" s="193"/>
      <c r="J112" s="193"/>
      <c r="K112" s="193"/>
      <c r="L112" s="193"/>
      <c r="M112" s="193"/>
      <c r="N112" s="195">
        <f>SUM(H112:M112)</f>
        <v>32000</v>
      </c>
      <c r="O112" s="194"/>
      <c r="P112" s="193"/>
      <c r="Q112" s="193"/>
      <c r="R112" s="193"/>
      <c r="S112" s="193">
        <f>SUM(O112:R112)</f>
        <v>0</v>
      </c>
      <c r="T112" s="192">
        <f>S112+N112+G112</f>
        <v>32000</v>
      </c>
    </row>
    <row r="113" spans="1:20" x14ac:dyDescent="0.25">
      <c r="A113" s="191">
        <v>616</v>
      </c>
      <c r="B113" s="190" t="s">
        <v>190</v>
      </c>
      <c r="C113" s="190"/>
      <c r="D113" s="4">
        <f>SUM(D114:D118)</f>
        <v>0</v>
      </c>
      <c r="E113" s="4">
        <f>SUM(E114:E118)</f>
        <v>0</v>
      </c>
      <c r="F113" s="4">
        <f>SUM(F114:F118)</f>
        <v>0</v>
      </c>
      <c r="G113" s="186">
        <f>SUM(G114:G118)</f>
        <v>0</v>
      </c>
      <c r="H113" s="189">
        <f>SUM(H114:H118)</f>
        <v>0</v>
      </c>
      <c r="I113" s="4">
        <f t="shared" ref="I113:N113" si="37">SUM(I114:I120)</f>
        <v>991365.44</v>
      </c>
      <c r="J113" s="4">
        <f t="shared" si="37"/>
        <v>0</v>
      </c>
      <c r="K113" s="4">
        <f t="shared" si="37"/>
        <v>85000</v>
      </c>
      <c r="L113" s="4">
        <f t="shared" si="37"/>
        <v>0</v>
      </c>
      <c r="M113" s="4">
        <f t="shared" si="37"/>
        <v>0</v>
      </c>
      <c r="N113" s="5">
        <f t="shared" si="37"/>
        <v>1076365.44</v>
      </c>
      <c r="O113" s="189">
        <f t="shared" ref="O113:T113" si="38">SUM(O114:O118)</f>
        <v>0</v>
      </c>
      <c r="P113" s="4">
        <f t="shared" si="38"/>
        <v>0</v>
      </c>
      <c r="Q113" s="4">
        <f t="shared" si="38"/>
        <v>0</v>
      </c>
      <c r="R113" s="4">
        <f t="shared" si="38"/>
        <v>0</v>
      </c>
      <c r="S113" s="4">
        <f t="shared" si="38"/>
        <v>0</v>
      </c>
      <c r="T113" s="5">
        <f t="shared" si="38"/>
        <v>779878.44</v>
      </c>
    </row>
    <row r="114" spans="1:20" x14ac:dyDescent="0.25">
      <c r="A114" s="198">
        <v>61601</v>
      </c>
      <c r="B114" s="197" t="s">
        <v>191</v>
      </c>
      <c r="C114" s="197"/>
      <c r="D114" s="193"/>
      <c r="E114" s="193"/>
      <c r="F114" s="193"/>
      <c r="G114" s="196">
        <f t="shared" ref="G114:G120" si="39">C114+D114+E114+F114</f>
        <v>0</v>
      </c>
      <c r="H114" s="194"/>
      <c r="I114" s="193">
        <v>264891.59000000003</v>
      </c>
      <c r="J114" s="193"/>
      <c r="K114" s="193"/>
      <c r="L114" s="193"/>
      <c r="M114" s="193"/>
      <c r="N114" s="195">
        <f t="shared" ref="N114:N120" si="40">SUM(H114:M114)</f>
        <v>264891.59000000003</v>
      </c>
      <c r="O114" s="194"/>
      <c r="P114" s="193"/>
      <c r="Q114" s="193"/>
      <c r="R114" s="193"/>
      <c r="S114" s="193">
        <f t="shared" ref="S114:S120" si="41">SUM(O114:R114)</f>
        <v>0</v>
      </c>
      <c r="T114" s="192">
        <f t="shared" ref="T114:T120" si="42">S114+N114+G114</f>
        <v>264891.59000000003</v>
      </c>
    </row>
    <row r="115" spans="1:20" x14ac:dyDescent="0.25">
      <c r="A115" s="198">
        <v>61603</v>
      </c>
      <c r="B115" s="197" t="s">
        <v>192</v>
      </c>
      <c r="C115" s="197"/>
      <c r="D115" s="193"/>
      <c r="E115" s="193"/>
      <c r="F115" s="193"/>
      <c r="G115" s="196">
        <f t="shared" si="39"/>
        <v>0</v>
      </c>
      <c r="H115" s="194"/>
      <c r="I115" s="193">
        <v>363986.85</v>
      </c>
      <c r="J115" s="193"/>
      <c r="K115" s="193"/>
      <c r="L115" s="193"/>
      <c r="M115" s="193"/>
      <c r="N115" s="195">
        <f t="shared" si="40"/>
        <v>363986.85</v>
      </c>
      <c r="O115" s="194"/>
      <c r="P115" s="193"/>
      <c r="Q115" s="193"/>
      <c r="R115" s="193"/>
      <c r="S115" s="193">
        <f t="shared" si="41"/>
        <v>0</v>
      </c>
      <c r="T115" s="192">
        <f t="shared" si="42"/>
        <v>363986.85</v>
      </c>
    </row>
    <row r="116" spans="1:20" x14ac:dyDescent="0.25">
      <c r="A116" s="198">
        <v>61606</v>
      </c>
      <c r="B116" s="197" t="s">
        <v>193</v>
      </c>
      <c r="C116" s="197"/>
      <c r="D116" s="193"/>
      <c r="E116" s="193"/>
      <c r="F116" s="193"/>
      <c r="G116" s="196">
        <f t="shared" si="39"/>
        <v>0</v>
      </c>
      <c r="H116" s="194"/>
      <c r="I116" s="193">
        <v>33000</v>
      </c>
      <c r="J116" s="193"/>
      <c r="K116" s="193"/>
      <c r="L116" s="193"/>
      <c r="M116" s="193"/>
      <c r="N116" s="195">
        <f t="shared" si="40"/>
        <v>33000</v>
      </c>
      <c r="O116" s="194"/>
      <c r="P116" s="193"/>
      <c r="Q116" s="193"/>
      <c r="R116" s="193"/>
      <c r="S116" s="193">
        <f t="shared" si="41"/>
        <v>0</v>
      </c>
      <c r="T116" s="192">
        <f t="shared" si="42"/>
        <v>33000</v>
      </c>
    </row>
    <row r="117" spans="1:20" x14ac:dyDescent="0.25">
      <c r="A117" s="198">
        <v>61608</v>
      </c>
      <c r="B117" s="197" t="s">
        <v>194</v>
      </c>
      <c r="C117" s="197"/>
      <c r="D117" s="193"/>
      <c r="E117" s="193"/>
      <c r="F117" s="193"/>
      <c r="G117" s="196">
        <f t="shared" si="39"/>
        <v>0</v>
      </c>
      <c r="H117" s="194"/>
      <c r="I117" s="193"/>
      <c r="J117" s="193"/>
      <c r="K117" s="193"/>
      <c r="L117" s="193"/>
      <c r="M117" s="193"/>
      <c r="N117" s="195">
        <f t="shared" si="40"/>
        <v>0</v>
      </c>
      <c r="O117" s="194"/>
      <c r="P117" s="193"/>
      <c r="Q117" s="193"/>
      <c r="R117" s="193"/>
      <c r="S117" s="193">
        <f t="shared" si="41"/>
        <v>0</v>
      </c>
      <c r="T117" s="192">
        <f t="shared" si="42"/>
        <v>0</v>
      </c>
    </row>
    <row r="118" spans="1:20" x14ac:dyDescent="0.25">
      <c r="A118" s="198">
        <v>61609</v>
      </c>
      <c r="B118" s="197" t="s">
        <v>195</v>
      </c>
      <c r="C118" s="197"/>
      <c r="D118" s="193"/>
      <c r="E118" s="193"/>
      <c r="F118" s="193"/>
      <c r="G118" s="196">
        <f t="shared" si="39"/>
        <v>0</v>
      </c>
      <c r="H118" s="194"/>
      <c r="I118" s="193">
        <v>33000</v>
      </c>
      <c r="J118" s="193"/>
      <c r="K118" s="193">
        <v>85000</v>
      </c>
      <c r="L118" s="193"/>
      <c r="M118" s="193"/>
      <c r="N118" s="195">
        <f t="shared" si="40"/>
        <v>118000</v>
      </c>
      <c r="O118" s="194"/>
      <c r="P118" s="193"/>
      <c r="Q118" s="193"/>
      <c r="R118" s="193"/>
      <c r="S118" s="193">
        <f t="shared" si="41"/>
        <v>0</v>
      </c>
      <c r="T118" s="192">
        <f t="shared" si="42"/>
        <v>118000</v>
      </c>
    </row>
    <row r="119" spans="1:20" x14ac:dyDescent="0.25">
      <c r="A119" s="198">
        <v>61610</v>
      </c>
      <c r="B119" s="197" t="s">
        <v>196</v>
      </c>
      <c r="C119" s="197"/>
      <c r="D119" s="193"/>
      <c r="E119" s="193"/>
      <c r="F119" s="193"/>
      <c r="G119" s="196">
        <f t="shared" si="39"/>
        <v>0</v>
      </c>
      <c r="H119" s="194"/>
      <c r="I119" s="193">
        <v>286487</v>
      </c>
      <c r="J119" s="193"/>
      <c r="K119" s="193"/>
      <c r="L119" s="193"/>
      <c r="M119" s="193"/>
      <c r="N119" s="195">
        <f t="shared" si="40"/>
        <v>286487</v>
      </c>
      <c r="O119" s="194"/>
      <c r="P119" s="193"/>
      <c r="Q119" s="193"/>
      <c r="R119" s="193"/>
      <c r="S119" s="193">
        <f t="shared" si="41"/>
        <v>0</v>
      </c>
      <c r="T119" s="192">
        <f t="shared" si="42"/>
        <v>286487</v>
      </c>
    </row>
    <row r="120" spans="1:20" x14ac:dyDescent="0.25">
      <c r="A120" s="198">
        <v>61611</v>
      </c>
      <c r="B120" s="197" t="s">
        <v>197</v>
      </c>
      <c r="C120" s="197"/>
      <c r="D120" s="193"/>
      <c r="E120" s="193"/>
      <c r="F120" s="193"/>
      <c r="G120" s="196">
        <f t="shared" si="39"/>
        <v>0</v>
      </c>
      <c r="H120" s="194"/>
      <c r="I120" s="193">
        <v>10000</v>
      </c>
      <c r="J120" s="193"/>
      <c r="K120" s="193"/>
      <c r="L120" s="193"/>
      <c r="M120" s="193"/>
      <c r="N120" s="195">
        <f t="shared" si="40"/>
        <v>10000</v>
      </c>
      <c r="O120" s="194"/>
      <c r="P120" s="193"/>
      <c r="Q120" s="193"/>
      <c r="R120" s="193"/>
      <c r="S120" s="193">
        <f t="shared" si="41"/>
        <v>0</v>
      </c>
      <c r="T120" s="192">
        <f t="shared" si="42"/>
        <v>10000</v>
      </c>
    </row>
    <row r="121" spans="1:20" x14ac:dyDescent="0.25">
      <c r="A121" s="191">
        <v>71</v>
      </c>
      <c r="B121" s="190" t="s">
        <v>198</v>
      </c>
      <c r="C121" s="190"/>
      <c r="D121" s="4">
        <f t="shared" ref="D121:M122" si="43">D122</f>
        <v>0</v>
      </c>
      <c r="E121" s="4">
        <f t="shared" si="43"/>
        <v>0</v>
      </c>
      <c r="F121" s="4">
        <f t="shared" si="43"/>
        <v>0</v>
      </c>
      <c r="G121" s="186">
        <f t="shared" si="43"/>
        <v>0</v>
      </c>
      <c r="H121" s="189">
        <f t="shared" si="43"/>
        <v>0</v>
      </c>
      <c r="I121" s="4">
        <f t="shared" si="43"/>
        <v>0</v>
      </c>
      <c r="J121" s="4">
        <f t="shared" si="43"/>
        <v>0</v>
      </c>
      <c r="K121" s="4">
        <f t="shared" si="43"/>
        <v>0</v>
      </c>
      <c r="L121" s="4">
        <f t="shared" si="43"/>
        <v>0</v>
      </c>
      <c r="M121" s="4">
        <f t="shared" si="43"/>
        <v>365780.4</v>
      </c>
      <c r="N121" s="5">
        <f t="shared" ref="N121:T122" si="44">N122</f>
        <v>365780.4</v>
      </c>
      <c r="O121" s="189">
        <f t="shared" si="44"/>
        <v>0</v>
      </c>
      <c r="P121" s="4">
        <f t="shared" si="44"/>
        <v>0</v>
      </c>
      <c r="Q121" s="4">
        <f t="shared" si="44"/>
        <v>0</v>
      </c>
      <c r="R121" s="4">
        <f t="shared" si="44"/>
        <v>0</v>
      </c>
      <c r="S121" s="4">
        <f t="shared" si="44"/>
        <v>0</v>
      </c>
      <c r="T121" s="5">
        <f t="shared" si="44"/>
        <v>365780.4</v>
      </c>
    </row>
    <row r="122" spans="1:20" x14ac:dyDescent="0.25">
      <c r="A122" s="191">
        <v>713</v>
      </c>
      <c r="B122" s="190" t="s">
        <v>199</v>
      </c>
      <c r="C122" s="190"/>
      <c r="D122" s="4">
        <f t="shared" si="43"/>
        <v>0</v>
      </c>
      <c r="E122" s="4">
        <f t="shared" si="43"/>
        <v>0</v>
      </c>
      <c r="F122" s="4">
        <f t="shared" si="43"/>
        <v>0</v>
      </c>
      <c r="G122" s="186">
        <f t="shared" si="43"/>
        <v>0</v>
      </c>
      <c r="H122" s="189">
        <f t="shared" si="43"/>
        <v>0</v>
      </c>
      <c r="I122" s="4">
        <f t="shared" si="43"/>
        <v>0</v>
      </c>
      <c r="J122" s="4">
        <f t="shared" si="43"/>
        <v>0</v>
      </c>
      <c r="K122" s="4">
        <f t="shared" si="43"/>
        <v>0</v>
      </c>
      <c r="L122" s="4">
        <f t="shared" si="43"/>
        <v>0</v>
      </c>
      <c r="M122" s="4">
        <f t="shared" si="43"/>
        <v>365780.4</v>
      </c>
      <c r="N122" s="5">
        <f t="shared" si="44"/>
        <v>365780.4</v>
      </c>
      <c r="O122" s="189">
        <f t="shared" si="44"/>
        <v>0</v>
      </c>
      <c r="P122" s="4">
        <f t="shared" si="44"/>
        <v>0</v>
      </c>
      <c r="Q122" s="4">
        <f t="shared" si="44"/>
        <v>0</v>
      </c>
      <c r="R122" s="4">
        <f t="shared" si="44"/>
        <v>0</v>
      </c>
      <c r="S122" s="4">
        <f t="shared" si="44"/>
        <v>0</v>
      </c>
      <c r="T122" s="5">
        <f t="shared" si="44"/>
        <v>365780.4</v>
      </c>
    </row>
    <row r="123" spans="1:20" x14ac:dyDescent="0.25">
      <c r="A123" s="198">
        <v>71304</v>
      </c>
      <c r="B123" s="197" t="s">
        <v>167</v>
      </c>
      <c r="C123" s="197"/>
      <c r="D123" s="193"/>
      <c r="E123" s="193"/>
      <c r="F123" s="193"/>
      <c r="G123" s="196">
        <f>C123+D123+E123+F123</f>
        <v>0</v>
      </c>
      <c r="H123" s="194"/>
      <c r="I123" s="193"/>
      <c r="J123" s="193"/>
      <c r="K123" s="193"/>
      <c r="L123" s="193"/>
      <c r="M123" s="199">
        <v>365780.4</v>
      </c>
      <c r="N123" s="195">
        <f>SUM(H123:M123)</f>
        <v>365780.4</v>
      </c>
      <c r="O123" s="194"/>
      <c r="P123" s="193"/>
      <c r="Q123" s="193"/>
      <c r="R123" s="193"/>
      <c r="S123" s="193">
        <f>SUM(O123:R123)</f>
        <v>0</v>
      </c>
      <c r="T123" s="192">
        <f>S123+N123+G123</f>
        <v>365780.4</v>
      </c>
    </row>
    <row r="124" spans="1:20" x14ac:dyDescent="0.25">
      <c r="A124" s="191">
        <v>72</v>
      </c>
      <c r="B124" s="190" t="s">
        <v>200</v>
      </c>
      <c r="C124" s="190"/>
      <c r="D124" s="4">
        <f t="shared" ref="D124:M125" si="45">D125</f>
        <v>0</v>
      </c>
      <c r="E124" s="4">
        <f t="shared" si="45"/>
        <v>0</v>
      </c>
      <c r="F124" s="4">
        <f t="shared" si="45"/>
        <v>0</v>
      </c>
      <c r="G124" s="186">
        <f t="shared" si="45"/>
        <v>0</v>
      </c>
      <c r="H124" s="189">
        <f t="shared" si="45"/>
        <v>0</v>
      </c>
      <c r="I124" s="4">
        <f t="shared" si="45"/>
        <v>0</v>
      </c>
      <c r="J124" s="4">
        <f t="shared" si="45"/>
        <v>0</v>
      </c>
      <c r="K124" s="4">
        <f t="shared" si="45"/>
        <v>0</v>
      </c>
      <c r="L124" s="4">
        <f t="shared" si="45"/>
        <v>0</v>
      </c>
      <c r="M124" s="4">
        <f t="shared" si="45"/>
        <v>0</v>
      </c>
      <c r="N124" s="5">
        <f t="shared" ref="N124:T125" si="46">N125</f>
        <v>0</v>
      </c>
      <c r="O124" s="189">
        <f t="shared" si="46"/>
        <v>0</v>
      </c>
      <c r="P124" s="4">
        <f t="shared" si="46"/>
        <v>0</v>
      </c>
      <c r="Q124" s="4">
        <f t="shared" si="46"/>
        <v>0</v>
      </c>
      <c r="R124" s="4">
        <f t="shared" si="46"/>
        <v>0</v>
      </c>
      <c r="S124" s="4">
        <f t="shared" si="46"/>
        <v>0</v>
      </c>
      <c r="T124" s="5">
        <f t="shared" si="46"/>
        <v>0</v>
      </c>
    </row>
    <row r="125" spans="1:20" x14ac:dyDescent="0.25">
      <c r="A125" s="191">
        <v>721</v>
      </c>
      <c r="B125" s="190" t="s">
        <v>201</v>
      </c>
      <c r="C125" s="190"/>
      <c r="D125" s="4">
        <f t="shared" si="45"/>
        <v>0</v>
      </c>
      <c r="E125" s="4">
        <f t="shared" si="45"/>
        <v>0</v>
      </c>
      <c r="F125" s="4">
        <f t="shared" si="45"/>
        <v>0</v>
      </c>
      <c r="G125" s="186">
        <f t="shared" si="45"/>
        <v>0</v>
      </c>
      <c r="H125" s="189">
        <f t="shared" si="45"/>
        <v>0</v>
      </c>
      <c r="I125" s="4">
        <f t="shared" si="45"/>
        <v>0</v>
      </c>
      <c r="J125" s="4">
        <f t="shared" si="45"/>
        <v>0</v>
      </c>
      <c r="K125" s="4">
        <f t="shared" si="45"/>
        <v>0</v>
      </c>
      <c r="L125" s="4">
        <f t="shared" si="45"/>
        <v>0</v>
      </c>
      <c r="M125" s="4">
        <f t="shared" si="45"/>
        <v>0</v>
      </c>
      <c r="N125" s="5">
        <f t="shared" si="46"/>
        <v>0</v>
      </c>
      <c r="O125" s="189">
        <f t="shared" si="46"/>
        <v>0</v>
      </c>
      <c r="P125" s="4">
        <f t="shared" si="46"/>
        <v>0</v>
      </c>
      <c r="Q125" s="4">
        <f t="shared" si="46"/>
        <v>0</v>
      </c>
      <c r="R125" s="4">
        <f t="shared" si="46"/>
        <v>0</v>
      </c>
      <c r="S125" s="4">
        <f t="shared" si="46"/>
        <v>0</v>
      </c>
      <c r="T125" s="5">
        <f t="shared" si="46"/>
        <v>0</v>
      </c>
    </row>
    <row r="126" spans="1:20" x14ac:dyDescent="0.25">
      <c r="A126" s="198">
        <v>72101</v>
      </c>
      <c r="B126" s="197" t="s">
        <v>201</v>
      </c>
      <c r="C126" s="197"/>
      <c r="D126" s="193"/>
      <c r="E126" s="193"/>
      <c r="F126" s="193"/>
      <c r="G126" s="196">
        <f>C126+D126+E126+F126</f>
        <v>0</v>
      </c>
      <c r="H126" s="194"/>
      <c r="I126" s="193"/>
      <c r="J126" s="193"/>
      <c r="K126" s="193"/>
      <c r="L126" s="193"/>
      <c r="M126" s="193"/>
      <c r="N126" s="195">
        <f>SUM(H126:M126)</f>
        <v>0</v>
      </c>
      <c r="O126" s="194"/>
      <c r="P126" s="193"/>
      <c r="Q126" s="193"/>
      <c r="R126" s="193"/>
      <c r="S126" s="193">
        <f>SUM(O126:R126)</f>
        <v>0</v>
      </c>
      <c r="T126" s="192">
        <f>S126+N126+G126</f>
        <v>0</v>
      </c>
    </row>
    <row r="127" spans="1:20" x14ac:dyDescent="0.25">
      <c r="A127" s="191" t="s">
        <v>202</v>
      </c>
      <c r="B127" s="190" t="s">
        <v>203</v>
      </c>
      <c r="C127" s="4">
        <f t="shared" ref="C127:T127" si="47">C9+C35+C86+C96+C104+C121+C124</f>
        <v>244505.59</v>
      </c>
      <c r="D127" s="4">
        <f t="shared" si="47"/>
        <v>110071</v>
      </c>
      <c r="E127" s="4">
        <f t="shared" si="47"/>
        <v>39543</v>
      </c>
      <c r="F127" s="4">
        <f t="shared" si="47"/>
        <v>114595.69</v>
      </c>
      <c r="G127" s="4">
        <f t="shared" si="47"/>
        <v>508715.27999999997</v>
      </c>
      <c r="H127" s="4">
        <f t="shared" si="47"/>
        <v>32000</v>
      </c>
      <c r="I127" s="4">
        <f t="shared" si="47"/>
        <v>1043365.44</v>
      </c>
      <c r="J127" s="4">
        <f t="shared" si="47"/>
        <v>0</v>
      </c>
      <c r="K127" s="4">
        <f t="shared" si="47"/>
        <v>85000</v>
      </c>
      <c r="L127" s="4">
        <f t="shared" si="47"/>
        <v>0</v>
      </c>
      <c r="M127" s="4">
        <f t="shared" si="47"/>
        <v>365780.4</v>
      </c>
      <c r="N127" s="4">
        <f t="shared" si="47"/>
        <v>1526145.8399999999</v>
      </c>
      <c r="O127" s="4">
        <f t="shared" si="47"/>
        <v>284723</v>
      </c>
      <c r="P127" s="4">
        <f t="shared" si="47"/>
        <v>63235.96</v>
      </c>
      <c r="Q127" s="4">
        <f t="shared" si="47"/>
        <v>13997.56</v>
      </c>
      <c r="R127" s="4">
        <f t="shared" si="47"/>
        <v>86897.23</v>
      </c>
      <c r="S127" s="4">
        <f>S9+S35+S86+S96+S104+S121+S124</f>
        <v>448853.75</v>
      </c>
      <c r="T127" s="4">
        <f t="shared" si="47"/>
        <v>1903425.71</v>
      </c>
    </row>
    <row r="128" spans="1:20" x14ac:dyDescent="0.25">
      <c r="A128" s="191" t="s">
        <v>202</v>
      </c>
      <c r="B128" s="190" t="s">
        <v>204</v>
      </c>
      <c r="C128" s="4">
        <f t="shared" ref="C128:L129" si="48">C127</f>
        <v>244505.59</v>
      </c>
      <c r="D128" s="4">
        <f t="shared" si="48"/>
        <v>110071</v>
      </c>
      <c r="E128" s="4">
        <f t="shared" si="48"/>
        <v>39543</v>
      </c>
      <c r="F128" s="4">
        <f t="shared" si="48"/>
        <v>114595.69</v>
      </c>
      <c r="G128" s="186">
        <f t="shared" si="48"/>
        <v>508715.27999999997</v>
      </c>
      <c r="H128" s="189">
        <f t="shared" si="48"/>
        <v>32000</v>
      </c>
      <c r="I128" s="4">
        <f t="shared" si="48"/>
        <v>1043365.44</v>
      </c>
      <c r="J128" s="4">
        <f t="shared" si="48"/>
        <v>0</v>
      </c>
      <c r="K128" s="4">
        <f t="shared" si="48"/>
        <v>85000</v>
      </c>
      <c r="L128" s="4">
        <f t="shared" si="48"/>
        <v>0</v>
      </c>
      <c r="M128" s="4">
        <f t="shared" ref="M128:T129" si="49">M127</f>
        <v>365780.4</v>
      </c>
      <c r="N128" s="5">
        <f t="shared" si="49"/>
        <v>1526145.8399999999</v>
      </c>
      <c r="O128" s="189">
        <f t="shared" si="49"/>
        <v>284723</v>
      </c>
      <c r="P128" s="4">
        <f t="shared" si="49"/>
        <v>63235.96</v>
      </c>
      <c r="Q128" s="4">
        <f t="shared" si="49"/>
        <v>13997.56</v>
      </c>
      <c r="R128" s="4">
        <f t="shared" si="49"/>
        <v>86897.23</v>
      </c>
      <c r="S128" s="4">
        <f>S127</f>
        <v>448853.75</v>
      </c>
      <c r="T128" s="5">
        <f t="shared" si="49"/>
        <v>1903425.71</v>
      </c>
    </row>
    <row r="129" spans="1:20" ht="15.75" thickBot="1" x14ac:dyDescent="0.3">
      <c r="A129" s="188" t="s">
        <v>205</v>
      </c>
      <c r="B129" s="187"/>
      <c r="C129" s="4">
        <f t="shared" si="48"/>
        <v>244505.59</v>
      </c>
      <c r="D129" s="4">
        <f t="shared" si="48"/>
        <v>110071</v>
      </c>
      <c r="E129" s="4">
        <f t="shared" si="48"/>
        <v>39543</v>
      </c>
      <c r="F129" s="4">
        <f t="shared" si="48"/>
        <v>114595.69</v>
      </c>
      <c r="G129" s="186">
        <f t="shared" si="48"/>
        <v>508715.27999999997</v>
      </c>
      <c r="H129" s="185">
        <f t="shared" si="48"/>
        <v>32000</v>
      </c>
      <c r="I129" s="184">
        <f t="shared" si="48"/>
        <v>1043365.44</v>
      </c>
      <c r="J129" s="184">
        <f t="shared" si="48"/>
        <v>0</v>
      </c>
      <c r="K129" s="184">
        <f t="shared" si="48"/>
        <v>85000</v>
      </c>
      <c r="L129" s="184">
        <f t="shared" si="48"/>
        <v>0</v>
      </c>
      <c r="M129" s="184">
        <f t="shared" si="49"/>
        <v>365780.4</v>
      </c>
      <c r="N129" s="183">
        <f t="shared" si="49"/>
        <v>1526145.8399999999</v>
      </c>
      <c r="O129" s="185">
        <f t="shared" si="49"/>
        <v>284723</v>
      </c>
      <c r="P129" s="184">
        <f t="shared" si="49"/>
        <v>63235.96</v>
      </c>
      <c r="Q129" s="184">
        <f t="shared" si="49"/>
        <v>13997.56</v>
      </c>
      <c r="R129" s="184">
        <f t="shared" si="49"/>
        <v>86897.23</v>
      </c>
      <c r="S129" s="184">
        <f>S128</f>
        <v>448853.75</v>
      </c>
      <c r="T129" s="183">
        <f t="shared" si="49"/>
        <v>1903425.71</v>
      </c>
    </row>
    <row r="130" spans="1:20" hidden="1" x14ac:dyDescent="0.25"/>
    <row r="131" spans="1:20" hidden="1" x14ac:dyDescent="0.25"/>
    <row r="132" spans="1:20" hidden="1" x14ac:dyDescent="0.25">
      <c r="R132" s="305"/>
      <c r="S132" s="182">
        <v>434063.79</v>
      </c>
      <c r="T132" s="306">
        <v>317393.84000000003</v>
      </c>
    </row>
    <row r="133" spans="1:20" hidden="1" x14ac:dyDescent="0.25">
      <c r="S133" s="307">
        <f>S132-S127</f>
        <v>-14789.960000000021</v>
      </c>
    </row>
    <row r="134" spans="1:20" hidden="1" x14ac:dyDescent="0.25"/>
    <row r="135" spans="1:20" hidden="1" x14ac:dyDescent="0.25"/>
    <row r="136" spans="1:20" hidden="1" x14ac:dyDescent="0.25"/>
    <row r="137" spans="1:20" hidden="1" x14ac:dyDescent="0.25"/>
    <row r="138" spans="1:20" hidden="1" x14ac:dyDescent="0.25"/>
    <row r="139" spans="1:20" hidden="1" x14ac:dyDescent="0.25"/>
    <row r="140" spans="1:20" hidden="1" x14ac:dyDescent="0.25"/>
    <row r="141" spans="1:20" hidden="1" x14ac:dyDescent="0.25"/>
    <row r="142" spans="1:20" hidden="1" x14ac:dyDescent="0.25"/>
    <row r="143" spans="1:20" hidden="1" x14ac:dyDescent="0.25"/>
    <row r="144" spans="1:20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spans="18:19" hidden="1" x14ac:dyDescent="0.25"/>
    <row r="195" spans="18:19" x14ac:dyDescent="0.25">
      <c r="R195" s="182">
        <v>448853.75</v>
      </c>
      <c r="S195" s="308">
        <f>S129-R195</f>
        <v>0</v>
      </c>
    </row>
  </sheetData>
  <mergeCells count="11">
    <mergeCell ref="A1:T1"/>
    <mergeCell ref="A2:T2"/>
    <mergeCell ref="O4:S4"/>
    <mergeCell ref="C5:G5"/>
    <mergeCell ref="H5:N5"/>
    <mergeCell ref="O5:S5"/>
    <mergeCell ref="C6:G6"/>
    <mergeCell ref="O6:S6"/>
    <mergeCell ref="C7:G7"/>
    <mergeCell ref="O7:S7"/>
    <mergeCell ref="A3:T3"/>
  </mergeCells>
  <pageMargins left="0.51181102362204722" right="0.51181102362204722" top="0.55118110236220474" bottom="0.55118110236220474" header="0.31496062992125984" footer="0.31496062992125984"/>
  <pageSetup scale="110" orientation="landscape" horizontalDpi="4294967293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29"/>
  <sheetViews>
    <sheetView zoomScale="95" zoomScaleNormal="95" workbookViewId="0">
      <selection activeCell="Z27" sqref="Z27"/>
    </sheetView>
  </sheetViews>
  <sheetFormatPr baseColWidth="10" defaultRowHeight="15" x14ac:dyDescent="0.25"/>
  <cols>
    <col min="1" max="1" width="7.7109375" customWidth="1"/>
    <col min="2" max="2" width="35.5703125" customWidth="1"/>
    <col min="3" max="3" width="15.28515625" hidden="1" customWidth="1"/>
    <col min="4" max="5" width="13.5703125" hidden="1" customWidth="1"/>
    <col min="6" max="6" width="14.7109375" hidden="1" customWidth="1"/>
    <col min="7" max="7" width="14.42578125" hidden="1" customWidth="1"/>
    <col min="8" max="8" width="12.7109375" customWidth="1"/>
    <col min="9" max="9" width="17" customWidth="1"/>
    <col min="10" max="10" width="7.140625" customWidth="1"/>
    <col min="11" max="11" width="7.42578125" customWidth="1"/>
    <col min="12" max="12" width="8.28515625" customWidth="1"/>
    <col min="13" max="13" width="13.5703125" customWidth="1"/>
    <col min="14" max="14" width="16" customWidth="1"/>
    <col min="15" max="15" width="15" hidden="1" customWidth="1"/>
    <col min="16" max="16" width="14.28515625" hidden="1" customWidth="1"/>
    <col min="17" max="17" width="14.42578125" hidden="1" customWidth="1"/>
    <col min="18" max="19" width="14.140625" hidden="1" customWidth="1"/>
    <col min="20" max="20" width="15" hidden="1" customWidth="1"/>
    <col min="21" max="21" width="15.85546875" customWidth="1"/>
  </cols>
  <sheetData>
    <row r="1" spans="1:20" ht="21" x14ac:dyDescent="0.35">
      <c r="A1" s="567" t="s">
        <v>86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</row>
    <row r="2" spans="1:20" ht="21" x14ac:dyDescent="0.35">
      <c r="A2" s="567" t="s">
        <v>589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  <c r="N2" s="567"/>
      <c r="O2" s="567"/>
      <c r="P2" s="567"/>
      <c r="Q2" s="567"/>
      <c r="R2" s="567"/>
      <c r="S2" s="567"/>
      <c r="T2" s="567"/>
    </row>
    <row r="3" spans="1:20" ht="21.75" thickBot="1" x14ac:dyDescent="0.4">
      <c r="A3" s="567" t="s">
        <v>503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567"/>
      <c r="P3" s="567"/>
      <c r="Q3" s="567"/>
      <c r="R3" s="567"/>
      <c r="S3" s="567"/>
      <c r="T3" s="567"/>
    </row>
    <row r="4" spans="1:20" ht="15.75" thickBot="1" x14ac:dyDescent="0.3">
      <c r="A4" s="52"/>
      <c r="B4" s="53"/>
      <c r="C4" s="222" t="s">
        <v>87</v>
      </c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0"/>
      <c r="O4" s="568" t="s">
        <v>504</v>
      </c>
      <c r="P4" s="569"/>
      <c r="Q4" s="569"/>
      <c r="R4" s="569"/>
      <c r="S4" s="570"/>
      <c r="T4" s="53"/>
    </row>
    <row r="5" spans="1:20" ht="15.75" thickBot="1" x14ac:dyDescent="0.3">
      <c r="A5" s="54"/>
      <c r="B5" s="55"/>
      <c r="C5" s="571" t="s">
        <v>88</v>
      </c>
      <c r="D5" s="571"/>
      <c r="E5" s="571"/>
      <c r="F5" s="571"/>
      <c r="G5" s="572"/>
      <c r="H5" s="573" t="s">
        <v>503</v>
      </c>
      <c r="I5" s="574"/>
      <c r="J5" s="574"/>
      <c r="K5" s="574"/>
      <c r="L5" s="574"/>
      <c r="M5" s="574"/>
      <c r="N5" s="575"/>
      <c r="O5" s="576" t="s">
        <v>206</v>
      </c>
      <c r="P5" s="571"/>
      <c r="Q5" s="571"/>
      <c r="R5" s="571"/>
      <c r="S5" s="572"/>
      <c r="T5" s="57" t="s">
        <v>502</v>
      </c>
    </row>
    <row r="6" spans="1:20" x14ac:dyDescent="0.25">
      <c r="A6" s="56" t="s">
        <v>89</v>
      </c>
      <c r="B6" s="57" t="s">
        <v>90</v>
      </c>
      <c r="C6" s="562" t="s">
        <v>91</v>
      </c>
      <c r="D6" s="562"/>
      <c r="E6" s="562"/>
      <c r="F6" s="562"/>
      <c r="G6" s="562"/>
      <c r="H6" s="219" t="s">
        <v>500</v>
      </c>
      <c r="I6" s="218" t="s">
        <v>500</v>
      </c>
      <c r="J6" s="218" t="s">
        <v>500</v>
      </c>
      <c r="K6" s="218" t="s">
        <v>501</v>
      </c>
      <c r="L6" s="218" t="s">
        <v>500</v>
      </c>
      <c r="M6" s="218" t="s">
        <v>499</v>
      </c>
      <c r="N6" s="217"/>
      <c r="O6" s="563" t="s">
        <v>91</v>
      </c>
      <c r="P6" s="564"/>
      <c r="Q6" s="564"/>
      <c r="R6" s="564"/>
      <c r="S6" s="565"/>
      <c r="T6" s="57" t="s">
        <v>24</v>
      </c>
    </row>
    <row r="7" spans="1:20" x14ac:dyDescent="0.25">
      <c r="A7" s="54"/>
      <c r="B7" s="55"/>
      <c r="C7" s="566" t="s">
        <v>92</v>
      </c>
      <c r="D7" s="566"/>
      <c r="E7" s="566"/>
      <c r="F7" s="566"/>
      <c r="G7" s="566"/>
      <c r="H7" s="216" t="s">
        <v>497</v>
      </c>
      <c r="I7" s="215" t="s">
        <v>497</v>
      </c>
      <c r="J7" s="215" t="s">
        <v>497</v>
      </c>
      <c r="K7" s="215" t="s">
        <v>498</v>
      </c>
      <c r="L7" s="215" t="s">
        <v>497</v>
      </c>
      <c r="M7" s="215" t="s">
        <v>496</v>
      </c>
      <c r="N7" s="214" t="s">
        <v>495</v>
      </c>
      <c r="O7" s="563" t="s">
        <v>494</v>
      </c>
      <c r="P7" s="564"/>
      <c r="Q7" s="564"/>
      <c r="R7" s="564"/>
      <c r="S7" s="565"/>
      <c r="T7" s="55"/>
    </row>
    <row r="8" spans="1:20" ht="41.25" customHeight="1" thickBot="1" x14ac:dyDescent="0.3">
      <c r="A8" s="58"/>
      <c r="B8" s="59"/>
      <c r="C8" s="60" t="s">
        <v>93</v>
      </c>
      <c r="D8" s="61" t="s">
        <v>94</v>
      </c>
      <c r="E8" s="61" t="s">
        <v>95</v>
      </c>
      <c r="F8" s="61" t="s">
        <v>96</v>
      </c>
      <c r="G8" s="212" t="s">
        <v>207</v>
      </c>
      <c r="H8" s="213" t="s">
        <v>493</v>
      </c>
      <c r="I8" s="61" t="s">
        <v>492</v>
      </c>
      <c r="J8" s="61" t="s">
        <v>492</v>
      </c>
      <c r="K8" s="61" t="s">
        <v>491</v>
      </c>
      <c r="L8" s="61" t="s">
        <v>490</v>
      </c>
      <c r="M8" s="212" t="s">
        <v>489</v>
      </c>
      <c r="N8" s="211"/>
      <c r="O8" s="210" t="s">
        <v>93</v>
      </c>
      <c r="P8" s="209" t="s">
        <v>94</v>
      </c>
      <c r="Q8" s="209" t="s">
        <v>95</v>
      </c>
      <c r="R8" s="209" t="s">
        <v>96</v>
      </c>
      <c r="S8" s="208" t="s">
        <v>207</v>
      </c>
      <c r="T8" s="59"/>
    </row>
    <row r="9" spans="1:20" x14ac:dyDescent="0.25">
      <c r="A9" s="227">
        <v>51</v>
      </c>
      <c r="B9" s="228" t="s">
        <v>97</v>
      </c>
      <c r="C9" s="63">
        <f>C10+C14+C18+C21+C27+C30+C24</f>
        <v>124657.79</v>
      </c>
      <c r="D9" s="63">
        <f t="shared" ref="D9:R9" si="0">D10+D14+D18+D21+D27+D30+D24</f>
        <v>103071</v>
      </c>
      <c r="E9" s="63">
        <f t="shared" si="0"/>
        <v>39043</v>
      </c>
      <c r="F9" s="63">
        <f t="shared" si="0"/>
        <v>114095.69</v>
      </c>
      <c r="G9" s="229">
        <f>G10+G14+G18+G21+G27+G30+G24</f>
        <v>380867.48</v>
      </c>
      <c r="H9" s="230">
        <f t="shared" si="0"/>
        <v>0</v>
      </c>
      <c r="I9" s="63">
        <f t="shared" si="0"/>
        <v>0</v>
      </c>
      <c r="J9" s="63">
        <f t="shared" si="0"/>
        <v>0</v>
      </c>
      <c r="K9" s="63">
        <f t="shared" si="0"/>
        <v>0</v>
      </c>
      <c r="L9" s="63">
        <f t="shared" si="0"/>
        <v>0</v>
      </c>
      <c r="M9" s="63">
        <f t="shared" si="0"/>
        <v>0</v>
      </c>
      <c r="N9" s="65">
        <f t="shared" si="0"/>
        <v>0</v>
      </c>
      <c r="O9" s="230">
        <f t="shared" si="0"/>
        <v>117979.32</v>
      </c>
      <c r="P9" s="63">
        <f t="shared" si="0"/>
        <v>13680.960000000001</v>
      </c>
      <c r="Q9" s="63">
        <f t="shared" si="0"/>
        <v>5164.2</v>
      </c>
      <c r="R9" s="63">
        <f t="shared" si="0"/>
        <v>27165</v>
      </c>
      <c r="S9" s="63">
        <f>S10+S14+S18+S21+S24+S27+S30</f>
        <v>163989.48000000001</v>
      </c>
      <c r="T9" s="65">
        <f>T10+T14+T18+T21+T27+T30+T24</f>
        <v>544856.96</v>
      </c>
    </row>
    <row r="10" spans="1:20" x14ac:dyDescent="0.25">
      <c r="A10" s="231">
        <v>511</v>
      </c>
      <c r="B10" s="62" t="s">
        <v>98</v>
      </c>
      <c r="C10" s="63">
        <f>C11+C12+C13</f>
        <v>112657.79</v>
      </c>
      <c r="D10" s="63">
        <f t="shared" ref="D10:S10" si="1">D11+D12+D13</f>
        <v>103071</v>
      </c>
      <c r="E10" s="63">
        <f t="shared" si="1"/>
        <v>39043</v>
      </c>
      <c r="F10" s="63">
        <f t="shared" si="1"/>
        <v>114095.69</v>
      </c>
      <c r="G10" s="229">
        <f t="shared" si="1"/>
        <v>368867.48</v>
      </c>
      <c r="H10" s="230">
        <f t="shared" si="1"/>
        <v>0</v>
      </c>
      <c r="I10" s="63">
        <f t="shared" si="1"/>
        <v>0</v>
      </c>
      <c r="J10" s="63">
        <f t="shared" si="1"/>
        <v>0</v>
      </c>
      <c r="K10" s="63">
        <f t="shared" si="1"/>
        <v>0</v>
      </c>
      <c r="L10" s="63">
        <f t="shared" si="1"/>
        <v>0</v>
      </c>
      <c r="M10" s="63">
        <f t="shared" si="1"/>
        <v>0</v>
      </c>
      <c r="N10" s="65">
        <f t="shared" si="1"/>
        <v>0</v>
      </c>
      <c r="O10" s="230">
        <f t="shared" si="1"/>
        <v>30000</v>
      </c>
      <c r="P10" s="63">
        <f t="shared" si="1"/>
        <v>0</v>
      </c>
      <c r="Q10" s="63">
        <f t="shared" si="1"/>
        <v>0</v>
      </c>
      <c r="R10" s="63">
        <f t="shared" si="1"/>
        <v>0</v>
      </c>
      <c r="S10" s="63">
        <f t="shared" si="1"/>
        <v>30000</v>
      </c>
      <c r="T10" s="65">
        <f>T11+T12+T13</f>
        <v>398867.48</v>
      </c>
    </row>
    <row r="11" spans="1:20" x14ac:dyDescent="0.25">
      <c r="A11" s="232">
        <v>51101</v>
      </c>
      <c r="B11" s="66" t="s">
        <v>99</v>
      </c>
      <c r="C11" s="67">
        <v>66166.679999999993</v>
      </c>
      <c r="D11" s="67">
        <v>95880</v>
      </c>
      <c r="E11" s="67">
        <v>36240</v>
      </c>
      <c r="F11" s="67">
        <f>65946.72+32000.04</f>
        <v>97946.760000000009</v>
      </c>
      <c r="G11" s="233">
        <f>C11+D11+E11+F11</f>
        <v>296233.44</v>
      </c>
      <c r="H11" s="234"/>
      <c r="I11" s="67"/>
      <c r="J11" s="67"/>
      <c r="K11" s="67"/>
      <c r="L11" s="67"/>
      <c r="M11" s="67"/>
      <c r="N11" s="235">
        <f t="shared" ref="N11:N68" si="2">SUM(H11:M11)</f>
        <v>0</v>
      </c>
      <c r="O11" s="234"/>
      <c r="P11" s="67"/>
      <c r="Q11" s="67"/>
      <c r="R11" s="67"/>
      <c r="S11" s="67">
        <f>SUM(O11:R11)</f>
        <v>0</v>
      </c>
      <c r="T11" s="68">
        <f>S11+N11+G11</f>
        <v>296233.44</v>
      </c>
    </row>
    <row r="12" spans="1:20" x14ac:dyDescent="0.25">
      <c r="A12" s="232">
        <v>51103</v>
      </c>
      <c r="B12" s="66" t="s">
        <v>100</v>
      </c>
      <c r="C12" s="67">
        <v>4491.1099999999997</v>
      </c>
      <c r="D12" s="67">
        <v>7191</v>
      </c>
      <c r="E12" s="67">
        <v>2803</v>
      </c>
      <c r="F12" s="67">
        <f>8032.23+8116.7</f>
        <v>16148.93</v>
      </c>
      <c r="G12" s="233">
        <f>C12+D12+E12+F12</f>
        <v>30634.04</v>
      </c>
      <c r="H12" s="234"/>
      <c r="I12" s="67"/>
      <c r="J12" s="67"/>
      <c r="K12" s="67"/>
      <c r="L12" s="67"/>
      <c r="M12" s="67"/>
      <c r="N12" s="235">
        <f t="shared" si="2"/>
        <v>0</v>
      </c>
      <c r="O12" s="234"/>
      <c r="P12" s="67"/>
      <c r="Q12" s="67"/>
      <c r="R12" s="67"/>
      <c r="S12" s="67">
        <f t="shared" ref="S12:S31" si="3">SUM(O12:R12)</f>
        <v>0</v>
      </c>
      <c r="T12" s="68">
        <f t="shared" ref="T12:T13" si="4">S12+N12+G12</f>
        <v>30634.04</v>
      </c>
    </row>
    <row r="13" spans="1:20" x14ac:dyDescent="0.25">
      <c r="A13" s="232">
        <v>51105</v>
      </c>
      <c r="B13" s="66" t="s">
        <v>101</v>
      </c>
      <c r="C13" s="67">
        <v>42000</v>
      </c>
      <c r="D13" s="67"/>
      <c r="E13" s="67"/>
      <c r="F13" s="67"/>
      <c r="G13" s="233">
        <f>C13+D13+E13+F13</f>
        <v>42000</v>
      </c>
      <c r="H13" s="234"/>
      <c r="I13" s="67"/>
      <c r="J13" s="67"/>
      <c r="K13" s="67"/>
      <c r="L13" s="67"/>
      <c r="M13" s="67"/>
      <c r="N13" s="235">
        <f t="shared" si="2"/>
        <v>0</v>
      </c>
      <c r="O13" s="234">
        <v>30000</v>
      </c>
      <c r="P13" s="67"/>
      <c r="Q13" s="67"/>
      <c r="R13" s="67"/>
      <c r="S13" s="67">
        <f t="shared" si="3"/>
        <v>30000</v>
      </c>
      <c r="T13" s="68">
        <f t="shared" si="4"/>
        <v>72000</v>
      </c>
    </row>
    <row r="14" spans="1:20" x14ac:dyDescent="0.25">
      <c r="A14" s="231">
        <v>512</v>
      </c>
      <c r="B14" s="62" t="s">
        <v>102</v>
      </c>
      <c r="C14" s="63">
        <f>C15+C16+C17</f>
        <v>7200</v>
      </c>
      <c r="D14" s="63">
        <f t="shared" ref="D14:F14" si="5">D15+D16+D17</f>
        <v>0</v>
      </c>
      <c r="E14" s="63">
        <f t="shared" si="5"/>
        <v>0</v>
      </c>
      <c r="F14" s="63">
        <f t="shared" si="5"/>
        <v>0</v>
      </c>
      <c r="G14" s="229">
        <f>G15+G16+G17</f>
        <v>7200</v>
      </c>
      <c r="H14" s="230">
        <f t="shared" ref="H14:T14" si="6">H15+H16+H17</f>
        <v>0</v>
      </c>
      <c r="I14" s="63">
        <f t="shared" si="6"/>
        <v>0</v>
      </c>
      <c r="J14" s="63">
        <f t="shared" si="6"/>
        <v>0</v>
      </c>
      <c r="K14" s="63">
        <f t="shared" si="6"/>
        <v>0</v>
      </c>
      <c r="L14" s="63">
        <f t="shared" si="6"/>
        <v>0</v>
      </c>
      <c r="M14" s="63">
        <f t="shared" si="6"/>
        <v>0</v>
      </c>
      <c r="N14" s="65">
        <f t="shared" si="6"/>
        <v>0</v>
      </c>
      <c r="O14" s="230">
        <f t="shared" si="6"/>
        <v>30000</v>
      </c>
      <c r="P14" s="63">
        <f t="shared" si="6"/>
        <v>0</v>
      </c>
      <c r="Q14" s="63">
        <f t="shared" si="6"/>
        <v>0</v>
      </c>
      <c r="R14" s="63">
        <f t="shared" si="6"/>
        <v>0</v>
      </c>
      <c r="S14" s="63">
        <f t="shared" si="6"/>
        <v>30000</v>
      </c>
      <c r="T14" s="65">
        <f t="shared" si="6"/>
        <v>37200</v>
      </c>
    </row>
    <row r="15" spans="1:20" x14ac:dyDescent="0.25">
      <c r="A15" s="232">
        <v>51201</v>
      </c>
      <c r="B15" s="66" t="s">
        <v>99</v>
      </c>
      <c r="C15" s="67">
        <v>7200</v>
      </c>
      <c r="D15" s="67"/>
      <c r="E15" s="67"/>
      <c r="F15" s="67"/>
      <c r="G15" s="233">
        <f t="shared" ref="G15:G80" si="7">C15+D15+E15+F15</f>
        <v>7200</v>
      </c>
      <c r="H15" s="234"/>
      <c r="I15" s="67"/>
      <c r="J15" s="67"/>
      <c r="K15" s="67"/>
      <c r="L15" s="67"/>
      <c r="M15" s="67"/>
      <c r="N15" s="235">
        <f t="shared" si="2"/>
        <v>0</v>
      </c>
      <c r="O15" s="234"/>
      <c r="P15" s="67"/>
      <c r="Q15" s="67"/>
      <c r="R15" s="67"/>
      <c r="S15" s="67">
        <f t="shared" si="3"/>
        <v>0</v>
      </c>
      <c r="T15" s="68">
        <f t="shared" ref="T15:T17" si="8">S15+N15+G15</f>
        <v>7200</v>
      </c>
    </row>
    <row r="16" spans="1:20" x14ac:dyDescent="0.25">
      <c r="A16" s="232">
        <v>51202</v>
      </c>
      <c r="B16" s="66" t="s">
        <v>103</v>
      </c>
      <c r="C16" s="67"/>
      <c r="D16" s="67"/>
      <c r="E16" s="67"/>
      <c r="F16" s="67"/>
      <c r="G16" s="233">
        <f t="shared" si="7"/>
        <v>0</v>
      </c>
      <c r="H16" s="234"/>
      <c r="I16" s="67"/>
      <c r="J16" s="67"/>
      <c r="K16" s="67"/>
      <c r="L16" s="67"/>
      <c r="M16" s="67"/>
      <c r="N16" s="235">
        <f t="shared" si="2"/>
        <v>0</v>
      </c>
      <c r="O16" s="234">
        <v>30000</v>
      </c>
      <c r="P16" s="67"/>
      <c r="Q16" s="67"/>
      <c r="R16" s="67"/>
      <c r="S16" s="67">
        <f t="shared" si="3"/>
        <v>30000</v>
      </c>
      <c r="T16" s="68">
        <f t="shared" si="8"/>
        <v>30000</v>
      </c>
    </row>
    <row r="17" spans="1:20" x14ac:dyDescent="0.25">
      <c r="A17" s="232">
        <v>51203</v>
      </c>
      <c r="B17" s="66" t="s">
        <v>100</v>
      </c>
      <c r="C17" s="67"/>
      <c r="D17" s="67"/>
      <c r="E17" s="67"/>
      <c r="F17" s="67"/>
      <c r="G17" s="233">
        <f t="shared" si="7"/>
        <v>0</v>
      </c>
      <c r="H17" s="234"/>
      <c r="I17" s="67"/>
      <c r="J17" s="67"/>
      <c r="K17" s="67"/>
      <c r="L17" s="67"/>
      <c r="M17" s="67"/>
      <c r="N17" s="235">
        <f t="shared" si="2"/>
        <v>0</v>
      </c>
      <c r="O17" s="234"/>
      <c r="P17" s="67"/>
      <c r="Q17" s="67"/>
      <c r="R17" s="67"/>
      <c r="S17" s="67">
        <f t="shared" si="3"/>
        <v>0</v>
      </c>
      <c r="T17" s="68">
        <f t="shared" si="8"/>
        <v>0</v>
      </c>
    </row>
    <row r="18" spans="1:20" x14ac:dyDescent="0.25">
      <c r="A18" s="231">
        <v>514</v>
      </c>
      <c r="B18" s="62" t="s">
        <v>104</v>
      </c>
      <c r="C18" s="63">
        <f>C19+C20</f>
        <v>0</v>
      </c>
      <c r="D18" s="63">
        <f t="shared" ref="D18:T18" si="9">D19+D20</f>
        <v>0</v>
      </c>
      <c r="E18" s="63">
        <f t="shared" si="9"/>
        <v>0</v>
      </c>
      <c r="F18" s="63">
        <f t="shared" si="9"/>
        <v>0</v>
      </c>
      <c r="G18" s="229">
        <f t="shared" si="9"/>
        <v>0</v>
      </c>
      <c r="H18" s="230">
        <f t="shared" si="9"/>
        <v>0</v>
      </c>
      <c r="I18" s="63">
        <f t="shared" si="9"/>
        <v>0</v>
      </c>
      <c r="J18" s="63">
        <f t="shared" si="9"/>
        <v>0</v>
      </c>
      <c r="K18" s="63">
        <f t="shared" si="9"/>
        <v>0</v>
      </c>
      <c r="L18" s="63">
        <f t="shared" si="9"/>
        <v>0</v>
      </c>
      <c r="M18" s="63">
        <f t="shared" si="9"/>
        <v>0</v>
      </c>
      <c r="N18" s="65">
        <f t="shared" si="9"/>
        <v>0</v>
      </c>
      <c r="O18" s="230">
        <f t="shared" si="9"/>
        <v>4760.04</v>
      </c>
      <c r="P18" s="63">
        <f t="shared" si="9"/>
        <v>7191</v>
      </c>
      <c r="Q18" s="63">
        <f t="shared" si="9"/>
        <v>2718</v>
      </c>
      <c r="R18" s="63">
        <f t="shared" si="9"/>
        <v>14538.84</v>
      </c>
      <c r="S18" s="63">
        <f t="shared" si="9"/>
        <v>29207.88</v>
      </c>
      <c r="T18" s="65">
        <f t="shared" si="9"/>
        <v>29207.88</v>
      </c>
    </row>
    <row r="19" spans="1:20" x14ac:dyDescent="0.25">
      <c r="A19" s="232">
        <v>51401</v>
      </c>
      <c r="B19" s="66" t="s">
        <v>105</v>
      </c>
      <c r="C19" s="67">
        <v>0</v>
      </c>
      <c r="D19" s="67">
        <v>0</v>
      </c>
      <c r="E19" s="67">
        <v>0</v>
      </c>
      <c r="F19" s="67">
        <v>0</v>
      </c>
      <c r="G19" s="233">
        <f t="shared" si="7"/>
        <v>0</v>
      </c>
      <c r="H19" s="234"/>
      <c r="I19" s="67"/>
      <c r="J19" s="67"/>
      <c r="K19" s="67"/>
      <c r="L19" s="67"/>
      <c r="M19" s="67"/>
      <c r="N19" s="235">
        <f t="shared" si="2"/>
        <v>0</v>
      </c>
      <c r="O19" s="234">
        <f>321.67*12</f>
        <v>3860.04</v>
      </c>
      <c r="P19" s="67">
        <f>599.25*12</f>
        <v>7191</v>
      </c>
      <c r="Q19" s="67">
        <f>226.5*12</f>
        <v>2718</v>
      </c>
      <c r="R19" s="67">
        <f>(412.17+599.4+200)*12</f>
        <v>14538.84</v>
      </c>
      <c r="S19" s="67">
        <f t="shared" si="3"/>
        <v>28307.88</v>
      </c>
      <c r="T19" s="68">
        <f t="shared" ref="T19:T20" si="10">S19+N19+G19</f>
        <v>28307.88</v>
      </c>
    </row>
    <row r="20" spans="1:20" x14ac:dyDescent="0.25">
      <c r="A20" s="232">
        <v>51402</v>
      </c>
      <c r="B20" s="66" t="s">
        <v>106</v>
      </c>
      <c r="C20" s="67"/>
      <c r="D20" s="67"/>
      <c r="E20" s="67"/>
      <c r="F20" s="67"/>
      <c r="G20" s="233">
        <f t="shared" si="7"/>
        <v>0</v>
      </c>
      <c r="H20" s="234"/>
      <c r="I20" s="67"/>
      <c r="J20" s="67"/>
      <c r="K20" s="67"/>
      <c r="L20" s="67"/>
      <c r="M20" s="67"/>
      <c r="N20" s="235">
        <f t="shared" si="2"/>
        <v>0</v>
      </c>
      <c r="O20" s="234">
        <f>75*12</f>
        <v>900</v>
      </c>
      <c r="P20" s="67"/>
      <c r="Q20" s="67"/>
      <c r="R20" s="67"/>
      <c r="S20" s="67">
        <f t="shared" si="3"/>
        <v>900</v>
      </c>
      <c r="T20" s="68">
        <f t="shared" si="10"/>
        <v>900</v>
      </c>
    </row>
    <row r="21" spans="1:20" x14ac:dyDescent="0.25">
      <c r="A21" s="231">
        <v>515</v>
      </c>
      <c r="B21" s="62" t="s">
        <v>107</v>
      </c>
      <c r="C21" s="63">
        <f>C22+C23</f>
        <v>0</v>
      </c>
      <c r="D21" s="63">
        <f t="shared" ref="D21:N21" si="11">D22+D23</f>
        <v>0</v>
      </c>
      <c r="E21" s="63">
        <f t="shared" si="11"/>
        <v>0</v>
      </c>
      <c r="F21" s="63">
        <f t="shared" si="11"/>
        <v>0</v>
      </c>
      <c r="G21" s="229">
        <f t="shared" si="11"/>
        <v>0</v>
      </c>
      <c r="H21" s="230">
        <f t="shared" si="11"/>
        <v>0</v>
      </c>
      <c r="I21" s="63">
        <f t="shared" si="11"/>
        <v>0</v>
      </c>
      <c r="J21" s="63">
        <f t="shared" si="11"/>
        <v>0</v>
      </c>
      <c r="K21" s="63">
        <f t="shared" si="11"/>
        <v>0</v>
      </c>
      <c r="L21" s="63">
        <f t="shared" si="11"/>
        <v>0</v>
      </c>
      <c r="M21" s="63">
        <f t="shared" si="11"/>
        <v>0</v>
      </c>
      <c r="N21" s="65">
        <f t="shared" si="11"/>
        <v>0</v>
      </c>
      <c r="O21" s="230">
        <f>O22+O23</f>
        <v>5219.28</v>
      </c>
      <c r="P21" s="63">
        <f t="shared" ref="P21:R21" si="12">P22+P23</f>
        <v>6489.9600000000009</v>
      </c>
      <c r="Q21" s="63">
        <f t="shared" si="12"/>
        <v>2446.1999999999998</v>
      </c>
      <c r="R21" s="63">
        <f t="shared" si="12"/>
        <v>12626.16</v>
      </c>
      <c r="S21" s="63">
        <f>S22+S23</f>
        <v>26781.600000000002</v>
      </c>
      <c r="T21" s="65">
        <f>T22+T23</f>
        <v>26781.600000000002</v>
      </c>
    </row>
    <row r="22" spans="1:20" x14ac:dyDescent="0.25">
      <c r="A22" s="232">
        <v>51501</v>
      </c>
      <c r="B22" s="66" t="s">
        <v>105</v>
      </c>
      <c r="C22" s="67"/>
      <c r="D22" s="67"/>
      <c r="E22" s="67"/>
      <c r="F22" s="67"/>
      <c r="G22" s="233">
        <f t="shared" si="7"/>
        <v>0</v>
      </c>
      <c r="H22" s="234"/>
      <c r="I22" s="67"/>
      <c r="J22" s="67"/>
      <c r="K22" s="67"/>
      <c r="L22" s="67"/>
      <c r="M22" s="67"/>
      <c r="N22" s="235">
        <f t="shared" si="2"/>
        <v>0</v>
      </c>
      <c r="O22" s="234">
        <f>372.19*12</f>
        <v>4466.28</v>
      </c>
      <c r="P22" s="67">
        <f>540.83*12</f>
        <v>6489.9600000000009</v>
      </c>
      <c r="Q22" s="67">
        <f>203.85*12</f>
        <v>2446.1999999999998</v>
      </c>
      <c r="R22" s="67">
        <f>(372.45+509.94+169.79)*12</f>
        <v>12626.16</v>
      </c>
      <c r="S22" s="67">
        <f t="shared" si="3"/>
        <v>26028.600000000002</v>
      </c>
      <c r="T22" s="68">
        <f t="shared" ref="T22:T23" si="13">S22+N22+G22</f>
        <v>26028.600000000002</v>
      </c>
    </row>
    <row r="23" spans="1:20" x14ac:dyDescent="0.25">
      <c r="A23" s="232">
        <v>51502</v>
      </c>
      <c r="B23" s="66" t="s">
        <v>106</v>
      </c>
      <c r="C23" s="67"/>
      <c r="D23" s="67"/>
      <c r="E23" s="67"/>
      <c r="F23" s="67"/>
      <c r="G23" s="233">
        <f t="shared" si="7"/>
        <v>0</v>
      </c>
      <c r="H23" s="234"/>
      <c r="I23" s="67"/>
      <c r="J23" s="67"/>
      <c r="K23" s="67"/>
      <c r="L23" s="67"/>
      <c r="M23" s="67"/>
      <c r="N23" s="235">
        <f t="shared" si="2"/>
        <v>0</v>
      </c>
      <c r="O23" s="234">
        <f>62.75*12</f>
        <v>753</v>
      </c>
      <c r="P23" s="67"/>
      <c r="Q23" s="67"/>
      <c r="R23" s="67"/>
      <c r="S23" s="67">
        <f t="shared" si="3"/>
        <v>753</v>
      </c>
      <c r="T23" s="68">
        <f t="shared" si="13"/>
        <v>753</v>
      </c>
    </row>
    <row r="24" spans="1:20" x14ac:dyDescent="0.25">
      <c r="A24" s="231">
        <v>517</v>
      </c>
      <c r="B24" s="62" t="s">
        <v>108</v>
      </c>
      <c r="C24" s="63">
        <f>C25+C26</f>
        <v>0</v>
      </c>
      <c r="D24" s="63">
        <f>D25+D26</f>
        <v>0</v>
      </c>
      <c r="E24" s="63">
        <f t="shared" ref="E24:R24" si="14">E25+E26</f>
        <v>0</v>
      </c>
      <c r="F24" s="63">
        <f t="shared" si="14"/>
        <v>0</v>
      </c>
      <c r="G24" s="229">
        <f t="shared" si="14"/>
        <v>0</v>
      </c>
      <c r="H24" s="230">
        <f t="shared" si="14"/>
        <v>0</v>
      </c>
      <c r="I24" s="63">
        <f t="shared" si="14"/>
        <v>0</v>
      </c>
      <c r="J24" s="63">
        <f t="shared" si="14"/>
        <v>0</v>
      </c>
      <c r="K24" s="63">
        <f t="shared" si="14"/>
        <v>0</v>
      </c>
      <c r="L24" s="63">
        <f t="shared" si="14"/>
        <v>0</v>
      </c>
      <c r="M24" s="63">
        <f t="shared" si="14"/>
        <v>0</v>
      </c>
      <c r="N24" s="65">
        <f t="shared" si="14"/>
        <v>0</v>
      </c>
      <c r="O24" s="63">
        <f>O25+O26</f>
        <v>32500</v>
      </c>
      <c r="P24" s="63">
        <f t="shared" si="14"/>
        <v>0</v>
      </c>
      <c r="Q24" s="63">
        <f t="shared" si="14"/>
        <v>0</v>
      </c>
      <c r="R24" s="63">
        <f t="shared" si="14"/>
        <v>0</v>
      </c>
      <c r="S24" s="63">
        <f>S25+S26</f>
        <v>32500</v>
      </c>
      <c r="T24" s="65">
        <f>T25+T26</f>
        <v>32500</v>
      </c>
    </row>
    <row r="25" spans="1:20" x14ac:dyDescent="0.25">
      <c r="A25" s="232">
        <v>51701</v>
      </c>
      <c r="B25" s="66" t="s">
        <v>109</v>
      </c>
      <c r="C25" s="67"/>
      <c r="D25" s="67">
        <v>0</v>
      </c>
      <c r="E25" s="67">
        <v>0</v>
      </c>
      <c r="F25" s="67">
        <v>0</v>
      </c>
      <c r="G25" s="236">
        <v>0</v>
      </c>
      <c r="H25" s="234">
        <v>0</v>
      </c>
      <c r="I25" s="67">
        <v>0</v>
      </c>
      <c r="J25" s="67">
        <v>0</v>
      </c>
      <c r="K25" s="67">
        <v>0</v>
      </c>
      <c r="L25" s="67">
        <v>0</v>
      </c>
      <c r="M25" s="67">
        <v>0</v>
      </c>
      <c r="N25" s="69">
        <v>0</v>
      </c>
      <c r="O25" s="67">
        <v>31500</v>
      </c>
      <c r="P25" s="67">
        <v>0</v>
      </c>
      <c r="Q25" s="67">
        <v>0</v>
      </c>
      <c r="R25" s="67">
        <v>0</v>
      </c>
      <c r="S25" s="67">
        <f t="shared" si="3"/>
        <v>31500</v>
      </c>
      <c r="T25" s="68">
        <f t="shared" ref="T25:T26" si="15">S25+N25+G25</f>
        <v>31500</v>
      </c>
    </row>
    <row r="26" spans="1:20" x14ac:dyDescent="0.25">
      <c r="A26" s="232">
        <v>51702</v>
      </c>
      <c r="B26" s="66" t="s">
        <v>110</v>
      </c>
      <c r="C26" s="67"/>
      <c r="D26" s="67"/>
      <c r="E26" s="67"/>
      <c r="F26" s="67"/>
      <c r="G26" s="236">
        <v>0</v>
      </c>
      <c r="H26" s="234"/>
      <c r="I26" s="67"/>
      <c r="J26" s="67"/>
      <c r="K26" s="67"/>
      <c r="L26" s="67"/>
      <c r="M26" s="67"/>
      <c r="N26" s="235"/>
      <c r="O26" s="234">
        <v>1000</v>
      </c>
      <c r="P26" s="67"/>
      <c r="Q26" s="67"/>
      <c r="R26" s="67"/>
      <c r="S26" s="67">
        <f t="shared" si="3"/>
        <v>1000</v>
      </c>
      <c r="T26" s="68">
        <f t="shared" si="15"/>
        <v>1000</v>
      </c>
    </row>
    <row r="27" spans="1:20" x14ac:dyDescent="0.25">
      <c r="A27" s="231">
        <v>516</v>
      </c>
      <c r="B27" s="62" t="s">
        <v>111</v>
      </c>
      <c r="C27" s="63">
        <f>C28+C29</f>
        <v>0</v>
      </c>
      <c r="D27" s="63">
        <f t="shared" ref="D27:R27" si="16">D28+D29</f>
        <v>0</v>
      </c>
      <c r="E27" s="63">
        <f t="shared" si="16"/>
        <v>0</v>
      </c>
      <c r="F27" s="63">
        <f t="shared" si="16"/>
        <v>0</v>
      </c>
      <c r="G27" s="229">
        <f t="shared" si="16"/>
        <v>0</v>
      </c>
      <c r="H27" s="230">
        <f t="shared" si="16"/>
        <v>0</v>
      </c>
      <c r="I27" s="63">
        <f t="shared" si="16"/>
        <v>0</v>
      </c>
      <c r="J27" s="63">
        <f t="shared" si="16"/>
        <v>0</v>
      </c>
      <c r="K27" s="63">
        <f t="shared" si="16"/>
        <v>0</v>
      </c>
      <c r="L27" s="63">
        <f t="shared" si="16"/>
        <v>0</v>
      </c>
      <c r="M27" s="63">
        <f t="shared" si="16"/>
        <v>0</v>
      </c>
      <c r="N27" s="65">
        <f t="shared" si="16"/>
        <v>0</v>
      </c>
      <c r="O27" s="230">
        <f t="shared" si="16"/>
        <v>15000</v>
      </c>
      <c r="P27" s="63">
        <f t="shared" si="16"/>
        <v>0</v>
      </c>
      <c r="Q27" s="63">
        <f t="shared" si="16"/>
        <v>0</v>
      </c>
      <c r="R27" s="63">
        <f t="shared" si="16"/>
        <v>0</v>
      </c>
      <c r="S27" s="63">
        <f>S28+S29</f>
        <v>15000</v>
      </c>
      <c r="T27" s="65">
        <f t="shared" ref="T27" si="17">T28+T29</f>
        <v>15000</v>
      </c>
    </row>
    <row r="28" spans="1:20" x14ac:dyDescent="0.25">
      <c r="A28" s="232">
        <v>51601</v>
      </c>
      <c r="B28" s="66" t="s">
        <v>112</v>
      </c>
      <c r="C28" s="67"/>
      <c r="D28" s="67"/>
      <c r="E28" s="67"/>
      <c r="F28" s="67"/>
      <c r="G28" s="233">
        <f t="shared" si="7"/>
        <v>0</v>
      </c>
      <c r="H28" s="234"/>
      <c r="I28" s="67"/>
      <c r="J28" s="67"/>
      <c r="K28" s="67"/>
      <c r="L28" s="67"/>
      <c r="M28" s="67"/>
      <c r="N28" s="235">
        <f t="shared" si="2"/>
        <v>0</v>
      </c>
      <c r="O28" s="234">
        <v>12000</v>
      </c>
      <c r="P28" s="67"/>
      <c r="Q28" s="67"/>
      <c r="R28" s="67"/>
      <c r="S28" s="67">
        <f t="shared" si="3"/>
        <v>12000</v>
      </c>
      <c r="T28" s="68">
        <f t="shared" ref="T28:T31" si="18">S28+N28+G28</f>
        <v>12000</v>
      </c>
    </row>
    <row r="29" spans="1:20" x14ac:dyDescent="0.25">
      <c r="A29" s="232">
        <v>51602</v>
      </c>
      <c r="B29" s="66" t="s">
        <v>113</v>
      </c>
      <c r="C29" s="67"/>
      <c r="D29" s="67"/>
      <c r="E29" s="67"/>
      <c r="F29" s="67"/>
      <c r="G29" s="233">
        <f t="shared" si="7"/>
        <v>0</v>
      </c>
      <c r="H29" s="234"/>
      <c r="I29" s="67"/>
      <c r="J29" s="67"/>
      <c r="K29" s="67"/>
      <c r="L29" s="67"/>
      <c r="M29" s="67"/>
      <c r="N29" s="235">
        <f t="shared" si="2"/>
        <v>0</v>
      </c>
      <c r="O29" s="234">
        <v>3000</v>
      </c>
      <c r="P29" s="67"/>
      <c r="Q29" s="67"/>
      <c r="R29" s="67"/>
      <c r="S29" s="67">
        <f t="shared" si="3"/>
        <v>3000</v>
      </c>
      <c r="T29" s="68">
        <f t="shared" si="18"/>
        <v>3000</v>
      </c>
    </row>
    <row r="30" spans="1:20" x14ac:dyDescent="0.25">
      <c r="A30" s="231">
        <v>519</v>
      </c>
      <c r="B30" s="62" t="s">
        <v>114</v>
      </c>
      <c r="C30" s="63">
        <f>C31</f>
        <v>4800</v>
      </c>
      <c r="D30" s="63">
        <f t="shared" ref="D30:G30" si="19">D31</f>
        <v>0</v>
      </c>
      <c r="E30" s="63">
        <f t="shared" si="19"/>
        <v>0</v>
      </c>
      <c r="F30" s="63">
        <f t="shared" si="19"/>
        <v>0</v>
      </c>
      <c r="G30" s="229">
        <f t="shared" si="19"/>
        <v>4800</v>
      </c>
      <c r="H30" s="230">
        <f>H31</f>
        <v>0</v>
      </c>
      <c r="I30" s="63">
        <f t="shared" ref="I30:R30" si="20">I31</f>
        <v>0</v>
      </c>
      <c r="J30" s="63">
        <f t="shared" si="20"/>
        <v>0</v>
      </c>
      <c r="K30" s="63">
        <f t="shared" si="20"/>
        <v>0</v>
      </c>
      <c r="L30" s="63">
        <f t="shared" si="20"/>
        <v>0</v>
      </c>
      <c r="M30" s="63">
        <f t="shared" si="20"/>
        <v>0</v>
      </c>
      <c r="N30" s="65">
        <f t="shared" si="20"/>
        <v>0</v>
      </c>
      <c r="O30" s="230">
        <f t="shared" si="20"/>
        <v>500</v>
      </c>
      <c r="P30" s="63">
        <f t="shared" si="20"/>
        <v>0</v>
      </c>
      <c r="Q30" s="63">
        <f t="shared" si="20"/>
        <v>0</v>
      </c>
      <c r="R30" s="63">
        <f t="shared" si="20"/>
        <v>0</v>
      </c>
      <c r="S30" s="63">
        <f>S31</f>
        <v>500</v>
      </c>
      <c r="T30" s="65">
        <f t="shared" ref="T30" si="21">T31</f>
        <v>5300</v>
      </c>
    </row>
    <row r="31" spans="1:20" x14ac:dyDescent="0.25">
      <c r="A31" s="232">
        <v>51901</v>
      </c>
      <c r="B31" s="66" t="s">
        <v>115</v>
      </c>
      <c r="C31" s="67">
        <v>4800</v>
      </c>
      <c r="D31" s="67"/>
      <c r="E31" s="67"/>
      <c r="F31" s="67"/>
      <c r="G31" s="233">
        <f t="shared" si="7"/>
        <v>4800</v>
      </c>
      <c r="H31" s="234"/>
      <c r="I31" s="67"/>
      <c r="J31" s="67"/>
      <c r="K31" s="67"/>
      <c r="L31" s="67"/>
      <c r="M31" s="67"/>
      <c r="N31" s="235">
        <f t="shared" si="2"/>
        <v>0</v>
      </c>
      <c r="O31" s="234">
        <v>500</v>
      </c>
      <c r="P31" s="67"/>
      <c r="Q31" s="67"/>
      <c r="R31" s="67"/>
      <c r="S31" s="67">
        <f t="shared" si="3"/>
        <v>500</v>
      </c>
      <c r="T31" s="68">
        <f t="shared" si="18"/>
        <v>5300</v>
      </c>
    </row>
    <row r="32" spans="1:20" x14ac:dyDescent="0.25">
      <c r="A32" s="231">
        <v>54</v>
      </c>
      <c r="B32" s="62" t="s">
        <v>116</v>
      </c>
      <c r="C32" s="63">
        <f>C33+C52+C58</f>
        <v>119847.8</v>
      </c>
      <c r="D32" s="63">
        <f t="shared" ref="D32:T32" si="22">D33+D52+D58</f>
        <v>1000</v>
      </c>
      <c r="E32" s="63">
        <f t="shared" si="22"/>
        <v>500</v>
      </c>
      <c r="F32" s="63">
        <f t="shared" si="22"/>
        <v>500</v>
      </c>
      <c r="G32" s="229">
        <f>G33+G52+G58+G69+G79+G73</f>
        <v>121847.8</v>
      </c>
      <c r="H32" s="230">
        <f t="shared" si="22"/>
        <v>0</v>
      </c>
      <c r="I32" s="63">
        <f t="shared" si="22"/>
        <v>0</v>
      </c>
      <c r="J32" s="63">
        <f t="shared" si="22"/>
        <v>0</v>
      </c>
      <c r="K32" s="63">
        <f t="shared" si="22"/>
        <v>0</v>
      </c>
      <c r="L32" s="63">
        <f t="shared" si="22"/>
        <v>0</v>
      </c>
      <c r="M32" s="63">
        <f t="shared" si="22"/>
        <v>0</v>
      </c>
      <c r="N32" s="65">
        <f t="shared" si="22"/>
        <v>0</v>
      </c>
      <c r="O32" s="230">
        <f t="shared" si="22"/>
        <v>123825</v>
      </c>
      <c r="P32" s="63">
        <f t="shared" si="22"/>
        <v>8600</v>
      </c>
      <c r="Q32" s="63">
        <f t="shared" si="22"/>
        <v>7600</v>
      </c>
      <c r="R32" s="63">
        <f t="shared" si="22"/>
        <v>4100</v>
      </c>
      <c r="S32" s="63">
        <f>S33+S52+S58+S69+S79+S73</f>
        <v>152886.35999999999</v>
      </c>
      <c r="T32" s="65">
        <f t="shared" si="22"/>
        <v>265972.8</v>
      </c>
    </row>
    <row r="33" spans="1:20" x14ac:dyDescent="0.25">
      <c r="A33" s="231">
        <v>541</v>
      </c>
      <c r="B33" s="62" t="s">
        <v>117</v>
      </c>
      <c r="C33" s="63">
        <f>SUM(C34:C51)</f>
        <v>9102.36</v>
      </c>
      <c r="D33" s="63">
        <f t="shared" ref="D33:T33" si="23">SUM(D34:D51)</f>
        <v>1000</v>
      </c>
      <c r="E33" s="63">
        <f t="shared" si="23"/>
        <v>500</v>
      </c>
      <c r="F33" s="63">
        <f t="shared" si="23"/>
        <v>500</v>
      </c>
      <c r="G33" s="229">
        <f>SUM(G34:G51)</f>
        <v>11102.36</v>
      </c>
      <c r="H33" s="230">
        <f t="shared" si="23"/>
        <v>0</v>
      </c>
      <c r="I33" s="63">
        <f t="shared" si="23"/>
        <v>0</v>
      </c>
      <c r="J33" s="63">
        <f t="shared" si="23"/>
        <v>0</v>
      </c>
      <c r="K33" s="63">
        <f t="shared" si="23"/>
        <v>0</v>
      </c>
      <c r="L33" s="63">
        <f t="shared" si="23"/>
        <v>0</v>
      </c>
      <c r="M33" s="63">
        <f t="shared" si="23"/>
        <v>0</v>
      </c>
      <c r="N33" s="65">
        <f t="shared" si="23"/>
        <v>0</v>
      </c>
      <c r="O33" s="230">
        <f t="shared" si="23"/>
        <v>38600</v>
      </c>
      <c r="P33" s="63">
        <f t="shared" si="23"/>
        <v>8600</v>
      </c>
      <c r="Q33" s="63">
        <f t="shared" si="23"/>
        <v>7600</v>
      </c>
      <c r="R33" s="63">
        <f t="shared" si="23"/>
        <v>4100</v>
      </c>
      <c r="S33" s="63">
        <f>SUM(S34:S51)</f>
        <v>58900</v>
      </c>
      <c r="T33" s="65">
        <f t="shared" si="23"/>
        <v>70002.36</v>
      </c>
    </row>
    <row r="34" spans="1:20" x14ac:dyDescent="0.25">
      <c r="A34" s="232">
        <v>54101</v>
      </c>
      <c r="B34" s="66" t="s">
        <v>118</v>
      </c>
      <c r="C34" s="67"/>
      <c r="D34" s="67"/>
      <c r="E34" s="67"/>
      <c r="F34" s="67"/>
      <c r="G34" s="233">
        <f t="shared" si="7"/>
        <v>0</v>
      </c>
      <c r="H34" s="234"/>
      <c r="I34" s="67"/>
      <c r="J34" s="67"/>
      <c r="K34" s="67"/>
      <c r="L34" s="67"/>
      <c r="M34" s="67"/>
      <c r="N34" s="235">
        <f t="shared" si="2"/>
        <v>0</v>
      </c>
      <c r="O34" s="234">
        <v>1000</v>
      </c>
      <c r="P34" s="67"/>
      <c r="Q34" s="67"/>
      <c r="R34" s="67"/>
      <c r="S34" s="67">
        <f t="shared" ref="S34:S51" si="24">SUM(O34:R34)</f>
        <v>1000</v>
      </c>
      <c r="T34" s="68">
        <f t="shared" ref="T34:T51" si="25">S34+N34+G34</f>
        <v>1000</v>
      </c>
    </row>
    <row r="35" spans="1:20" x14ac:dyDescent="0.25">
      <c r="A35" s="232">
        <v>54103</v>
      </c>
      <c r="B35" s="66" t="s">
        <v>119</v>
      </c>
      <c r="C35" s="67"/>
      <c r="D35" s="67"/>
      <c r="E35" s="67"/>
      <c r="F35" s="67"/>
      <c r="G35" s="233">
        <f t="shared" si="7"/>
        <v>0</v>
      </c>
      <c r="H35" s="234"/>
      <c r="I35" s="67"/>
      <c r="J35" s="67"/>
      <c r="K35" s="67"/>
      <c r="L35" s="67"/>
      <c r="M35" s="67"/>
      <c r="N35" s="235">
        <f t="shared" si="2"/>
        <v>0</v>
      </c>
      <c r="O35" s="234">
        <v>500</v>
      </c>
      <c r="P35" s="67"/>
      <c r="Q35" s="67"/>
      <c r="R35" s="67"/>
      <c r="S35" s="67">
        <f t="shared" si="24"/>
        <v>500</v>
      </c>
      <c r="T35" s="68">
        <f t="shared" si="25"/>
        <v>500</v>
      </c>
    </row>
    <row r="36" spans="1:20" x14ac:dyDescent="0.25">
      <c r="A36" s="232">
        <v>54104</v>
      </c>
      <c r="B36" s="66" t="s">
        <v>120</v>
      </c>
      <c r="C36" s="67">
        <f>3605.36</f>
        <v>3605.36</v>
      </c>
      <c r="D36" s="67"/>
      <c r="E36" s="67"/>
      <c r="F36" s="67"/>
      <c r="G36" s="233">
        <f t="shared" si="7"/>
        <v>3605.36</v>
      </c>
      <c r="H36" s="234"/>
      <c r="I36" s="67"/>
      <c r="J36" s="67"/>
      <c r="K36" s="67"/>
      <c r="L36" s="67"/>
      <c r="M36" s="67"/>
      <c r="N36" s="235">
        <f t="shared" si="2"/>
        <v>0</v>
      </c>
      <c r="O36" s="234">
        <v>5400</v>
      </c>
      <c r="P36" s="67"/>
      <c r="Q36" s="67"/>
      <c r="R36" s="67"/>
      <c r="S36" s="67">
        <f t="shared" si="24"/>
        <v>5400</v>
      </c>
      <c r="T36" s="68">
        <f t="shared" si="25"/>
        <v>9005.36</v>
      </c>
    </row>
    <row r="37" spans="1:20" x14ac:dyDescent="0.25">
      <c r="A37" s="232">
        <v>54105</v>
      </c>
      <c r="B37" s="66" t="s">
        <v>121</v>
      </c>
      <c r="C37" s="67"/>
      <c r="D37" s="67"/>
      <c r="E37" s="67"/>
      <c r="F37" s="67"/>
      <c r="G37" s="233">
        <f t="shared" si="7"/>
        <v>0</v>
      </c>
      <c r="H37" s="234"/>
      <c r="I37" s="67"/>
      <c r="J37" s="67"/>
      <c r="K37" s="67"/>
      <c r="L37" s="67"/>
      <c r="M37" s="67"/>
      <c r="N37" s="235">
        <f t="shared" si="2"/>
        <v>0</v>
      </c>
      <c r="O37" s="234">
        <v>2000</v>
      </c>
      <c r="P37" s="67">
        <v>1500</v>
      </c>
      <c r="Q37" s="67">
        <v>1000</v>
      </c>
      <c r="R37" s="67">
        <v>500</v>
      </c>
      <c r="S37" s="67">
        <f t="shared" si="24"/>
        <v>5000</v>
      </c>
      <c r="T37" s="68">
        <f t="shared" si="25"/>
        <v>5000</v>
      </c>
    </row>
    <row r="38" spans="1:20" x14ac:dyDescent="0.25">
      <c r="A38" s="232">
        <v>54106</v>
      </c>
      <c r="B38" s="66" t="s">
        <v>122</v>
      </c>
      <c r="C38" s="67"/>
      <c r="D38" s="67"/>
      <c r="E38" s="67"/>
      <c r="F38" s="67"/>
      <c r="G38" s="233">
        <f t="shared" si="7"/>
        <v>0</v>
      </c>
      <c r="H38" s="234"/>
      <c r="I38" s="67"/>
      <c r="J38" s="67"/>
      <c r="K38" s="67"/>
      <c r="L38" s="67"/>
      <c r="M38" s="67"/>
      <c r="N38" s="235">
        <f t="shared" si="2"/>
        <v>0</v>
      </c>
      <c r="O38" s="234">
        <v>100</v>
      </c>
      <c r="P38" s="234">
        <v>100</v>
      </c>
      <c r="Q38" s="234">
        <v>100</v>
      </c>
      <c r="R38" s="234">
        <v>100</v>
      </c>
      <c r="S38" s="67">
        <f t="shared" si="24"/>
        <v>400</v>
      </c>
      <c r="T38" s="68">
        <f t="shared" si="25"/>
        <v>400</v>
      </c>
    </row>
    <row r="39" spans="1:20" x14ac:dyDescent="0.25">
      <c r="A39" s="232">
        <v>54107</v>
      </c>
      <c r="B39" s="66" t="s">
        <v>123</v>
      </c>
      <c r="C39" s="67"/>
      <c r="D39" s="67"/>
      <c r="E39" s="67"/>
      <c r="F39" s="67"/>
      <c r="G39" s="233">
        <f t="shared" si="7"/>
        <v>0</v>
      </c>
      <c r="H39" s="234"/>
      <c r="I39" s="67"/>
      <c r="J39" s="67"/>
      <c r="K39" s="67"/>
      <c r="L39" s="67"/>
      <c r="M39" s="67"/>
      <c r="N39" s="235">
        <f t="shared" si="2"/>
        <v>0</v>
      </c>
      <c r="O39" s="234">
        <v>2000</v>
      </c>
      <c r="P39" s="67">
        <v>1000</v>
      </c>
      <c r="Q39" s="67">
        <v>500</v>
      </c>
      <c r="R39" s="67">
        <v>500</v>
      </c>
      <c r="S39" s="67">
        <f t="shared" si="24"/>
        <v>4000</v>
      </c>
      <c r="T39" s="68">
        <f t="shared" si="25"/>
        <v>4000</v>
      </c>
    </row>
    <row r="40" spans="1:20" x14ac:dyDescent="0.25">
      <c r="A40" s="232">
        <v>54108</v>
      </c>
      <c r="B40" s="66" t="s">
        <v>124</v>
      </c>
      <c r="C40" s="67"/>
      <c r="D40" s="67"/>
      <c r="E40" s="67"/>
      <c r="F40" s="67"/>
      <c r="G40" s="233">
        <f t="shared" si="7"/>
        <v>0</v>
      </c>
      <c r="H40" s="234"/>
      <c r="I40" s="67"/>
      <c r="J40" s="67"/>
      <c r="K40" s="67"/>
      <c r="L40" s="67"/>
      <c r="M40" s="67"/>
      <c r="N40" s="235">
        <f t="shared" si="2"/>
        <v>0</v>
      </c>
      <c r="O40" s="234">
        <v>100</v>
      </c>
      <c r="P40" s="67"/>
      <c r="Q40" s="67"/>
      <c r="R40" s="67"/>
      <c r="S40" s="67">
        <f t="shared" si="24"/>
        <v>100</v>
      </c>
      <c r="T40" s="68">
        <f t="shared" si="25"/>
        <v>100</v>
      </c>
    </row>
    <row r="41" spans="1:20" x14ac:dyDescent="0.25">
      <c r="A41" s="232">
        <v>54109</v>
      </c>
      <c r="B41" s="66" t="s">
        <v>125</v>
      </c>
      <c r="C41" s="67"/>
      <c r="D41" s="67"/>
      <c r="E41" s="67"/>
      <c r="F41" s="67"/>
      <c r="G41" s="233">
        <f t="shared" si="7"/>
        <v>0</v>
      </c>
      <c r="H41" s="234"/>
      <c r="I41" s="67"/>
      <c r="J41" s="67"/>
      <c r="K41" s="67"/>
      <c r="L41" s="67"/>
      <c r="M41" s="67"/>
      <c r="N41" s="235">
        <f t="shared" si="2"/>
        <v>0</v>
      </c>
      <c r="O41" s="234">
        <v>9000</v>
      </c>
      <c r="P41" s="67"/>
      <c r="Q41" s="67"/>
      <c r="R41" s="67"/>
      <c r="S41" s="67">
        <f t="shared" si="24"/>
        <v>9000</v>
      </c>
      <c r="T41" s="68">
        <f t="shared" si="25"/>
        <v>9000</v>
      </c>
    </row>
    <row r="42" spans="1:20" x14ac:dyDescent="0.25">
      <c r="A42" s="232">
        <v>54110</v>
      </c>
      <c r="B42" s="66" t="s">
        <v>126</v>
      </c>
      <c r="C42" s="67">
        <v>1497</v>
      </c>
      <c r="D42" s="67">
        <v>1000</v>
      </c>
      <c r="E42" s="67">
        <v>500</v>
      </c>
      <c r="F42" s="67">
        <v>500</v>
      </c>
      <c r="G42" s="233">
        <f>C42+D42+E42+F42</f>
        <v>3497</v>
      </c>
      <c r="H42" s="234"/>
      <c r="I42" s="67"/>
      <c r="J42" s="67"/>
      <c r="K42" s="67"/>
      <c r="L42" s="67"/>
      <c r="M42" s="67"/>
      <c r="N42" s="235">
        <f t="shared" si="2"/>
        <v>0</v>
      </c>
      <c r="O42" s="234">
        <v>3000</v>
      </c>
      <c r="P42" s="67">
        <v>2000</v>
      </c>
      <c r="Q42" s="67">
        <v>2000</v>
      </c>
      <c r="R42" s="67">
        <v>1000</v>
      </c>
      <c r="S42" s="67">
        <f t="shared" si="24"/>
        <v>8000</v>
      </c>
      <c r="T42" s="68">
        <f t="shared" si="25"/>
        <v>11497</v>
      </c>
    </row>
    <row r="43" spans="1:20" x14ac:dyDescent="0.25">
      <c r="A43" s="232">
        <v>54111</v>
      </c>
      <c r="B43" s="66" t="s">
        <v>127</v>
      </c>
      <c r="C43" s="67"/>
      <c r="D43" s="67"/>
      <c r="E43" s="67"/>
      <c r="F43" s="67"/>
      <c r="G43" s="233">
        <f t="shared" si="7"/>
        <v>0</v>
      </c>
      <c r="H43" s="234"/>
      <c r="I43" s="67"/>
      <c r="J43" s="67"/>
      <c r="K43" s="67"/>
      <c r="L43" s="67"/>
      <c r="M43" s="67"/>
      <c r="N43" s="235">
        <f t="shared" si="2"/>
        <v>0</v>
      </c>
      <c r="O43" s="234">
        <v>1000</v>
      </c>
      <c r="P43" s="67"/>
      <c r="Q43" s="67"/>
      <c r="R43" s="67"/>
      <c r="S43" s="67">
        <f t="shared" si="24"/>
        <v>1000</v>
      </c>
      <c r="T43" s="68">
        <f t="shared" si="25"/>
        <v>1000</v>
      </c>
    </row>
    <row r="44" spans="1:20" x14ac:dyDescent="0.25">
      <c r="A44" s="232">
        <v>54112</v>
      </c>
      <c r="B44" s="66" t="s">
        <v>128</v>
      </c>
      <c r="C44" s="67"/>
      <c r="D44" s="67"/>
      <c r="E44" s="67"/>
      <c r="F44" s="67"/>
      <c r="G44" s="233">
        <f t="shared" si="7"/>
        <v>0</v>
      </c>
      <c r="H44" s="234"/>
      <c r="I44" s="67"/>
      <c r="J44" s="67"/>
      <c r="K44" s="67"/>
      <c r="L44" s="67"/>
      <c r="M44" s="67"/>
      <c r="N44" s="235">
        <f t="shared" si="2"/>
        <v>0</v>
      </c>
      <c r="O44" s="234">
        <v>1000</v>
      </c>
      <c r="P44" s="67"/>
      <c r="Q44" s="67"/>
      <c r="R44" s="67"/>
      <c r="S44" s="67">
        <f t="shared" si="24"/>
        <v>1000</v>
      </c>
      <c r="T44" s="68">
        <f t="shared" si="25"/>
        <v>1000</v>
      </c>
    </row>
    <row r="45" spans="1:20" x14ac:dyDescent="0.25">
      <c r="A45" s="232">
        <v>54114</v>
      </c>
      <c r="B45" s="66" t="s">
        <v>129</v>
      </c>
      <c r="C45" s="67"/>
      <c r="D45" s="67"/>
      <c r="E45" s="67"/>
      <c r="F45" s="67"/>
      <c r="G45" s="233">
        <f t="shared" si="7"/>
        <v>0</v>
      </c>
      <c r="H45" s="234"/>
      <c r="I45" s="67"/>
      <c r="J45" s="67"/>
      <c r="K45" s="67"/>
      <c r="L45" s="67"/>
      <c r="M45" s="67"/>
      <c r="N45" s="235">
        <f t="shared" si="2"/>
        <v>0</v>
      </c>
      <c r="O45" s="234">
        <v>3000</v>
      </c>
      <c r="P45" s="67">
        <v>2000</v>
      </c>
      <c r="Q45" s="67">
        <v>2000</v>
      </c>
      <c r="R45" s="67">
        <v>1000</v>
      </c>
      <c r="S45" s="67">
        <f t="shared" si="24"/>
        <v>8000</v>
      </c>
      <c r="T45" s="68">
        <f t="shared" si="25"/>
        <v>8000</v>
      </c>
    </row>
    <row r="46" spans="1:20" x14ac:dyDescent="0.25">
      <c r="A46" s="232">
        <v>54115</v>
      </c>
      <c r="B46" s="66" t="s">
        <v>130</v>
      </c>
      <c r="C46" s="67"/>
      <c r="D46" s="67"/>
      <c r="E46" s="67"/>
      <c r="F46" s="67"/>
      <c r="G46" s="233">
        <f t="shared" si="7"/>
        <v>0</v>
      </c>
      <c r="H46" s="234"/>
      <c r="I46" s="67"/>
      <c r="J46" s="67"/>
      <c r="K46" s="67"/>
      <c r="L46" s="67"/>
      <c r="M46" s="67"/>
      <c r="N46" s="235">
        <f t="shared" si="2"/>
        <v>0</v>
      </c>
      <c r="O46" s="234">
        <v>6000</v>
      </c>
      <c r="P46" s="67">
        <v>2000</v>
      </c>
      <c r="Q46" s="67">
        <v>2000</v>
      </c>
      <c r="R46" s="67">
        <v>1000</v>
      </c>
      <c r="S46" s="67">
        <f t="shared" si="24"/>
        <v>11000</v>
      </c>
      <c r="T46" s="68">
        <f t="shared" si="25"/>
        <v>11000</v>
      </c>
    </row>
    <row r="47" spans="1:20" x14ac:dyDescent="0.25">
      <c r="A47" s="232">
        <v>54116</v>
      </c>
      <c r="B47" s="66" t="s">
        <v>131</v>
      </c>
      <c r="C47" s="67"/>
      <c r="D47" s="67"/>
      <c r="E47" s="67"/>
      <c r="F47" s="67"/>
      <c r="G47" s="233">
        <f t="shared" si="7"/>
        <v>0</v>
      </c>
      <c r="H47" s="234"/>
      <c r="I47" s="67"/>
      <c r="J47" s="67"/>
      <c r="K47" s="67"/>
      <c r="L47" s="67"/>
      <c r="M47" s="67"/>
      <c r="N47" s="235">
        <f t="shared" si="2"/>
        <v>0</v>
      </c>
      <c r="O47" s="234">
        <v>1000</v>
      </c>
      <c r="P47" s="67"/>
      <c r="Q47" s="67"/>
      <c r="R47" s="67"/>
      <c r="S47" s="67">
        <f t="shared" si="24"/>
        <v>1000</v>
      </c>
      <c r="T47" s="68">
        <f t="shared" si="25"/>
        <v>1000</v>
      </c>
    </row>
    <row r="48" spans="1:20" x14ac:dyDescent="0.25">
      <c r="A48" s="232">
        <v>54118</v>
      </c>
      <c r="B48" s="66" t="s">
        <v>132</v>
      </c>
      <c r="C48" s="67"/>
      <c r="D48" s="67"/>
      <c r="E48" s="67"/>
      <c r="F48" s="67"/>
      <c r="G48" s="233">
        <f t="shared" si="7"/>
        <v>0</v>
      </c>
      <c r="H48" s="234"/>
      <c r="I48" s="67"/>
      <c r="J48" s="67"/>
      <c r="K48" s="67"/>
      <c r="L48" s="67"/>
      <c r="M48" s="67"/>
      <c r="N48" s="235">
        <f t="shared" si="2"/>
        <v>0</v>
      </c>
      <c r="O48" s="234">
        <v>1000</v>
      </c>
      <c r="P48" s="67"/>
      <c r="Q48" s="67"/>
      <c r="R48" s="67"/>
      <c r="S48" s="67">
        <f t="shared" si="24"/>
        <v>1000</v>
      </c>
      <c r="T48" s="68">
        <f t="shared" si="25"/>
        <v>1000</v>
      </c>
    </row>
    <row r="49" spans="1:20" x14ac:dyDescent="0.25">
      <c r="A49" s="232">
        <v>54119</v>
      </c>
      <c r="B49" s="66" t="s">
        <v>133</v>
      </c>
      <c r="C49" s="67"/>
      <c r="D49" s="67"/>
      <c r="E49" s="67"/>
      <c r="F49" s="67"/>
      <c r="G49" s="233">
        <f t="shared" si="7"/>
        <v>0</v>
      </c>
      <c r="H49" s="234"/>
      <c r="I49" s="67"/>
      <c r="J49" s="67"/>
      <c r="K49" s="67"/>
      <c r="L49" s="67"/>
      <c r="M49" s="67"/>
      <c r="N49" s="235">
        <f t="shared" si="2"/>
        <v>0</v>
      </c>
      <c r="O49" s="234">
        <v>1500</v>
      </c>
      <c r="P49" s="67"/>
      <c r="Q49" s="67"/>
      <c r="R49" s="67"/>
      <c r="S49" s="67">
        <f t="shared" si="24"/>
        <v>1500</v>
      </c>
      <c r="T49" s="68">
        <f t="shared" si="25"/>
        <v>1500</v>
      </c>
    </row>
    <row r="50" spans="1:20" x14ac:dyDescent="0.25">
      <c r="A50" s="232">
        <v>54121</v>
      </c>
      <c r="B50" s="66" t="s">
        <v>134</v>
      </c>
      <c r="C50" s="67">
        <v>4000</v>
      </c>
      <c r="D50" s="67"/>
      <c r="E50" s="67"/>
      <c r="F50" s="67"/>
      <c r="G50" s="233">
        <f t="shared" si="7"/>
        <v>4000</v>
      </c>
      <c r="H50" s="234"/>
      <c r="I50" s="67"/>
      <c r="J50" s="67"/>
      <c r="K50" s="67"/>
      <c r="L50" s="67"/>
      <c r="M50" s="67"/>
      <c r="N50" s="235">
        <f t="shared" si="2"/>
        <v>0</v>
      </c>
      <c r="O50" s="234"/>
      <c r="P50" s="67"/>
      <c r="Q50" s="67"/>
      <c r="R50" s="67"/>
      <c r="S50" s="67">
        <f t="shared" si="24"/>
        <v>0</v>
      </c>
      <c r="T50" s="68">
        <f t="shared" si="25"/>
        <v>4000</v>
      </c>
    </row>
    <row r="51" spans="1:20" x14ac:dyDescent="0.25">
      <c r="A51" s="232">
        <v>54199</v>
      </c>
      <c r="B51" s="66" t="s">
        <v>117</v>
      </c>
      <c r="C51" s="67"/>
      <c r="D51" s="67"/>
      <c r="E51" s="67"/>
      <c r="F51" s="67"/>
      <c r="G51" s="233">
        <f t="shared" si="7"/>
        <v>0</v>
      </c>
      <c r="H51" s="234"/>
      <c r="I51" s="67"/>
      <c r="J51" s="67"/>
      <c r="K51" s="67"/>
      <c r="L51" s="67"/>
      <c r="M51" s="67"/>
      <c r="N51" s="235">
        <f t="shared" si="2"/>
        <v>0</v>
      </c>
      <c r="O51" s="234">
        <v>1000</v>
      </c>
      <c r="P51" s="67"/>
      <c r="Q51" s="67"/>
      <c r="R51" s="67"/>
      <c r="S51" s="67">
        <f t="shared" si="24"/>
        <v>1000</v>
      </c>
      <c r="T51" s="68">
        <f t="shared" si="25"/>
        <v>1000</v>
      </c>
    </row>
    <row r="52" spans="1:20" x14ac:dyDescent="0.25">
      <c r="A52" s="231">
        <v>542</v>
      </c>
      <c r="B52" s="62" t="s">
        <v>135</v>
      </c>
      <c r="C52" s="63">
        <f>SUM(C53:C57)</f>
        <v>110745.44</v>
      </c>
      <c r="D52" s="63">
        <f t="shared" ref="D52:T52" si="26">SUM(D53:D57)</f>
        <v>0</v>
      </c>
      <c r="E52" s="63">
        <f t="shared" si="26"/>
        <v>0</v>
      </c>
      <c r="F52" s="63">
        <f t="shared" si="26"/>
        <v>0</v>
      </c>
      <c r="G52" s="229">
        <f>SUM(G53:G57)</f>
        <v>110745.44</v>
      </c>
      <c r="H52" s="230">
        <f t="shared" si="26"/>
        <v>0</v>
      </c>
      <c r="I52" s="63">
        <f t="shared" si="26"/>
        <v>0</v>
      </c>
      <c r="J52" s="63">
        <f t="shared" si="26"/>
        <v>0</v>
      </c>
      <c r="K52" s="63">
        <f t="shared" si="26"/>
        <v>0</v>
      </c>
      <c r="L52" s="63">
        <f t="shared" si="26"/>
        <v>0</v>
      </c>
      <c r="M52" s="63">
        <f t="shared" si="26"/>
        <v>0</v>
      </c>
      <c r="N52" s="65">
        <f t="shared" si="26"/>
        <v>0</v>
      </c>
      <c r="O52" s="230">
        <f t="shared" si="26"/>
        <v>37125</v>
      </c>
      <c r="P52" s="63">
        <f t="shared" si="26"/>
        <v>0</v>
      </c>
      <c r="Q52" s="63">
        <f t="shared" si="26"/>
        <v>0</v>
      </c>
      <c r="R52" s="63">
        <f t="shared" si="26"/>
        <v>0</v>
      </c>
      <c r="S52" s="63">
        <f t="shared" si="26"/>
        <v>37125</v>
      </c>
      <c r="T52" s="65">
        <f t="shared" si="26"/>
        <v>147870.44</v>
      </c>
    </row>
    <row r="53" spans="1:20" x14ac:dyDescent="0.25">
      <c r="A53" s="232">
        <v>54201</v>
      </c>
      <c r="B53" s="66" t="s">
        <v>136</v>
      </c>
      <c r="C53" s="67">
        <v>49082.94</v>
      </c>
      <c r="D53" s="67"/>
      <c r="E53" s="67"/>
      <c r="F53" s="67"/>
      <c r="G53" s="233">
        <f t="shared" si="7"/>
        <v>49082.94</v>
      </c>
      <c r="H53" s="234"/>
      <c r="I53" s="67"/>
      <c r="J53" s="67"/>
      <c r="K53" s="67"/>
      <c r="L53" s="67"/>
      <c r="M53" s="67"/>
      <c r="N53" s="235">
        <f t="shared" si="2"/>
        <v>0</v>
      </c>
      <c r="O53" s="234">
        <v>16400</v>
      </c>
      <c r="P53" s="67"/>
      <c r="Q53" s="67"/>
      <c r="R53" s="67"/>
      <c r="S53" s="67">
        <f t="shared" ref="S53:S57" si="27">SUM(O53:R53)</f>
        <v>16400</v>
      </c>
      <c r="T53" s="68">
        <f t="shared" ref="T53:T57" si="28">S53+N53+G53</f>
        <v>65482.94</v>
      </c>
    </row>
    <row r="54" spans="1:20" x14ac:dyDescent="0.25">
      <c r="A54" s="237">
        <v>54202</v>
      </c>
      <c r="B54" s="66" t="s">
        <v>137</v>
      </c>
      <c r="C54" s="67">
        <f>944.73</f>
        <v>944.73</v>
      </c>
      <c r="D54" s="67"/>
      <c r="E54" s="67"/>
      <c r="F54" s="67"/>
      <c r="G54" s="233">
        <f t="shared" si="7"/>
        <v>944.73</v>
      </c>
      <c r="H54" s="234"/>
      <c r="I54" s="67"/>
      <c r="J54" s="67"/>
      <c r="K54" s="67"/>
      <c r="L54" s="67"/>
      <c r="M54" s="67"/>
      <c r="N54" s="235">
        <f t="shared" si="2"/>
        <v>0</v>
      </c>
      <c r="O54" s="234">
        <v>350</v>
      </c>
      <c r="P54" s="67"/>
      <c r="Q54" s="67"/>
      <c r="R54" s="67"/>
      <c r="S54" s="67">
        <f t="shared" si="27"/>
        <v>350</v>
      </c>
      <c r="T54" s="68">
        <f t="shared" si="28"/>
        <v>1294.73</v>
      </c>
    </row>
    <row r="55" spans="1:20" x14ac:dyDescent="0.25">
      <c r="A55" s="237">
        <v>54203</v>
      </c>
      <c r="B55" s="66" t="s">
        <v>138</v>
      </c>
      <c r="C55" s="67">
        <f>3217.77+4500+3500</f>
        <v>11217.77</v>
      </c>
      <c r="D55" s="67"/>
      <c r="E55" s="67"/>
      <c r="F55" s="67"/>
      <c r="G55" s="233">
        <f t="shared" si="7"/>
        <v>11217.77</v>
      </c>
      <c r="H55" s="234"/>
      <c r="I55" s="67"/>
      <c r="J55" s="67"/>
      <c r="K55" s="67"/>
      <c r="L55" s="67"/>
      <c r="M55" s="67"/>
      <c r="N55" s="235">
        <f t="shared" si="2"/>
        <v>0</v>
      </c>
      <c r="O55" s="234">
        <v>3775</v>
      </c>
      <c r="P55" s="67"/>
      <c r="Q55" s="67"/>
      <c r="R55" s="67"/>
      <c r="S55" s="67">
        <f t="shared" si="27"/>
        <v>3775</v>
      </c>
      <c r="T55" s="68">
        <f t="shared" si="28"/>
        <v>14992.77</v>
      </c>
    </row>
    <row r="56" spans="1:20" x14ac:dyDescent="0.25">
      <c r="A56" s="237">
        <v>54204</v>
      </c>
      <c r="B56" s="66" t="s">
        <v>139</v>
      </c>
      <c r="C56" s="67"/>
      <c r="D56" s="67"/>
      <c r="E56" s="67"/>
      <c r="F56" s="67"/>
      <c r="G56" s="233">
        <f t="shared" si="7"/>
        <v>0</v>
      </c>
      <c r="H56" s="234"/>
      <c r="I56" s="67"/>
      <c r="J56" s="67"/>
      <c r="K56" s="67"/>
      <c r="L56" s="67"/>
      <c r="M56" s="67"/>
      <c r="N56" s="235">
        <f t="shared" si="2"/>
        <v>0</v>
      </c>
      <c r="O56" s="234">
        <v>100</v>
      </c>
      <c r="P56" s="67"/>
      <c r="Q56" s="67"/>
      <c r="R56" s="67"/>
      <c r="S56" s="67">
        <f t="shared" si="27"/>
        <v>100</v>
      </c>
      <c r="T56" s="68">
        <f t="shared" si="28"/>
        <v>100</v>
      </c>
    </row>
    <row r="57" spans="1:20" x14ac:dyDescent="0.25">
      <c r="A57" s="237">
        <v>54205</v>
      </c>
      <c r="B57" s="66" t="s">
        <v>140</v>
      </c>
      <c r="C57" s="67">
        <v>49500</v>
      </c>
      <c r="D57" s="67"/>
      <c r="E57" s="67"/>
      <c r="F57" s="67"/>
      <c r="G57" s="233">
        <f t="shared" si="7"/>
        <v>49500</v>
      </c>
      <c r="H57" s="234"/>
      <c r="I57" s="67"/>
      <c r="J57" s="67"/>
      <c r="K57" s="67"/>
      <c r="L57" s="67"/>
      <c r="M57" s="67"/>
      <c r="N57" s="235">
        <f t="shared" si="2"/>
        <v>0</v>
      </c>
      <c r="O57" s="234">
        <v>16500</v>
      </c>
      <c r="P57" s="67"/>
      <c r="Q57" s="67"/>
      <c r="R57" s="67"/>
      <c r="S57" s="67">
        <f t="shared" si="27"/>
        <v>16500</v>
      </c>
      <c r="T57" s="68">
        <f t="shared" si="28"/>
        <v>66000</v>
      </c>
    </row>
    <row r="58" spans="1:20" x14ac:dyDescent="0.25">
      <c r="A58" s="238">
        <v>543</v>
      </c>
      <c r="B58" s="62" t="s">
        <v>141</v>
      </c>
      <c r="C58" s="63">
        <f>SUM(C59:C68)</f>
        <v>0</v>
      </c>
      <c r="D58" s="63">
        <f t="shared" ref="D58:S58" si="29">SUM(D59:D68)</f>
        <v>0</v>
      </c>
      <c r="E58" s="63">
        <f t="shared" si="29"/>
        <v>0</v>
      </c>
      <c r="F58" s="63">
        <f t="shared" si="29"/>
        <v>0</v>
      </c>
      <c r="G58" s="229">
        <f>SUM(G59:G68)</f>
        <v>0</v>
      </c>
      <c r="H58" s="230">
        <f t="shared" si="29"/>
        <v>0</v>
      </c>
      <c r="I58" s="63">
        <f t="shared" si="29"/>
        <v>0</v>
      </c>
      <c r="J58" s="63">
        <f t="shared" si="29"/>
        <v>0</v>
      </c>
      <c r="K58" s="63">
        <f t="shared" si="29"/>
        <v>0</v>
      </c>
      <c r="L58" s="63">
        <f t="shared" si="29"/>
        <v>0</v>
      </c>
      <c r="M58" s="63">
        <f t="shared" si="29"/>
        <v>0</v>
      </c>
      <c r="N58" s="65">
        <f t="shared" si="29"/>
        <v>0</v>
      </c>
      <c r="O58" s="230">
        <f t="shared" si="29"/>
        <v>48100</v>
      </c>
      <c r="P58" s="63">
        <f t="shared" si="29"/>
        <v>0</v>
      </c>
      <c r="Q58" s="63">
        <f t="shared" si="29"/>
        <v>0</v>
      </c>
      <c r="R58" s="63">
        <f t="shared" si="29"/>
        <v>0</v>
      </c>
      <c r="S58" s="63">
        <f t="shared" si="29"/>
        <v>48100</v>
      </c>
      <c r="T58" s="65">
        <f>SUM(T59:T68)</f>
        <v>48100</v>
      </c>
    </row>
    <row r="59" spans="1:20" x14ac:dyDescent="0.25">
      <c r="A59" s="237">
        <v>54301</v>
      </c>
      <c r="B59" s="66" t="s">
        <v>142</v>
      </c>
      <c r="C59" s="67"/>
      <c r="D59" s="67"/>
      <c r="E59" s="67"/>
      <c r="F59" s="67"/>
      <c r="G59" s="233">
        <f t="shared" si="7"/>
        <v>0</v>
      </c>
      <c r="H59" s="234"/>
      <c r="I59" s="67"/>
      <c r="J59" s="67"/>
      <c r="K59" s="67"/>
      <c r="L59" s="67"/>
      <c r="M59" s="67"/>
      <c r="N59" s="235">
        <f t="shared" si="2"/>
        <v>0</v>
      </c>
      <c r="O59" s="234">
        <v>10000</v>
      </c>
      <c r="P59" s="67"/>
      <c r="Q59" s="67"/>
      <c r="R59" s="67"/>
      <c r="S59" s="67">
        <f t="shared" ref="S59:S80" si="30">SUM(O59:R59)</f>
        <v>10000</v>
      </c>
      <c r="T59" s="68">
        <f t="shared" ref="T59:T68" si="31">S59+N59+G59</f>
        <v>10000</v>
      </c>
    </row>
    <row r="60" spans="1:20" x14ac:dyDescent="0.25">
      <c r="A60" s="237">
        <v>54302</v>
      </c>
      <c r="B60" s="66" t="s">
        <v>143</v>
      </c>
      <c r="C60" s="67"/>
      <c r="D60" s="67"/>
      <c r="E60" s="67"/>
      <c r="F60" s="67"/>
      <c r="G60" s="233">
        <f t="shared" si="7"/>
        <v>0</v>
      </c>
      <c r="H60" s="234"/>
      <c r="I60" s="67"/>
      <c r="J60" s="67"/>
      <c r="K60" s="67"/>
      <c r="L60" s="67"/>
      <c r="M60" s="67"/>
      <c r="N60" s="235">
        <f t="shared" si="2"/>
        <v>0</v>
      </c>
      <c r="O60" s="234">
        <v>100</v>
      </c>
      <c r="P60" s="67"/>
      <c r="Q60" s="67"/>
      <c r="R60" s="67"/>
      <c r="S60" s="67">
        <f t="shared" si="30"/>
        <v>100</v>
      </c>
      <c r="T60" s="68">
        <f t="shared" si="31"/>
        <v>100</v>
      </c>
    </row>
    <row r="61" spans="1:20" x14ac:dyDescent="0.25">
      <c r="A61" s="237">
        <v>54303</v>
      </c>
      <c r="B61" s="66" t="s">
        <v>144</v>
      </c>
      <c r="C61" s="67"/>
      <c r="D61" s="67"/>
      <c r="E61" s="67"/>
      <c r="F61" s="67"/>
      <c r="G61" s="233">
        <f t="shared" si="7"/>
        <v>0</v>
      </c>
      <c r="H61" s="234"/>
      <c r="I61" s="67"/>
      <c r="J61" s="67"/>
      <c r="K61" s="67"/>
      <c r="L61" s="67"/>
      <c r="M61" s="67"/>
      <c r="N61" s="235">
        <f t="shared" si="2"/>
        <v>0</v>
      </c>
      <c r="O61" s="234">
        <v>1500</v>
      </c>
      <c r="P61" s="67"/>
      <c r="Q61" s="67"/>
      <c r="R61" s="67"/>
      <c r="S61" s="67">
        <f t="shared" si="30"/>
        <v>1500</v>
      </c>
      <c r="T61" s="68">
        <f t="shared" si="31"/>
        <v>1500</v>
      </c>
    </row>
    <row r="62" spans="1:20" x14ac:dyDescent="0.25">
      <c r="A62" s="237">
        <v>54304</v>
      </c>
      <c r="B62" s="66" t="s">
        <v>145</v>
      </c>
      <c r="C62" s="67"/>
      <c r="D62" s="67"/>
      <c r="E62" s="67"/>
      <c r="F62" s="67"/>
      <c r="G62" s="233">
        <f t="shared" si="7"/>
        <v>0</v>
      </c>
      <c r="H62" s="234"/>
      <c r="I62" s="67"/>
      <c r="J62" s="67"/>
      <c r="K62" s="67"/>
      <c r="L62" s="67"/>
      <c r="M62" s="67"/>
      <c r="N62" s="235">
        <f t="shared" si="2"/>
        <v>0</v>
      </c>
      <c r="O62" s="234">
        <f>500*12</f>
        <v>6000</v>
      </c>
      <c r="P62" s="67"/>
      <c r="Q62" s="67"/>
      <c r="R62" s="67"/>
      <c r="S62" s="67">
        <f t="shared" si="30"/>
        <v>6000</v>
      </c>
      <c r="T62" s="68">
        <f t="shared" si="31"/>
        <v>6000</v>
      </c>
    </row>
    <row r="63" spans="1:20" x14ac:dyDescent="0.25">
      <c r="A63" s="237">
        <v>54305</v>
      </c>
      <c r="B63" s="66" t="s">
        <v>146</v>
      </c>
      <c r="C63" s="67"/>
      <c r="D63" s="67"/>
      <c r="E63" s="67"/>
      <c r="F63" s="67"/>
      <c r="G63" s="233">
        <f t="shared" si="7"/>
        <v>0</v>
      </c>
      <c r="H63" s="234"/>
      <c r="I63" s="67"/>
      <c r="J63" s="67"/>
      <c r="K63" s="67"/>
      <c r="L63" s="67"/>
      <c r="M63" s="67"/>
      <c r="N63" s="235">
        <f t="shared" si="2"/>
        <v>0</v>
      </c>
      <c r="O63" s="234">
        <f>600*12</f>
        <v>7200</v>
      </c>
      <c r="P63" s="67"/>
      <c r="Q63" s="67"/>
      <c r="R63" s="67"/>
      <c r="S63" s="67">
        <f t="shared" si="30"/>
        <v>7200</v>
      </c>
      <c r="T63" s="68">
        <f t="shared" si="31"/>
        <v>7200</v>
      </c>
    </row>
    <row r="64" spans="1:20" x14ac:dyDescent="0.25">
      <c r="A64" s="237">
        <v>54307</v>
      </c>
      <c r="B64" s="66" t="s">
        <v>147</v>
      </c>
      <c r="C64" s="67"/>
      <c r="D64" s="67"/>
      <c r="E64" s="67"/>
      <c r="F64" s="67"/>
      <c r="G64" s="233">
        <f t="shared" si="7"/>
        <v>0</v>
      </c>
      <c r="H64" s="234"/>
      <c r="I64" s="67"/>
      <c r="J64" s="67"/>
      <c r="K64" s="67"/>
      <c r="L64" s="67"/>
      <c r="M64" s="67"/>
      <c r="N64" s="235">
        <f t="shared" si="2"/>
        <v>0</v>
      </c>
      <c r="O64" s="234">
        <v>100</v>
      </c>
      <c r="P64" s="67"/>
      <c r="Q64" s="67"/>
      <c r="R64" s="67"/>
      <c r="S64" s="67">
        <f t="shared" si="30"/>
        <v>100</v>
      </c>
      <c r="T64" s="68">
        <f t="shared" si="31"/>
        <v>100</v>
      </c>
    </row>
    <row r="65" spans="1:20" x14ac:dyDescent="0.25">
      <c r="A65" s="237">
        <v>54311</v>
      </c>
      <c r="B65" s="66" t="s">
        <v>148</v>
      </c>
      <c r="C65" s="67"/>
      <c r="D65" s="67"/>
      <c r="E65" s="67"/>
      <c r="F65" s="67"/>
      <c r="G65" s="233">
        <f t="shared" si="7"/>
        <v>0</v>
      </c>
      <c r="H65" s="234"/>
      <c r="I65" s="67"/>
      <c r="J65" s="67"/>
      <c r="K65" s="67"/>
      <c r="L65" s="67"/>
      <c r="M65" s="67"/>
      <c r="N65" s="235">
        <f t="shared" si="2"/>
        <v>0</v>
      </c>
      <c r="O65" s="234">
        <v>100</v>
      </c>
      <c r="P65" s="67"/>
      <c r="Q65" s="67"/>
      <c r="R65" s="67"/>
      <c r="S65" s="67">
        <f t="shared" si="30"/>
        <v>100</v>
      </c>
      <c r="T65" s="68">
        <f t="shared" si="31"/>
        <v>100</v>
      </c>
    </row>
    <row r="66" spans="1:20" x14ac:dyDescent="0.25">
      <c r="A66" s="237">
        <v>54313</v>
      </c>
      <c r="B66" s="66" t="s">
        <v>149</v>
      </c>
      <c r="C66" s="67"/>
      <c r="D66" s="67"/>
      <c r="E66" s="67"/>
      <c r="F66" s="67"/>
      <c r="G66" s="233">
        <f t="shared" si="7"/>
        <v>0</v>
      </c>
      <c r="H66" s="234"/>
      <c r="I66" s="67"/>
      <c r="J66" s="67"/>
      <c r="K66" s="67"/>
      <c r="L66" s="67"/>
      <c r="M66" s="67"/>
      <c r="N66" s="235">
        <f t="shared" si="2"/>
        <v>0</v>
      </c>
      <c r="O66" s="234">
        <f>300*12</f>
        <v>3600</v>
      </c>
      <c r="P66" s="67"/>
      <c r="Q66" s="67"/>
      <c r="R66" s="67"/>
      <c r="S66" s="67">
        <f t="shared" si="30"/>
        <v>3600</v>
      </c>
      <c r="T66" s="68">
        <f t="shared" si="31"/>
        <v>3600</v>
      </c>
    </row>
    <row r="67" spans="1:20" x14ac:dyDescent="0.25">
      <c r="A67" s="237">
        <v>54314</v>
      </c>
      <c r="B67" s="66" t="s">
        <v>150</v>
      </c>
      <c r="C67" s="67"/>
      <c r="D67" s="67"/>
      <c r="E67" s="67"/>
      <c r="F67" s="67"/>
      <c r="G67" s="233">
        <f t="shared" si="7"/>
        <v>0</v>
      </c>
      <c r="H67" s="234"/>
      <c r="I67" s="67"/>
      <c r="J67" s="67"/>
      <c r="K67" s="67"/>
      <c r="L67" s="67"/>
      <c r="M67" s="67"/>
      <c r="N67" s="235">
        <f t="shared" si="2"/>
        <v>0</v>
      </c>
      <c r="O67" s="234">
        <v>17000</v>
      </c>
      <c r="P67" s="67"/>
      <c r="Q67" s="67"/>
      <c r="R67" s="67"/>
      <c r="S67" s="67">
        <f t="shared" si="30"/>
        <v>17000</v>
      </c>
      <c r="T67" s="68">
        <f t="shared" si="31"/>
        <v>17000</v>
      </c>
    </row>
    <row r="68" spans="1:20" x14ac:dyDescent="0.25">
      <c r="A68" s="237">
        <v>54316</v>
      </c>
      <c r="B68" s="66" t="s">
        <v>151</v>
      </c>
      <c r="C68" s="67"/>
      <c r="D68" s="67"/>
      <c r="E68" s="67"/>
      <c r="F68" s="67"/>
      <c r="G68" s="233">
        <f t="shared" si="7"/>
        <v>0</v>
      </c>
      <c r="H68" s="234"/>
      <c r="I68" s="67"/>
      <c r="J68" s="67"/>
      <c r="K68" s="67"/>
      <c r="L68" s="67"/>
      <c r="M68" s="67"/>
      <c r="N68" s="235">
        <f t="shared" si="2"/>
        <v>0</v>
      </c>
      <c r="O68" s="234">
        <v>2500</v>
      </c>
      <c r="P68" s="67"/>
      <c r="Q68" s="67"/>
      <c r="R68" s="67"/>
      <c r="S68" s="67">
        <f t="shared" si="30"/>
        <v>2500</v>
      </c>
      <c r="T68" s="68">
        <f t="shared" si="31"/>
        <v>2500</v>
      </c>
    </row>
    <row r="69" spans="1:20" x14ac:dyDescent="0.25">
      <c r="A69" s="238">
        <v>544</v>
      </c>
      <c r="B69" s="62" t="s">
        <v>152</v>
      </c>
      <c r="C69" s="62"/>
      <c r="D69" s="71">
        <f t="shared" ref="D69:S69" si="32">SUM(D70:D72)</f>
        <v>0</v>
      </c>
      <c r="E69" s="71">
        <f t="shared" si="32"/>
        <v>0</v>
      </c>
      <c r="F69" s="71">
        <f t="shared" si="32"/>
        <v>0</v>
      </c>
      <c r="G69" s="239">
        <f>SUM(G70:G72)</f>
        <v>0</v>
      </c>
      <c r="H69" s="240">
        <f t="shared" si="32"/>
        <v>0</v>
      </c>
      <c r="I69" s="71">
        <f t="shared" si="32"/>
        <v>0</v>
      </c>
      <c r="J69" s="71">
        <f t="shared" si="32"/>
        <v>0</v>
      </c>
      <c r="K69" s="71">
        <f t="shared" si="32"/>
        <v>0</v>
      </c>
      <c r="L69" s="71">
        <f t="shared" si="32"/>
        <v>0</v>
      </c>
      <c r="M69" s="71">
        <f t="shared" si="32"/>
        <v>0</v>
      </c>
      <c r="N69" s="72">
        <f t="shared" si="32"/>
        <v>0</v>
      </c>
      <c r="O69" s="230">
        <f t="shared" si="32"/>
        <v>3500</v>
      </c>
      <c r="P69" s="71">
        <f t="shared" si="32"/>
        <v>0</v>
      </c>
      <c r="Q69" s="71">
        <f t="shared" si="32"/>
        <v>0</v>
      </c>
      <c r="R69" s="71">
        <f t="shared" si="32"/>
        <v>0</v>
      </c>
      <c r="S69" s="63">
        <f t="shared" si="32"/>
        <v>3500</v>
      </c>
      <c r="T69" s="72">
        <f>SUM(T70:T72)</f>
        <v>3500</v>
      </c>
    </row>
    <row r="70" spans="1:20" x14ac:dyDescent="0.25">
      <c r="A70" s="237">
        <v>54401</v>
      </c>
      <c r="B70" s="66" t="s">
        <v>153</v>
      </c>
      <c r="C70" s="66"/>
      <c r="D70" s="73"/>
      <c r="E70" s="67"/>
      <c r="F70" s="67"/>
      <c r="G70" s="233">
        <f t="shared" si="7"/>
        <v>0</v>
      </c>
      <c r="H70" s="234"/>
      <c r="I70" s="67"/>
      <c r="J70" s="67"/>
      <c r="K70" s="67"/>
      <c r="L70" s="67"/>
      <c r="M70" s="67"/>
      <c r="N70" s="69"/>
      <c r="O70" s="234">
        <v>800</v>
      </c>
      <c r="P70" s="67"/>
      <c r="Q70" s="67"/>
      <c r="R70" s="67"/>
      <c r="S70" s="67">
        <f t="shared" si="30"/>
        <v>800</v>
      </c>
      <c r="T70" s="68">
        <f t="shared" ref="T70:T72" si="33">S70+N70+G70</f>
        <v>800</v>
      </c>
    </row>
    <row r="71" spans="1:20" x14ac:dyDescent="0.25">
      <c r="A71" s="237">
        <v>54402</v>
      </c>
      <c r="B71" s="66" t="s">
        <v>154</v>
      </c>
      <c r="C71" s="66"/>
      <c r="D71" s="73"/>
      <c r="E71" s="67"/>
      <c r="F71" s="67"/>
      <c r="G71" s="233">
        <f t="shared" si="7"/>
        <v>0</v>
      </c>
      <c r="H71" s="234"/>
      <c r="I71" s="67"/>
      <c r="J71" s="67"/>
      <c r="K71" s="67"/>
      <c r="L71" s="67"/>
      <c r="M71" s="67"/>
      <c r="N71" s="69"/>
      <c r="O71" s="234">
        <v>2000</v>
      </c>
      <c r="P71" s="67"/>
      <c r="Q71" s="67"/>
      <c r="R71" s="67"/>
      <c r="S71" s="67">
        <f t="shared" si="30"/>
        <v>2000</v>
      </c>
      <c r="T71" s="68">
        <f t="shared" si="33"/>
        <v>2000</v>
      </c>
    </row>
    <row r="72" spans="1:20" x14ac:dyDescent="0.25">
      <c r="A72" s="237">
        <v>54403</v>
      </c>
      <c r="B72" s="66" t="s">
        <v>155</v>
      </c>
      <c r="C72" s="66"/>
      <c r="D72" s="73"/>
      <c r="E72" s="67"/>
      <c r="F72" s="67"/>
      <c r="G72" s="233">
        <f t="shared" si="7"/>
        <v>0</v>
      </c>
      <c r="H72" s="234"/>
      <c r="I72" s="67"/>
      <c r="J72" s="67"/>
      <c r="K72" s="67"/>
      <c r="L72" s="67"/>
      <c r="M72" s="67"/>
      <c r="N72" s="69"/>
      <c r="O72" s="234">
        <v>700</v>
      </c>
      <c r="P72" s="67"/>
      <c r="Q72" s="67"/>
      <c r="R72" s="67"/>
      <c r="S72" s="67">
        <f t="shared" si="30"/>
        <v>700</v>
      </c>
      <c r="T72" s="68">
        <f t="shared" si="33"/>
        <v>700</v>
      </c>
    </row>
    <row r="73" spans="1:20" x14ac:dyDescent="0.25">
      <c r="A73" s="238">
        <v>545</v>
      </c>
      <c r="B73" s="62" t="s">
        <v>156</v>
      </c>
      <c r="C73" s="62"/>
      <c r="D73" s="63">
        <f>SUM(D74:D78)</f>
        <v>0</v>
      </c>
      <c r="E73" s="63">
        <f>SUM(E74:E78)</f>
        <v>0</v>
      </c>
      <c r="F73" s="63">
        <f t="shared" ref="F73:T73" si="34">SUM(F74:F78)</f>
        <v>0</v>
      </c>
      <c r="G73" s="229">
        <f t="shared" si="34"/>
        <v>0</v>
      </c>
      <c r="H73" s="230">
        <f t="shared" si="34"/>
        <v>0</v>
      </c>
      <c r="I73" s="63">
        <f t="shared" si="34"/>
        <v>0</v>
      </c>
      <c r="J73" s="63">
        <f t="shared" si="34"/>
        <v>0</v>
      </c>
      <c r="K73" s="63">
        <f t="shared" si="34"/>
        <v>0</v>
      </c>
      <c r="L73" s="63">
        <f t="shared" si="34"/>
        <v>0</v>
      </c>
      <c r="M73" s="63">
        <f t="shared" si="34"/>
        <v>0</v>
      </c>
      <c r="N73" s="65">
        <f t="shared" si="34"/>
        <v>0</v>
      </c>
      <c r="O73" s="230">
        <f t="shared" si="34"/>
        <v>5261.3600000000006</v>
      </c>
      <c r="P73" s="63">
        <f t="shared" si="34"/>
        <v>0</v>
      </c>
      <c r="Q73" s="63">
        <f t="shared" si="34"/>
        <v>0</v>
      </c>
      <c r="R73" s="63">
        <f t="shared" si="34"/>
        <v>0</v>
      </c>
      <c r="S73" s="63">
        <f t="shared" si="34"/>
        <v>5261.3600000000006</v>
      </c>
      <c r="T73" s="65">
        <f t="shared" si="34"/>
        <v>5261.3600000000006</v>
      </c>
    </row>
    <row r="74" spans="1:20" x14ac:dyDescent="0.25">
      <c r="A74" s="237">
        <v>54502</v>
      </c>
      <c r="B74" s="66" t="s">
        <v>157</v>
      </c>
      <c r="C74" s="66"/>
      <c r="D74" s="73"/>
      <c r="E74" s="67"/>
      <c r="F74" s="67"/>
      <c r="G74" s="233">
        <f t="shared" si="7"/>
        <v>0</v>
      </c>
      <c r="H74" s="234"/>
      <c r="I74" s="67"/>
      <c r="J74" s="67"/>
      <c r="K74" s="67"/>
      <c r="L74" s="67"/>
      <c r="M74" s="67"/>
      <c r="N74" s="69"/>
      <c r="O74" s="234"/>
      <c r="P74" s="67"/>
      <c r="Q74" s="67"/>
      <c r="R74" s="67"/>
      <c r="S74" s="67">
        <f t="shared" si="30"/>
        <v>0</v>
      </c>
      <c r="T74" s="68">
        <f t="shared" ref="T74:T78" si="35">S74+N74+G74</f>
        <v>0</v>
      </c>
    </row>
    <row r="75" spans="1:20" x14ac:dyDescent="0.25">
      <c r="A75" s="237">
        <v>54503</v>
      </c>
      <c r="B75" s="66" t="s">
        <v>158</v>
      </c>
      <c r="C75" s="66"/>
      <c r="D75" s="73"/>
      <c r="E75" s="67"/>
      <c r="F75" s="67"/>
      <c r="G75" s="233">
        <f t="shared" si="7"/>
        <v>0</v>
      </c>
      <c r="H75" s="234"/>
      <c r="I75" s="67"/>
      <c r="J75" s="67"/>
      <c r="K75" s="67"/>
      <c r="L75" s="67"/>
      <c r="M75" s="67"/>
      <c r="N75" s="69"/>
      <c r="O75" s="234">
        <v>761.36</v>
      </c>
      <c r="P75" s="67"/>
      <c r="Q75" s="67"/>
      <c r="R75" s="67"/>
      <c r="S75" s="67">
        <f t="shared" si="30"/>
        <v>761.36</v>
      </c>
      <c r="T75" s="68">
        <f t="shared" si="35"/>
        <v>761.36</v>
      </c>
    </row>
    <row r="76" spans="1:20" x14ac:dyDescent="0.25">
      <c r="A76" s="237">
        <v>54504</v>
      </c>
      <c r="B76" s="66" t="s">
        <v>159</v>
      </c>
      <c r="C76" s="66"/>
      <c r="D76" s="73"/>
      <c r="E76" s="67"/>
      <c r="F76" s="67"/>
      <c r="G76" s="233">
        <f t="shared" si="7"/>
        <v>0</v>
      </c>
      <c r="H76" s="234"/>
      <c r="I76" s="67"/>
      <c r="J76" s="67"/>
      <c r="K76" s="67"/>
      <c r="L76" s="67"/>
      <c r="M76" s="67"/>
      <c r="N76" s="69"/>
      <c r="O76" s="234">
        <v>3000</v>
      </c>
      <c r="P76" s="67"/>
      <c r="Q76" s="67"/>
      <c r="R76" s="67"/>
      <c r="S76" s="67">
        <f t="shared" si="30"/>
        <v>3000</v>
      </c>
      <c r="T76" s="68">
        <f t="shared" si="35"/>
        <v>3000</v>
      </c>
    </row>
    <row r="77" spans="1:20" x14ac:dyDescent="0.25">
      <c r="A77" s="237">
        <v>54505</v>
      </c>
      <c r="B77" s="66" t="s">
        <v>160</v>
      </c>
      <c r="C77" s="66"/>
      <c r="D77" s="73"/>
      <c r="E77" s="67"/>
      <c r="F77" s="67"/>
      <c r="G77" s="233">
        <f t="shared" si="7"/>
        <v>0</v>
      </c>
      <c r="H77" s="234"/>
      <c r="I77" s="67"/>
      <c r="J77" s="67"/>
      <c r="K77" s="67"/>
      <c r="L77" s="67"/>
      <c r="M77" s="67"/>
      <c r="N77" s="69"/>
      <c r="O77" s="234">
        <v>1500</v>
      </c>
      <c r="P77" s="67"/>
      <c r="Q77" s="67"/>
      <c r="R77" s="67"/>
      <c r="S77" s="67">
        <f t="shared" si="30"/>
        <v>1500</v>
      </c>
      <c r="T77" s="68">
        <f t="shared" si="35"/>
        <v>1500</v>
      </c>
    </row>
    <row r="78" spans="1:20" x14ac:dyDescent="0.25">
      <c r="A78" s="237">
        <v>54599</v>
      </c>
      <c r="B78" s="66" t="s">
        <v>161</v>
      </c>
      <c r="C78" s="66"/>
      <c r="D78" s="73"/>
      <c r="E78" s="67"/>
      <c r="F78" s="67"/>
      <c r="G78" s="233">
        <f t="shared" si="7"/>
        <v>0</v>
      </c>
      <c r="H78" s="234"/>
      <c r="I78" s="67"/>
      <c r="J78" s="67"/>
      <c r="K78" s="67"/>
      <c r="L78" s="67"/>
      <c r="M78" s="67"/>
      <c r="N78" s="69"/>
      <c r="O78" s="234"/>
      <c r="P78" s="67"/>
      <c r="Q78" s="67"/>
      <c r="R78" s="67"/>
      <c r="S78" s="67">
        <f t="shared" si="30"/>
        <v>0</v>
      </c>
      <c r="T78" s="68">
        <f t="shared" si="35"/>
        <v>0</v>
      </c>
    </row>
    <row r="79" spans="1:20" x14ac:dyDescent="0.25">
      <c r="A79" s="238">
        <v>546</v>
      </c>
      <c r="B79" s="62" t="s">
        <v>162</v>
      </c>
      <c r="C79" s="62"/>
      <c r="D79" s="63">
        <f>D80</f>
        <v>0</v>
      </c>
      <c r="E79" s="63">
        <f>E80</f>
        <v>0</v>
      </c>
      <c r="F79" s="63">
        <f t="shared" ref="F79:T79" si="36">F80</f>
        <v>0</v>
      </c>
      <c r="G79" s="229">
        <f t="shared" si="36"/>
        <v>0</v>
      </c>
      <c r="H79" s="230">
        <f t="shared" si="36"/>
        <v>0</v>
      </c>
      <c r="I79" s="63">
        <f t="shared" si="36"/>
        <v>0</v>
      </c>
      <c r="J79" s="63">
        <f t="shared" si="36"/>
        <v>0</v>
      </c>
      <c r="K79" s="63">
        <f t="shared" si="36"/>
        <v>0</v>
      </c>
      <c r="L79" s="63">
        <f t="shared" si="36"/>
        <v>0</v>
      </c>
      <c r="M79" s="63">
        <f t="shared" si="36"/>
        <v>0</v>
      </c>
      <c r="N79" s="65">
        <f t="shared" si="36"/>
        <v>0</v>
      </c>
      <c r="O79" s="230">
        <f t="shared" si="36"/>
        <v>0</v>
      </c>
      <c r="P79" s="63">
        <f t="shared" si="36"/>
        <v>0</v>
      </c>
      <c r="Q79" s="63">
        <f t="shared" si="36"/>
        <v>0</v>
      </c>
      <c r="R79" s="63">
        <f t="shared" si="36"/>
        <v>0</v>
      </c>
      <c r="S79" s="63">
        <f>S80</f>
        <v>0</v>
      </c>
      <c r="T79" s="65">
        <f t="shared" si="36"/>
        <v>0</v>
      </c>
    </row>
    <row r="80" spans="1:20" x14ac:dyDescent="0.25">
      <c r="A80" s="237">
        <v>54602</v>
      </c>
      <c r="B80" s="66" t="s">
        <v>163</v>
      </c>
      <c r="C80" s="66"/>
      <c r="D80" s="67"/>
      <c r="E80" s="67"/>
      <c r="F80" s="67"/>
      <c r="G80" s="233">
        <f t="shared" si="7"/>
        <v>0</v>
      </c>
      <c r="H80" s="234"/>
      <c r="I80" s="67"/>
      <c r="J80" s="67"/>
      <c r="K80" s="67"/>
      <c r="L80" s="67"/>
      <c r="M80" s="67"/>
      <c r="N80" s="69"/>
      <c r="O80" s="234"/>
      <c r="P80" s="67"/>
      <c r="Q80" s="67"/>
      <c r="R80" s="67"/>
      <c r="S80" s="67">
        <f t="shared" si="30"/>
        <v>0</v>
      </c>
      <c r="T80" s="68">
        <f t="shared" ref="T80" si="37">S80+N80+G80</f>
        <v>0</v>
      </c>
    </row>
    <row r="81" spans="1:20" x14ac:dyDescent="0.25">
      <c r="A81" s="238">
        <v>55</v>
      </c>
      <c r="B81" s="62" t="s">
        <v>164</v>
      </c>
      <c r="C81" s="62"/>
      <c r="D81" s="63">
        <f>D82+D85+D88</f>
        <v>0</v>
      </c>
      <c r="E81" s="63">
        <f>E82+E85+E88</f>
        <v>0</v>
      </c>
      <c r="F81" s="63">
        <f t="shared" ref="F81:T81" si="38">F82+F85+F88</f>
        <v>0</v>
      </c>
      <c r="G81" s="229">
        <f t="shared" si="38"/>
        <v>0</v>
      </c>
      <c r="H81" s="230">
        <f t="shared" si="38"/>
        <v>0</v>
      </c>
      <c r="I81" s="63">
        <f t="shared" si="38"/>
        <v>0</v>
      </c>
      <c r="J81" s="63">
        <f t="shared" si="38"/>
        <v>0</v>
      </c>
      <c r="K81" s="63">
        <f t="shared" si="38"/>
        <v>0</v>
      </c>
      <c r="L81" s="63">
        <f t="shared" si="38"/>
        <v>0</v>
      </c>
      <c r="M81" s="63">
        <f t="shared" si="38"/>
        <v>0</v>
      </c>
      <c r="N81" s="65">
        <f t="shared" si="38"/>
        <v>0</v>
      </c>
      <c r="O81" s="230">
        <f t="shared" si="38"/>
        <v>3000</v>
      </c>
      <c r="P81" s="63">
        <f t="shared" si="38"/>
        <v>0</v>
      </c>
      <c r="Q81" s="63">
        <f t="shared" si="38"/>
        <v>0</v>
      </c>
      <c r="R81" s="63">
        <f t="shared" si="38"/>
        <v>0</v>
      </c>
      <c r="S81" s="63">
        <f>S82+S85+S88</f>
        <v>3000</v>
      </c>
      <c r="T81" s="65">
        <f t="shared" si="38"/>
        <v>3000</v>
      </c>
    </row>
    <row r="82" spans="1:20" x14ac:dyDescent="0.25">
      <c r="A82" s="238">
        <v>553</v>
      </c>
      <c r="B82" s="62" t="s">
        <v>165</v>
      </c>
      <c r="C82" s="62"/>
      <c r="D82" s="63">
        <f>SUM(D83:D84)</f>
        <v>0</v>
      </c>
      <c r="E82" s="63">
        <f>SUM(E83:E84)</f>
        <v>0</v>
      </c>
      <c r="F82" s="63">
        <f t="shared" ref="F82:T82" si="39">SUM(F83:F84)</f>
        <v>0</v>
      </c>
      <c r="G82" s="229">
        <f t="shared" si="39"/>
        <v>0</v>
      </c>
      <c r="H82" s="230">
        <f t="shared" si="39"/>
        <v>0</v>
      </c>
      <c r="I82" s="63">
        <f t="shared" si="39"/>
        <v>0</v>
      </c>
      <c r="J82" s="63">
        <f t="shared" si="39"/>
        <v>0</v>
      </c>
      <c r="K82" s="63">
        <f t="shared" si="39"/>
        <v>0</v>
      </c>
      <c r="L82" s="63">
        <f t="shared" si="39"/>
        <v>0</v>
      </c>
      <c r="M82" s="63">
        <f t="shared" si="39"/>
        <v>0</v>
      </c>
      <c r="N82" s="65">
        <f t="shared" si="39"/>
        <v>0</v>
      </c>
      <c r="O82" s="230">
        <f t="shared" si="39"/>
        <v>0</v>
      </c>
      <c r="P82" s="63">
        <f t="shared" si="39"/>
        <v>0</v>
      </c>
      <c r="Q82" s="63">
        <f t="shared" si="39"/>
        <v>0</v>
      </c>
      <c r="R82" s="63">
        <f t="shared" si="39"/>
        <v>0</v>
      </c>
      <c r="S82" s="63">
        <f t="shared" si="39"/>
        <v>0</v>
      </c>
      <c r="T82" s="65">
        <f t="shared" si="39"/>
        <v>0</v>
      </c>
    </row>
    <row r="83" spans="1:20" x14ac:dyDescent="0.25">
      <c r="A83" s="237">
        <v>55302</v>
      </c>
      <c r="B83" s="66" t="s">
        <v>166</v>
      </c>
      <c r="C83" s="66"/>
      <c r="D83" s="67"/>
      <c r="E83" s="67"/>
      <c r="F83" s="67"/>
      <c r="G83" s="233">
        <f t="shared" ref="G83:G84" si="40">C83+D83+E83+F83</f>
        <v>0</v>
      </c>
      <c r="H83" s="234"/>
      <c r="I83" s="67"/>
      <c r="J83" s="67"/>
      <c r="K83" s="67"/>
      <c r="L83" s="67"/>
      <c r="M83" s="67"/>
      <c r="N83" s="69"/>
      <c r="O83" s="234"/>
      <c r="P83" s="67"/>
      <c r="Q83" s="67"/>
      <c r="R83" s="67"/>
      <c r="S83" s="67">
        <f t="shared" ref="S83:S84" si="41">SUM(O83:R83)</f>
        <v>0</v>
      </c>
      <c r="T83" s="68">
        <f t="shared" ref="T83:T84" si="42">S83+N83+G83</f>
        <v>0</v>
      </c>
    </row>
    <row r="84" spans="1:20" x14ac:dyDescent="0.25">
      <c r="A84" s="237">
        <v>55304</v>
      </c>
      <c r="B84" s="66" t="s">
        <v>167</v>
      </c>
      <c r="C84" s="66"/>
      <c r="D84" s="67"/>
      <c r="E84" s="67"/>
      <c r="F84" s="67"/>
      <c r="G84" s="233">
        <f t="shared" si="40"/>
        <v>0</v>
      </c>
      <c r="H84" s="234"/>
      <c r="I84" s="67"/>
      <c r="J84" s="67"/>
      <c r="K84" s="67"/>
      <c r="L84" s="67"/>
      <c r="M84" s="67"/>
      <c r="N84" s="69"/>
      <c r="O84" s="234"/>
      <c r="P84" s="67"/>
      <c r="Q84" s="67"/>
      <c r="R84" s="67"/>
      <c r="S84" s="67">
        <f t="shared" si="41"/>
        <v>0</v>
      </c>
      <c r="T84" s="68">
        <f t="shared" si="42"/>
        <v>0</v>
      </c>
    </row>
    <row r="85" spans="1:20" x14ac:dyDescent="0.25">
      <c r="A85" s="238">
        <v>556</v>
      </c>
      <c r="B85" s="62" t="s">
        <v>168</v>
      </c>
      <c r="C85" s="62"/>
      <c r="D85" s="63">
        <f>SUM(D86:D87)</f>
        <v>0</v>
      </c>
      <c r="E85" s="63">
        <f>SUM(E86:E87)</f>
        <v>0</v>
      </c>
      <c r="F85" s="63">
        <f t="shared" ref="F85:T85" si="43">SUM(F86:F87)</f>
        <v>0</v>
      </c>
      <c r="G85" s="229">
        <f t="shared" si="43"/>
        <v>0</v>
      </c>
      <c r="H85" s="230">
        <f t="shared" si="43"/>
        <v>0</v>
      </c>
      <c r="I85" s="63">
        <f t="shared" si="43"/>
        <v>0</v>
      </c>
      <c r="J85" s="63">
        <f t="shared" si="43"/>
        <v>0</v>
      </c>
      <c r="K85" s="63">
        <f t="shared" si="43"/>
        <v>0</v>
      </c>
      <c r="L85" s="63">
        <f t="shared" si="43"/>
        <v>0</v>
      </c>
      <c r="M85" s="63">
        <f t="shared" si="43"/>
        <v>0</v>
      </c>
      <c r="N85" s="65">
        <f t="shared" si="43"/>
        <v>0</v>
      </c>
      <c r="O85" s="230">
        <f t="shared" si="43"/>
        <v>3000</v>
      </c>
      <c r="P85" s="63">
        <f t="shared" si="43"/>
        <v>0</v>
      </c>
      <c r="Q85" s="63">
        <f t="shared" si="43"/>
        <v>0</v>
      </c>
      <c r="R85" s="63">
        <f t="shared" si="43"/>
        <v>0</v>
      </c>
      <c r="S85" s="63">
        <f t="shared" si="43"/>
        <v>3000</v>
      </c>
      <c r="T85" s="65">
        <f t="shared" si="43"/>
        <v>3000</v>
      </c>
    </row>
    <row r="86" spans="1:20" x14ac:dyDescent="0.25">
      <c r="A86" s="237">
        <v>55602</v>
      </c>
      <c r="B86" s="66" t="s">
        <v>169</v>
      </c>
      <c r="C86" s="66"/>
      <c r="D86" s="67"/>
      <c r="E86" s="67"/>
      <c r="F86" s="67"/>
      <c r="G86" s="233">
        <f t="shared" ref="G86:G87" si="44">C86+D86+E86+F86</f>
        <v>0</v>
      </c>
      <c r="H86" s="234"/>
      <c r="I86" s="67"/>
      <c r="J86" s="67"/>
      <c r="K86" s="67"/>
      <c r="L86" s="67"/>
      <c r="M86" s="67"/>
      <c r="N86" s="69"/>
      <c r="O86" s="234">
        <v>3000</v>
      </c>
      <c r="P86" s="67"/>
      <c r="Q86" s="67"/>
      <c r="R86" s="67"/>
      <c r="S86" s="67">
        <f t="shared" ref="S86:S87" si="45">SUM(O86:R86)</f>
        <v>3000</v>
      </c>
      <c r="T86" s="68">
        <f t="shared" ref="T86:T87" si="46">S86+N86+G86</f>
        <v>3000</v>
      </c>
    </row>
    <row r="87" spans="1:20" x14ac:dyDescent="0.25">
      <c r="A87" s="237">
        <v>55603</v>
      </c>
      <c r="B87" s="66" t="s">
        <v>170</v>
      </c>
      <c r="C87" s="66"/>
      <c r="D87" s="67"/>
      <c r="E87" s="67"/>
      <c r="F87" s="67"/>
      <c r="G87" s="233">
        <f t="shared" si="44"/>
        <v>0</v>
      </c>
      <c r="H87" s="234"/>
      <c r="I87" s="67"/>
      <c r="J87" s="67"/>
      <c r="K87" s="67"/>
      <c r="L87" s="67"/>
      <c r="M87" s="67"/>
      <c r="N87" s="69"/>
      <c r="O87" s="234"/>
      <c r="P87" s="67"/>
      <c r="Q87" s="67"/>
      <c r="R87" s="67"/>
      <c r="S87" s="67">
        <f t="shared" si="45"/>
        <v>0</v>
      </c>
      <c r="T87" s="68">
        <f t="shared" si="46"/>
        <v>0</v>
      </c>
    </row>
    <row r="88" spans="1:20" x14ac:dyDescent="0.25">
      <c r="A88" s="238">
        <v>557</v>
      </c>
      <c r="B88" s="62" t="s">
        <v>171</v>
      </c>
      <c r="C88" s="62"/>
      <c r="D88" s="63">
        <f>SUM(D89:D90)</f>
        <v>0</v>
      </c>
      <c r="E88" s="63">
        <f>SUM(E89:E90)</f>
        <v>0</v>
      </c>
      <c r="F88" s="63">
        <f t="shared" ref="F88:T88" si="47">SUM(F89:F90)</f>
        <v>0</v>
      </c>
      <c r="G88" s="229">
        <f t="shared" si="47"/>
        <v>0</v>
      </c>
      <c r="H88" s="230">
        <f t="shared" si="47"/>
        <v>0</v>
      </c>
      <c r="I88" s="63">
        <f t="shared" si="47"/>
        <v>0</v>
      </c>
      <c r="J88" s="63">
        <f t="shared" si="47"/>
        <v>0</v>
      </c>
      <c r="K88" s="63">
        <f t="shared" si="47"/>
        <v>0</v>
      </c>
      <c r="L88" s="63">
        <f t="shared" si="47"/>
        <v>0</v>
      </c>
      <c r="M88" s="63">
        <f t="shared" si="47"/>
        <v>0</v>
      </c>
      <c r="N88" s="65">
        <f t="shared" si="47"/>
        <v>0</v>
      </c>
      <c r="O88" s="230">
        <f t="shared" si="47"/>
        <v>0</v>
      </c>
      <c r="P88" s="63">
        <f t="shared" si="47"/>
        <v>0</v>
      </c>
      <c r="Q88" s="63">
        <f t="shared" si="47"/>
        <v>0</v>
      </c>
      <c r="R88" s="63">
        <f t="shared" si="47"/>
        <v>0</v>
      </c>
      <c r="S88" s="63">
        <f t="shared" si="47"/>
        <v>0</v>
      </c>
      <c r="T88" s="65">
        <f t="shared" si="47"/>
        <v>0</v>
      </c>
    </row>
    <row r="89" spans="1:20" x14ac:dyDescent="0.25">
      <c r="A89" s="237">
        <v>55703</v>
      </c>
      <c r="B89" s="66" t="s">
        <v>172</v>
      </c>
      <c r="C89" s="66"/>
      <c r="D89" s="67"/>
      <c r="E89" s="67"/>
      <c r="F89" s="67"/>
      <c r="G89" s="233">
        <f t="shared" ref="G89:G90" si="48">C89+D89+E89+F89</f>
        <v>0</v>
      </c>
      <c r="H89" s="234"/>
      <c r="I89" s="67"/>
      <c r="J89" s="67"/>
      <c r="K89" s="67"/>
      <c r="L89" s="67"/>
      <c r="M89" s="67"/>
      <c r="N89" s="69"/>
      <c r="O89" s="234"/>
      <c r="P89" s="67"/>
      <c r="Q89" s="67"/>
      <c r="R89" s="67"/>
      <c r="S89" s="67">
        <f t="shared" ref="S89:S90" si="49">SUM(O89:R89)</f>
        <v>0</v>
      </c>
      <c r="T89" s="68">
        <f t="shared" ref="T89:T90" si="50">S89+N89+G89</f>
        <v>0</v>
      </c>
    </row>
    <row r="90" spans="1:20" x14ac:dyDescent="0.25">
      <c r="A90" s="237">
        <v>55799</v>
      </c>
      <c r="B90" s="66" t="s">
        <v>173</v>
      </c>
      <c r="C90" s="66"/>
      <c r="D90" s="67"/>
      <c r="E90" s="67"/>
      <c r="F90" s="67"/>
      <c r="G90" s="233">
        <f t="shared" si="48"/>
        <v>0</v>
      </c>
      <c r="H90" s="234"/>
      <c r="I90" s="67"/>
      <c r="J90" s="67"/>
      <c r="K90" s="67"/>
      <c r="L90" s="67"/>
      <c r="M90" s="67"/>
      <c r="N90" s="69"/>
      <c r="O90" s="234"/>
      <c r="P90" s="67"/>
      <c r="Q90" s="67"/>
      <c r="R90" s="67"/>
      <c r="S90" s="67">
        <f t="shared" si="49"/>
        <v>0</v>
      </c>
      <c r="T90" s="68">
        <f t="shared" si="50"/>
        <v>0</v>
      </c>
    </row>
    <row r="91" spans="1:20" x14ac:dyDescent="0.25">
      <c r="A91" s="238">
        <v>56</v>
      </c>
      <c r="B91" s="62" t="s">
        <v>174</v>
      </c>
      <c r="C91" s="62"/>
      <c r="D91" s="63">
        <f>D92</f>
        <v>6000</v>
      </c>
      <c r="E91" s="63">
        <f t="shared" ref="E91:R92" si="51">E92</f>
        <v>0</v>
      </c>
      <c r="F91" s="63">
        <f t="shared" si="51"/>
        <v>0</v>
      </c>
      <c r="G91" s="63">
        <f>SUM(D91:F91)</f>
        <v>6000</v>
      </c>
      <c r="H91" s="230"/>
      <c r="I91" s="63"/>
      <c r="J91" s="63"/>
      <c r="K91" s="63"/>
      <c r="L91" s="63"/>
      <c r="M91" s="63"/>
      <c r="N91" s="65"/>
      <c r="O91" s="230"/>
      <c r="P91" s="63"/>
      <c r="Q91" s="63"/>
      <c r="R91" s="63"/>
      <c r="S91" s="63">
        <f>S92+S94</f>
        <v>25329.16</v>
      </c>
      <c r="T91" s="65">
        <f>T92+T94</f>
        <v>31329.16</v>
      </c>
    </row>
    <row r="92" spans="1:20" x14ac:dyDescent="0.25">
      <c r="A92" s="238">
        <v>562</v>
      </c>
      <c r="B92" s="62" t="s">
        <v>175</v>
      </c>
      <c r="C92" s="62"/>
      <c r="D92" s="63">
        <f>D93</f>
        <v>6000</v>
      </c>
      <c r="E92" s="63">
        <f>E93</f>
        <v>0</v>
      </c>
      <c r="F92" s="63">
        <f t="shared" si="51"/>
        <v>0</v>
      </c>
      <c r="G92" s="229">
        <f t="shared" si="51"/>
        <v>6000</v>
      </c>
      <c r="H92" s="230">
        <f t="shared" si="51"/>
        <v>0</v>
      </c>
      <c r="I92" s="63">
        <f t="shared" si="51"/>
        <v>0</v>
      </c>
      <c r="J92" s="63">
        <f t="shared" si="51"/>
        <v>0</v>
      </c>
      <c r="K92" s="63">
        <f t="shared" si="51"/>
        <v>0</v>
      </c>
      <c r="L92" s="63">
        <f t="shared" si="51"/>
        <v>0</v>
      </c>
      <c r="M92" s="63">
        <f t="shared" si="51"/>
        <v>0</v>
      </c>
      <c r="N92" s="65">
        <f t="shared" si="51"/>
        <v>0</v>
      </c>
      <c r="O92" s="230">
        <f t="shared" si="51"/>
        <v>66.12</v>
      </c>
      <c r="P92" s="63">
        <f t="shared" si="51"/>
        <v>95.88</v>
      </c>
      <c r="Q92" s="63">
        <f t="shared" si="51"/>
        <v>36.24</v>
      </c>
      <c r="R92" s="63">
        <f t="shared" si="51"/>
        <v>205.92000000000002</v>
      </c>
      <c r="S92" s="63">
        <f>S93</f>
        <v>404.16</v>
      </c>
      <c r="T92" s="65">
        <f>T93</f>
        <v>6404.16</v>
      </c>
    </row>
    <row r="93" spans="1:20" x14ac:dyDescent="0.25">
      <c r="A93" s="237">
        <v>56201</v>
      </c>
      <c r="B93" s="66" t="s">
        <v>176</v>
      </c>
      <c r="C93" s="66"/>
      <c r="D93" s="67">
        <f>500*12</f>
        <v>6000</v>
      </c>
      <c r="E93" s="67"/>
      <c r="F93" s="67"/>
      <c r="G93" s="233">
        <f t="shared" ref="G93" si="52">C93+D93+E93+F93</f>
        <v>6000</v>
      </c>
      <c r="H93" s="234"/>
      <c r="I93" s="67"/>
      <c r="J93" s="67"/>
      <c r="K93" s="67"/>
      <c r="L93" s="67"/>
      <c r="M93" s="67"/>
      <c r="N93" s="69"/>
      <c r="O93" s="234">
        <f>5.51*12</f>
        <v>66.12</v>
      </c>
      <c r="P93" s="67">
        <f>7.99*12</f>
        <v>95.88</v>
      </c>
      <c r="Q93" s="67">
        <f>3.02*12</f>
        <v>36.24</v>
      </c>
      <c r="R93" s="67">
        <f>17.16*12</f>
        <v>205.92000000000002</v>
      </c>
      <c r="S93" s="67">
        <f t="shared" ref="S93" si="53">SUM(O93:R93)</f>
        <v>404.16</v>
      </c>
      <c r="T93" s="68">
        <f t="shared" ref="T93" si="54">S93+N93+G93</f>
        <v>6404.16</v>
      </c>
    </row>
    <row r="94" spans="1:20" x14ac:dyDescent="0.25">
      <c r="A94" s="238">
        <v>563</v>
      </c>
      <c r="B94" s="62" t="s">
        <v>177</v>
      </c>
      <c r="C94" s="62"/>
      <c r="D94" s="63">
        <f>SUM(D95:D97)</f>
        <v>0</v>
      </c>
      <c r="E94" s="63">
        <f>SUM(E95:E97)</f>
        <v>0</v>
      </c>
      <c r="F94" s="63">
        <f t="shared" ref="F94:T94" si="55">SUM(F95:F97)</f>
        <v>0</v>
      </c>
      <c r="G94" s="229">
        <f t="shared" si="55"/>
        <v>0</v>
      </c>
      <c r="H94" s="230">
        <f t="shared" si="55"/>
        <v>0</v>
      </c>
      <c r="I94" s="63">
        <f t="shared" si="55"/>
        <v>0</v>
      </c>
      <c r="J94" s="63">
        <f t="shared" si="55"/>
        <v>0</v>
      </c>
      <c r="K94" s="63">
        <f t="shared" si="55"/>
        <v>0</v>
      </c>
      <c r="L94" s="63">
        <f t="shared" si="55"/>
        <v>0</v>
      </c>
      <c r="M94" s="63">
        <f t="shared" si="55"/>
        <v>0</v>
      </c>
      <c r="N94" s="65">
        <f t="shared" si="55"/>
        <v>0</v>
      </c>
      <c r="O94" s="230">
        <f t="shared" si="55"/>
        <v>24925</v>
      </c>
      <c r="P94" s="63">
        <f t="shared" si="55"/>
        <v>0</v>
      </c>
      <c r="Q94" s="63">
        <f t="shared" si="55"/>
        <v>0</v>
      </c>
      <c r="R94" s="63">
        <f t="shared" si="55"/>
        <v>0</v>
      </c>
      <c r="S94" s="63">
        <f>SUM(S95:S97)</f>
        <v>24925</v>
      </c>
      <c r="T94" s="65">
        <f t="shared" si="55"/>
        <v>24925</v>
      </c>
    </row>
    <row r="95" spans="1:20" x14ac:dyDescent="0.25">
      <c r="A95" s="237">
        <v>56301</v>
      </c>
      <c r="B95" s="66" t="s">
        <v>178</v>
      </c>
      <c r="C95" s="66"/>
      <c r="D95" s="67"/>
      <c r="E95" s="67"/>
      <c r="F95" s="67"/>
      <c r="G95" s="233">
        <f t="shared" ref="G95:G97" si="56">C95+D95+E95+F95</f>
        <v>0</v>
      </c>
      <c r="H95" s="234"/>
      <c r="I95" s="67"/>
      <c r="J95" s="67"/>
      <c r="K95" s="67"/>
      <c r="L95" s="67"/>
      <c r="M95" s="67"/>
      <c r="N95" s="69"/>
      <c r="O95" s="234"/>
      <c r="P95" s="67"/>
      <c r="Q95" s="67"/>
      <c r="R95" s="67"/>
      <c r="S95" s="67">
        <f t="shared" ref="S95:S97" si="57">SUM(O95:R95)</f>
        <v>0</v>
      </c>
      <c r="T95" s="68">
        <f t="shared" ref="T95:T97" si="58">S95+N95+G95</f>
        <v>0</v>
      </c>
    </row>
    <row r="96" spans="1:20" x14ac:dyDescent="0.25">
      <c r="A96" s="237">
        <v>56303</v>
      </c>
      <c r="B96" s="66" t="s">
        <v>179</v>
      </c>
      <c r="C96" s="66"/>
      <c r="D96" s="67"/>
      <c r="E96" s="67"/>
      <c r="F96" s="67"/>
      <c r="G96" s="233">
        <f t="shared" si="56"/>
        <v>0</v>
      </c>
      <c r="H96" s="234"/>
      <c r="I96" s="67"/>
      <c r="J96" s="67"/>
      <c r="K96" s="67"/>
      <c r="L96" s="67"/>
      <c r="M96" s="67"/>
      <c r="N96" s="69"/>
      <c r="O96" s="234">
        <v>24925</v>
      </c>
      <c r="P96" s="67"/>
      <c r="Q96" s="67"/>
      <c r="R96" s="67"/>
      <c r="S96" s="67">
        <f t="shared" si="57"/>
        <v>24925</v>
      </c>
      <c r="T96" s="68">
        <f t="shared" si="58"/>
        <v>24925</v>
      </c>
    </row>
    <row r="97" spans="1:21" x14ac:dyDescent="0.25">
      <c r="A97" s="237">
        <v>56305</v>
      </c>
      <c r="B97" s="66" t="s">
        <v>180</v>
      </c>
      <c r="C97" s="66"/>
      <c r="D97" s="67"/>
      <c r="E97" s="67"/>
      <c r="F97" s="67"/>
      <c r="G97" s="233">
        <f t="shared" si="56"/>
        <v>0</v>
      </c>
      <c r="H97" s="234"/>
      <c r="I97" s="67"/>
      <c r="J97" s="67"/>
      <c r="K97" s="67"/>
      <c r="L97" s="67"/>
      <c r="M97" s="67"/>
      <c r="N97" s="69"/>
      <c r="O97" s="234"/>
      <c r="P97" s="67"/>
      <c r="Q97" s="67"/>
      <c r="R97" s="67"/>
      <c r="S97" s="67">
        <f t="shared" si="57"/>
        <v>0</v>
      </c>
      <c r="T97" s="68">
        <f t="shared" si="58"/>
        <v>0</v>
      </c>
    </row>
    <row r="98" spans="1:21" x14ac:dyDescent="0.25">
      <c r="A98" s="241">
        <v>61</v>
      </c>
      <c r="B98" s="242" t="s">
        <v>181</v>
      </c>
      <c r="C98" s="242"/>
      <c r="D98" s="243">
        <f>D99+D103+D105+D107</f>
        <v>0</v>
      </c>
      <c r="E98" s="243">
        <f>E99+E103+E105+E107</f>
        <v>0</v>
      </c>
      <c r="F98" s="243">
        <f t="shared" ref="F98:R98" si="59">F99+F103+F105+F107</f>
        <v>0</v>
      </c>
      <c r="G98" s="244">
        <f t="shared" si="59"/>
        <v>0</v>
      </c>
      <c r="H98" s="245">
        <f t="shared" si="59"/>
        <v>65000</v>
      </c>
      <c r="I98" s="243">
        <f>I99+I103+I105+I107</f>
        <v>2246170.02</v>
      </c>
      <c r="J98" s="243">
        <f t="shared" si="59"/>
        <v>0</v>
      </c>
      <c r="K98" s="243">
        <f t="shared" si="59"/>
        <v>0</v>
      </c>
      <c r="L98" s="243">
        <f t="shared" si="59"/>
        <v>0</v>
      </c>
      <c r="M98" s="243">
        <f t="shared" si="59"/>
        <v>0</v>
      </c>
      <c r="N98" s="246">
        <f>N99+N103+N105+N107</f>
        <v>2311170.02</v>
      </c>
      <c r="O98" s="230">
        <f t="shared" si="59"/>
        <v>4000</v>
      </c>
      <c r="P98" s="63">
        <f t="shared" si="59"/>
        <v>0</v>
      </c>
      <c r="Q98" s="63">
        <f t="shared" si="59"/>
        <v>0</v>
      </c>
      <c r="R98" s="63">
        <f t="shared" si="59"/>
        <v>0</v>
      </c>
      <c r="S98" s="63">
        <f>S99+S103+S105+S107</f>
        <v>4000</v>
      </c>
      <c r="T98" s="65">
        <f>T99+T103+T105+T107</f>
        <v>2030170.02</v>
      </c>
    </row>
    <row r="99" spans="1:21" x14ac:dyDescent="0.25">
      <c r="A99" s="238">
        <v>611</v>
      </c>
      <c r="B99" s="62" t="s">
        <v>182</v>
      </c>
      <c r="C99" s="62"/>
      <c r="D99" s="63">
        <f>SUM(D100:D102)</f>
        <v>0</v>
      </c>
      <c r="E99" s="63">
        <f>SUM(E100:E102)</f>
        <v>0</v>
      </c>
      <c r="F99" s="63">
        <f t="shared" ref="F99:T99" si="60">SUM(F100:F102)</f>
        <v>0</v>
      </c>
      <c r="G99" s="229">
        <f t="shared" si="60"/>
        <v>0</v>
      </c>
      <c r="H99" s="230">
        <f t="shared" si="60"/>
        <v>0</v>
      </c>
      <c r="I99" s="63">
        <f t="shared" si="60"/>
        <v>68000</v>
      </c>
      <c r="J99" s="63">
        <f t="shared" si="60"/>
        <v>0</v>
      </c>
      <c r="K99" s="63">
        <f t="shared" si="60"/>
        <v>0</v>
      </c>
      <c r="L99" s="63">
        <f t="shared" si="60"/>
        <v>0</v>
      </c>
      <c r="M99" s="63">
        <f t="shared" si="60"/>
        <v>0</v>
      </c>
      <c r="N99" s="65">
        <f>SUM(N100:N102)</f>
        <v>68000</v>
      </c>
      <c r="O99" s="230">
        <f t="shared" si="60"/>
        <v>4000</v>
      </c>
      <c r="P99" s="63">
        <f t="shared" si="60"/>
        <v>0</v>
      </c>
      <c r="Q99" s="63">
        <f t="shared" si="60"/>
        <v>0</v>
      </c>
      <c r="R99" s="63">
        <f t="shared" si="60"/>
        <v>0</v>
      </c>
      <c r="S99" s="63">
        <f>SUM(S100:S102)</f>
        <v>4000</v>
      </c>
      <c r="T99" s="65">
        <f t="shared" si="60"/>
        <v>72000</v>
      </c>
    </row>
    <row r="100" spans="1:21" x14ac:dyDescent="0.25">
      <c r="A100" s="237">
        <v>61102</v>
      </c>
      <c r="B100" s="66" t="s">
        <v>183</v>
      </c>
      <c r="C100" s="66"/>
      <c r="D100" s="67"/>
      <c r="E100" s="67"/>
      <c r="F100" s="67"/>
      <c r="G100" s="233">
        <f t="shared" ref="G100:G102" si="61">C100+D100+E100+F100</f>
        <v>0</v>
      </c>
      <c r="H100" s="194"/>
      <c r="I100" s="193">
        <v>68000</v>
      </c>
      <c r="J100" s="67"/>
      <c r="K100" s="67"/>
      <c r="L100" s="67"/>
      <c r="M100" s="67"/>
      <c r="N100" s="69">
        <f>SUM(H100:M100)</f>
        <v>68000</v>
      </c>
      <c r="O100" s="234"/>
      <c r="P100" s="67"/>
      <c r="Q100" s="67"/>
      <c r="R100" s="67"/>
      <c r="S100" s="67">
        <f t="shared" ref="S100:S102" si="62">SUM(O100:R100)</f>
        <v>0</v>
      </c>
      <c r="T100" s="68">
        <f t="shared" ref="T100:T102" si="63">S100+N100+G100</f>
        <v>68000</v>
      </c>
    </row>
    <row r="101" spans="1:21" x14ac:dyDescent="0.25">
      <c r="A101" s="237">
        <v>61104</v>
      </c>
      <c r="B101" s="66" t="s">
        <v>184</v>
      </c>
      <c r="C101" s="66"/>
      <c r="D101" s="67"/>
      <c r="E101" s="67"/>
      <c r="F101" s="67"/>
      <c r="G101" s="233">
        <f t="shared" si="61"/>
        <v>0</v>
      </c>
      <c r="H101" s="194"/>
      <c r="I101" s="193">
        <v>0</v>
      </c>
      <c r="J101" s="67"/>
      <c r="K101" s="67"/>
      <c r="L101" s="67"/>
      <c r="M101" s="67"/>
      <c r="N101" s="69">
        <f t="shared" ref="N101:N104" si="64">SUM(H101:M101)</f>
        <v>0</v>
      </c>
      <c r="O101" s="234">
        <v>4000</v>
      </c>
      <c r="P101" s="67"/>
      <c r="Q101" s="67"/>
      <c r="R101" s="67"/>
      <c r="S101" s="67">
        <f t="shared" si="62"/>
        <v>4000</v>
      </c>
      <c r="T101" s="68">
        <f t="shared" si="63"/>
        <v>4000</v>
      </c>
    </row>
    <row r="102" spans="1:21" x14ac:dyDescent="0.25">
      <c r="A102" s="237">
        <v>61199</v>
      </c>
      <c r="B102" s="66" t="s">
        <v>185</v>
      </c>
      <c r="C102" s="66"/>
      <c r="D102" s="67"/>
      <c r="E102" s="67"/>
      <c r="F102" s="67"/>
      <c r="G102" s="233">
        <f t="shared" si="61"/>
        <v>0</v>
      </c>
      <c r="H102" s="194"/>
      <c r="I102" s="193"/>
      <c r="J102" s="67"/>
      <c r="K102" s="67"/>
      <c r="L102" s="67"/>
      <c r="M102" s="67"/>
      <c r="N102" s="69">
        <f t="shared" si="64"/>
        <v>0</v>
      </c>
      <c r="O102" s="234"/>
      <c r="P102" s="67"/>
      <c r="Q102" s="67"/>
      <c r="R102" s="67"/>
      <c r="S102" s="67">
        <f t="shared" si="62"/>
        <v>0</v>
      </c>
      <c r="T102" s="68">
        <f t="shared" si="63"/>
        <v>0</v>
      </c>
    </row>
    <row r="103" spans="1:21" x14ac:dyDescent="0.25">
      <c r="A103" s="238">
        <v>612</v>
      </c>
      <c r="B103" s="62" t="s">
        <v>186</v>
      </c>
      <c r="C103" s="62"/>
      <c r="D103" s="63">
        <f>D104</f>
        <v>0</v>
      </c>
      <c r="E103" s="63">
        <f>E104</f>
        <v>0</v>
      </c>
      <c r="F103" s="63">
        <f t="shared" ref="F103:T103" si="65">F104</f>
        <v>0</v>
      </c>
      <c r="G103" s="229">
        <f t="shared" si="65"/>
        <v>0</v>
      </c>
      <c r="H103" s="189">
        <f t="shared" si="65"/>
        <v>0</v>
      </c>
      <c r="I103" s="4">
        <f t="shared" si="65"/>
        <v>80000</v>
      </c>
      <c r="J103" s="63">
        <f t="shared" si="65"/>
        <v>0</v>
      </c>
      <c r="K103" s="63">
        <f t="shared" si="65"/>
        <v>0</v>
      </c>
      <c r="L103" s="63">
        <f t="shared" si="65"/>
        <v>0</v>
      </c>
      <c r="M103" s="63">
        <f t="shared" si="65"/>
        <v>0</v>
      </c>
      <c r="N103" s="65">
        <f t="shared" si="65"/>
        <v>80000</v>
      </c>
      <c r="O103" s="230">
        <f t="shared" si="65"/>
        <v>0</v>
      </c>
      <c r="P103" s="63">
        <f t="shared" si="65"/>
        <v>0</v>
      </c>
      <c r="Q103" s="63">
        <f t="shared" si="65"/>
        <v>0</v>
      </c>
      <c r="R103" s="63">
        <f t="shared" si="65"/>
        <v>0</v>
      </c>
      <c r="S103" s="63">
        <f>S104</f>
        <v>0</v>
      </c>
      <c r="T103" s="65">
        <f t="shared" si="65"/>
        <v>80000</v>
      </c>
    </row>
    <row r="104" spans="1:21" x14ac:dyDescent="0.25">
      <c r="A104" s="237">
        <v>61201</v>
      </c>
      <c r="B104" s="66" t="s">
        <v>187</v>
      </c>
      <c r="C104" s="66"/>
      <c r="D104" s="67"/>
      <c r="E104" s="67"/>
      <c r="F104" s="67"/>
      <c r="G104" s="233">
        <f t="shared" ref="G104" si="66">C104+D104+E104+F104</f>
        <v>0</v>
      </c>
      <c r="H104" s="194"/>
      <c r="I104" s="193">
        <v>80000</v>
      </c>
      <c r="J104" s="67"/>
      <c r="K104" s="67"/>
      <c r="L104" s="67"/>
      <c r="M104" s="67"/>
      <c r="N104" s="69">
        <f t="shared" si="64"/>
        <v>80000</v>
      </c>
      <c r="O104" s="234"/>
      <c r="P104" s="67"/>
      <c r="Q104" s="67"/>
      <c r="R104" s="67"/>
      <c r="S104" s="67">
        <f t="shared" ref="S104" si="67">SUM(O104:R104)</f>
        <v>0</v>
      </c>
      <c r="T104" s="68">
        <f t="shared" ref="T104" si="68">S104+N104+G104</f>
        <v>80000</v>
      </c>
    </row>
    <row r="105" spans="1:21" x14ac:dyDescent="0.25">
      <c r="A105" s="237">
        <v>615</v>
      </c>
      <c r="B105" s="62" t="s">
        <v>188</v>
      </c>
      <c r="C105" s="62"/>
      <c r="D105" s="63">
        <f>D106</f>
        <v>0</v>
      </c>
      <c r="E105" s="63">
        <f>E106</f>
        <v>0</v>
      </c>
      <c r="F105" s="63">
        <f t="shared" ref="F105:T105" si="69">F106</f>
        <v>0</v>
      </c>
      <c r="G105" s="229">
        <f t="shared" si="69"/>
        <v>0</v>
      </c>
      <c r="H105" s="189">
        <f>H106</f>
        <v>65000</v>
      </c>
      <c r="I105" s="4">
        <f t="shared" si="69"/>
        <v>0</v>
      </c>
      <c r="J105" s="63">
        <f t="shared" si="69"/>
        <v>0</v>
      </c>
      <c r="K105" s="63">
        <f t="shared" si="69"/>
        <v>0</v>
      </c>
      <c r="L105" s="63">
        <f t="shared" si="69"/>
        <v>0</v>
      </c>
      <c r="M105" s="63">
        <f t="shared" si="69"/>
        <v>0</v>
      </c>
      <c r="N105" s="65">
        <f>N106</f>
        <v>65000</v>
      </c>
      <c r="O105" s="230">
        <f t="shared" si="69"/>
        <v>0</v>
      </c>
      <c r="P105" s="63">
        <f t="shared" si="69"/>
        <v>0</v>
      </c>
      <c r="Q105" s="63">
        <f t="shared" si="69"/>
        <v>0</v>
      </c>
      <c r="R105" s="63">
        <f t="shared" si="69"/>
        <v>0</v>
      </c>
      <c r="S105" s="63">
        <f>S106</f>
        <v>0</v>
      </c>
      <c r="T105" s="65">
        <f t="shared" si="69"/>
        <v>65000</v>
      </c>
      <c r="U105" s="247"/>
    </row>
    <row r="106" spans="1:21" x14ac:dyDescent="0.25">
      <c r="A106" s="237">
        <v>61599</v>
      </c>
      <c r="B106" s="66" t="s">
        <v>189</v>
      </c>
      <c r="C106" s="66"/>
      <c r="D106" s="67"/>
      <c r="E106" s="67"/>
      <c r="F106" s="67"/>
      <c r="G106" s="233">
        <f t="shared" ref="G106" si="70">C106+D106+E106+F106</f>
        <v>0</v>
      </c>
      <c r="H106" s="194">
        <v>65000</v>
      </c>
      <c r="I106" s="193"/>
      <c r="J106" s="67"/>
      <c r="K106" s="67"/>
      <c r="L106" s="67"/>
      <c r="M106" s="67"/>
      <c r="N106" s="69">
        <f t="shared" ref="N106" si="71">SUM(H106:M106)</f>
        <v>65000</v>
      </c>
      <c r="O106" s="234"/>
      <c r="P106" s="67"/>
      <c r="Q106" s="67"/>
      <c r="R106" s="67"/>
      <c r="S106" s="67">
        <f t="shared" ref="S106" si="72">SUM(O106:R106)</f>
        <v>0</v>
      </c>
      <c r="T106" s="68">
        <f t="shared" ref="T106" si="73">S106+N106+G106</f>
        <v>65000</v>
      </c>
    </row>
    <row r="107" spans="1:21" x14ac:dyDescent="0.25">
      <c r="A107" s="238">
        <v>616</v>
      </c>
      <c r="B107" s="62" t="s">
        <v>190</v>
      </c>
      <c r="C107" s="62"/>
      <c r="D107" s="63">
        <f>SUM(D108:D112)</f>
        <v>0</v>
      </c>
      <c r="E107" s="63">
        <f>SUM(E108:E112)</f>
        <v>0</v>
      </c>
      <c r="F107" s="63">
        <f t="shared" ref="F107:T107" si="74">SUM(F108:F112)</f>
        <v>0</v>
      </c>
      <c r="G107" s="229">
        <f t="shared" si="74"/>
        <v>0</v>
      </c>
      <c r="H107" s="189">
        <f t="shared" si="74"/>
        <v>0</v>
      </c>
      <c r="I107" s="4">
        <f>SUM(I108:I114)</f>
        <v>2098170.02</v>
      </c>
      <c r="J107" s="63">
        <f t="shared" ref="J107:M107" si="75">SUM(J108:J114)</f>
        <v>0</v>
      </c>
      <c r="K107" s="63">
        <f t="shared" si="75"/>
        <v>0</v>
      </c>
      <c r="L107" s="63">
        <f t="shared" si="75"/>
        <v>0</v>
      </c>
      <c r="M107" s="63">
        <f t="shared" si="75"/>
        <v>0</v>
      </c>
      <c r="N107" s="65">
        <f>SUM(N108:N114)</f>
        <v>2098170.02</v>
      </c>
      <c r="O107" s="230">
        <f t="shared" si="74"/>
        <v>0</v>
      </c>
      <c r="P107" s="63">
        <f t="shared" si="74"/>
        <v>0</v>
      </c>
      <c r="Q107" s="63">
        <f t="shared" si="74"/>
        <v>0</v>
      </c>
      <c r="R107" s="63">
        <f t="shared" si="74"/>
        <v>0</v>
      </c>
      <c r="S107" s="63">
        <f>SUM(S108:S112)</f>
        <v>0</v>
      </c>
      <c r="T107" s="65">
        <f t="shared" si="74"/>
        <v>1813170.02</v>
      </c>
    </row>
    <row r="108" spans="1:21" x14ac:dyDescent="0.25">
      <c r="A108" s="237">
        <v>61601</v>
      </c>
      <c r="B108" s="66" t="s">
        <v>191</v>
      </c>
      <c r="C108" s="66"/>
      <c r="D108" s="67"/>
      <c r="E108" s="67"/>
      <c r="F108" s="67"/>
      <c r="G108" s="233">
        <f t="shared" ref="G108:G114" si="76">C108+D108+E108+F108</f>
        <v>0</v>
      </c>
      <c r="H108" s="194"/>
      <c r="I108" s="193">
        <v>890170.02</v>
      </c>
      <c r="J108" s="67"/>
      <c r="K108" s="67"/>
      <c r="L108" s="67"/>
      <c r="M108" s="67"/>
      <c r="N108" s="69">
        <f t="shared" ref="N108:N114" si="77">SUM(H108:M108)</f>
        <v>890170.02</v>
      </c>
      <c r="O108" s="234"/>
      <c r="P108" s="67"/>
      <c r="Q108" s="67"/>
      <c r="R108" s="67"/>
      <c r="S108" s="67">
        <f t="shared" ref="S108:S114" si="78">SUM(O108:R108)</f>
        <v>0</v>
      </c>
      <c r="T108" s="68">
        <f t="shared" ref="T108:T114" si="79">S108+N108+G108</f>
        <v>890170.02</v>
      </c>
    </row>
    <row r="109" spans="1:21" x14ac:dyDescent="0.25">
      <c r="A109" s="237">
        <v>61603</v>
      </c>
      <c r="B109" s="66" t="s">
        <v>192</v>
      </c>
      <c r="C109" s="66"/>
      <c r="D109" s="67"/>
      <c r="E109" s="67"/>
      <c r="F109" s="67"/>
      <c r="G109" s="233">
        <f t="shared" si="76"/>
        <v>0</v>
      </c>
      <c r="H109" s="194"/>
      <c r="I109" s="193">
        <v>347000</v>
      </c>
      <c r="J109" s="67"/>
      <c r="K109" s="67"/>
      <c r="L109" s="67"/>
      <c r="M109" s="67"/>
      <c r="N109" s="69">
        <f t="shared" si="77"/>
        <v>347000</v>
      </c>
      <c r="O109" s="234"/>
      <c r="P109" s="67"/>
      <c r="Q109" s="67"/>
      <c r="R109" s="67"/>
      <c r="S109" s="67">
        <f t="shared" si="78"/>
        <v>0</v>
      </c>
      <c r="T109" s="68">
        <f t="shared" si="79"/>
        <v>347000</v>
      </c>
    </row>
    <row r="110" spans="1:21" x14ac:dyDescent="0.25">
      <c r="A110" s="237">
        <v>61606</v>
      </c>
      <c r="B110" s="66" t="s">
        <v>193</v>
      </c>
      <c r="C110" s="66"/>
      <c r="D110" s="67"/>
      <c r="E110" s="67"/>
      <c r="F110" s="67"/>
      <c r="G110" s="233">
        <f t="shared" si="76"/>
        <v>0</v>
      </c>
      <c r="H110" s="234"/>
      <c r="I110" s="67">
        <v>35000</v>
      </c>
      <c r="J110" s="67"/>
      <c r="K110" s="67"/>
      <c r="L110" s="67"/>
      <c r="M110" s="67"/>
      <c r="N110" s="69">
        <f t="shared" si="77"/>
        <v>35000</v>
      </c>
      <c r="O110" s="234"/>
      <c r="P110" s="67"/>
      <c r="Q110" s="67"/>
      <c r="R110" s="67"/>
      <c r="S110" s="67">
        <f t="shared" si="78"/>
        <v>0</v>
      </c>
      <c r="T110" s="68">
        <f t="shared" si="79"/>
        <v>35000</v>
      </c>
    </row>
    <row r="111" spans="1:21" x14ac:dyDescent="0.25">
      <c r="A111" s="237">
        <v>61608</v>
      </c>
      <c r="B111" s="66" t="s">
        <v>194</v>
      </c>
      <c r="C111" s="66"/>
      <c r="D111" s="67"/>
      <c r="E111" s="67"/>
      <c r="F111" s="67"/>
      <c r="G111" s="233">
        <f t="shared" si="76"/>
        <v>0</v>
      </c>
      <c r="H111" s="234"/>
      <c r="I111" s="67"/>
      <c r="J111" s="67"/>
      <c r="K111" s="67"/>
      <c r="L111" s="67"/>
      <c r="M111" s="67"/>
      <c r="N111" s="69">
        <f t="shared" si="77"/>
        <v>0</v>
      </c>
      <c r="O111" s="234"/>
      <c r="P111" s="67"/>
      <c r="Q111" s="67"/>
      <c r="R111" s="67"/>
      <c r="S111" s="67">
        <f t="shared" si="78"/>
        <v>0</v>
      </c>
      <c r="T111" s="68">
        <f t="shared" si="79"/>
        <v>0</v>
      </c>
    </row>
    <row r="112" spans="1:21" x14ac:dyDescent="0.25">
      <c r="A112" s="237">
        <v>61609</v>
      </c>
      <c r="B112" s="66" t="s">
        <v>195</v>
      </c>
      <c r="C112" s="66"/>
      <c r="D112" s="67"/>
      <c r="E112" s="67"/>
      <c r="F112" s="67"/>
      <c r="G112" s="233">
        <f t="shared" si="76"/>
        <v>0</v>
      </c>
      <c r="H112" s="234"/>
      <c r="I112" s="67">
        <v>541000</v>
      </c>
      <c r="J112" s="67"/>
      <c r="K112" s="67"/>
      <c r="L112" s="67"/>
      <c r="M112" s="67"/>
      <c r="N112" s="69">
        <f>SUM(H112:M112)</f>
        <v>541000</v>
      </c>
      <c r="O112" s="234"/>
      <c r="P112" s="67"/>
      <c r="Q112" s="67"/>
      <c r="R112" s="67"/>
      <c r="S112" s="67">
        <f t="shared" si="78"/>
        <v>0</v>
      </c>
      <c r="T112" s="68">
        <f t="shared" si="79"/>
        <v>541000</v>
      </c>
    </row>
    <row r="113" spans="1:21" x14ac:dyDescent="0.25">
      <c r="A113" s="237">
        <v>61610</v>
      </c>
      <c r="B113" s="66" t="s">
        <v>196</v>
      </c>
      <c r="C113" s="66"/>
      <c r="D113" s="67"/>
      <c r="E113" s="67"/>
      <c r="F113" s="67"/>
      <c r="G113" s="233">
        <f t="shared" si="76"/>
        <v>0</v>
      </c>
      <c r="H113" s="234"/>
      <c r="I113" s="67">
        <v>285000</v>
      </c>
      <c r="J113" s="67"/>
      <c r="K113" s="67"/>
      <c r="L113" s="67"/>
      <c r="M113" s="67"/>
      <c r="N113" s="69">
        <f t="shared" si="77"/>
        <v>285000</v>
      </c>
      <c r="O113" s="234"/>
      <c r="P113" s="67"/>
      <c r="Q113" s="67"/>
      <c r="R113" s="67"/>
      <c r="S113" s="67">
        <f t="shared" si="78"/>
        <v>0</v>
      </c>
      <c r="T113" s="68">
        <f t="shared" si="79"/>
        <v>285000</v>
      </c>
    </row>
    <row r="114" spans="1:21" x14ac:dyDescent="0.25">
      <c r="A114" s="237">
        <v>61611</v>
      </c>
      <c r="B114" s="66" t="s">
        <v>197</v>
      </c>
      <c r="C114" s="66"/>
      <c r="D114" s="67"/>
      <c r="E114" s="67"/>
      <c r="F114" s="67"/>
      <c r="G114" s="233">
        <f t="shared" si="76"/>
        <v>0</v>
      </c>
      <c r="H114" s="234"/>
      <c r="I114" s="67"/>
      <c r="J114" s="67"/>
      <c r="K114" s="67"/>
      <c r="L114" s="67"/>
      <c r="M114" s="67"/>
      <c r="N114" s="69">
        <f t="shared" si="77"/>
        <v>0</v>
      </c>
      <c r="O114" s="234"/>
      <c r="P114" s="67"/>
      <c r="Q114" s="67"/>
      <c r="R114" s="67"/>
      <c r="S114" s="67">
        <f t="shared" si="78"/>
        <v>0</v>
      </c>
      <c r="T114" s="68">
        <f t="shared" si="79"/>
        <v>0</v>
      </c>
    </row>
    <row r="115" spans="1:21" x14ac:dyDescent="0.25">
      <c r="A115" s="241">
        <v>71</v>
      </c>
      <c r="B115" s="242" t="s">
        <v>198</v>
      </c>
      <c r="C115" s="242"/>
      <c r="D115" s="243">
        <f>D116</f>
        <v>0</v>
      </c>
      <c r="E115" s="243">
        <f>E116</f>
        <v>0</v>
      </c>
      <c r="F115" s="243">
        <f t="shared" ref="F115:T116" si="80">F116</f>
        <v>0</v>
      </c>
      <c r="G115" s="244">
        <f t="shared" si="80"/>
        <v>0</v>
      </c>
      <c r="H115" s="245">
        <f t="shared" si="80"/>
        <v>0</v>
      </c>
      <c r="I115" s="243">
        <f t="shared" si="80"/>
        <v>0</v>
      </c>
      <c r="J115" s="243">
        <f t="shared" si="80"/>
        <v>0</v>
      </c>
      <c r="K115" s="243">
        <f t="shared" si="80"/>
        <v>0</v>
      </c>
      <c r="L115" s="243">
        <f t="shared" si="80"/>
        <v>0</v>
      </c>
      <c r="M115" s="243">
        <f>M116</f>
        <v>0</v>
      </c>
      <c r="N115" s="246">
        <f t="shared" si="80"/>
        <v>0</v>
      </c>
      <c r="O115" s="230">
        <f t="shared" si="80"/>
        <v>0</v>
      </c>
      <c r="P115" s="63">
        <f t="shared" si="80"/>
        <v>0</v>
      </c>
      <c r="Q115" s="63">
        <f t="shared" si="80"/>
        <v>0</v>
      </c>
      <c r="R115" s="63">
        <f t="shared" si="80"/>
        <v>0</v>
      </c>
      <c r="S115" s="63">
        <f>S116</f>
        <v>0</v>
      </c>
      <c r="T115" s="65">
        <f>T116</f>
        <v>0</v>
      </c>
    </row>
    <row r="116" spans="1:21" x14ac:dyDescent="0.25">
      <c r="A116" s="238">
        <v>713</v>
      </c>
      <c r="B116" s="62" t="s">
        <v>199</v>
      </c>
      <c r="C116" s="62"/>
      <c r="D116" s="63">
        <f>D117</f>
        <v>0</v>
      </c>
      <c r="E116" s="63">
        <f>E117</f>
        <v>0</v>
      </c>
      <c r="F116" s="63">
        <f t="shared" si="80"/>
        <v>0</v>
      </c>
      <c r="G116" s="229">
        <f t="shared" si="80"/>
        <v>0</v>
      </c>
      <c r="H116" s="230">
        <f t="shared" si="80"/>
        <v>0</v>
      </c>
      <c r="I116" s="63">
        <f t="shared" si="80"/>
        <v>0</v>
      </c>
      <c r="J116" s="63">
        <f t="shared" si="80"/>
        <v>0</v>
      </c>
      <c r="K116" s="63">
        <f t="shared" si="80"/>
        <v>0</v>
      </c>
      <c r="L116" s="63">
        <f t="shared" si="80"/>
        <v>0</v>
      </c>
      <c r="M116" s="63">
        <f>M117</f>
        <v>0</v>
      </c>
      <c r="N116" s="65">
        <f t="shared" si="80"/>
        <v>0</v>
      </c>
      <c r="O116" s="230">
        <f t="shared" si="80"/>
        <v>0</v>
      </c>
      <c r="P116" s="63">
        <f t="shared" si="80"/>
        <v>0</v>
      </c>
      <c r="Q116" s="63">
        <f t="shared" si="80"/>
        <v>0</v>
      </c>
      <c r="R116" s="63">
        <f t="shared" si="80"/>
        <v>0</v>
      </c>
      <c r="S116" s="63">
        <f t="shared" si="80"/>
        <v>0</v>
      </c>
      <c r="T116" s="65">
        <f t="shared" si="80"/>
        <v>0</v>
      </c>
    </row>
    <row r="117" spans="1:21" x14ac:dyDescent="0.25">
      <c r="A117" s="237">
        <v>71304</v>
      </c>
      <c r="B117" s="66" t="s">
        <v>167</v>
      </c>
      <c r="C117" s="66"/>
      <c r="D117" s="67"/>
      <c r="E117" s="67"/>
      <c r="F117" s="67"/>
      <c r="G117" s="233">
        <f t="shared" ref="G117" si="81">C117+D117+E117+F117</f>
        <v>0</v>
      </c>
      <c r="H117" s="234"/>
      <c r="I117" s="67"/>
      <c r="J117" s="67"/>
      <c r="K117" s="67"/>
      <c r="L117" s="67"/>
      <c r="M117" s="199">
        <v>0</v>
      </c>
      <c r="N117" s="69">
        <f t="shared" ref="N117" si="82">SUM(H117:M117)</f>
        <v>0</v>
      </c>
      <c r="O117" s="234"/>
      <c r="P117" s="67"/>
      <c r="Q117" s="67"/>
      <c r="R117" s="67"/>
      <c r="S117" s="67">
        <f t="shared" ref="S117" si="83">SUM(O117:R117)</f>
        <v>0</v>
      </c>
      <c r="T117" s="68">
        <f t="shared" ref="T117" si="84">S117+N117+G117</f>
        <v>0</v>
      </c>
    </row>
    <row r="118" spans="1:21" x14ac:dyDescent="0.25">
      <c r="A118" s="241">
        <v>72</v>
      </c>
      <c r="B118" s="242" t="s">
        <v>200</v>
      </c>
      <c r="C118" s="242"/>
      <c r="D118" s="243">
        <f>D119</f>
        <v>0</v>
      </c>
      <c r="E118" s="243">
        <f>E119</f>
        <v>0</v>
      </c>
      <c r="F118" s="243">
        <f t="shared" ref="F118:T119" si="85">F119</f>
        <v>0</v>
      </c>
      <c r="G118" s="244">
        <f t="shared" si="85"/>
        <v>0</v>
      </c>
      <c r="H118" s="245">
        <f t="shared" si="85"/>
        <v>0</v>
      </c>
      <c r="I118" s="243">
        <f t="shared" si="85"/>
        <v>0</v>
      </c>
      <c r="J118" s="243">
        <f t="shared" si="85"/>
        <v>0</v>
      </c>
      <c r="K118" s="243">
        <f t="shared" si="85"/>
        <v>0</v>
      </c>
      <c r="L118" s="243">
        <f t="shared" si="85"/>
        <v>0</v>
      </c>
      <c r="M118" s="243">
        <f t="shared" si="85"/>
        <v>0</v>
      </c>
      <c r="N118" s="246">
        <f t="shared" si="85"/>
        <v>0</v>
      </c>
      <c r="O118" s="230">
        <f t="shared" si="85"/>
        <v>0</v>
      </c>
      <c r="P118" s="63">
        <f t="shared" si="85"/>
        <v>0</v>
      </c>
      <c r="Q118" s="63">
        <f t="shared" si="85"/>
        <v>0</v>
      </c>
      <c r="R118" s="63">
        <f t="shared" si="85"/>
        <v>0</v>
      </c>
      <c r="S118" s="63">
        <f>S119</f>
        <v>0</v>
      </c>
      <c r="T118" s="65">
        <f>T119</f>
        <v>0</v>
      </c>
    </row>
    <row r="119" spans="1:21" x14ac:dyDescent="0.25">
      <c r="A119" s="238">
        <v>721</v>
      </c>
      <c r="B119" s="62" t="s">
        <v>201</v>
      </c>
      <c r="C119" s="62"/>
      <c r="D119" s="63">
        <f>D120</f>
        <v>0</v>
      </c>
      <c r="E119" s="63">
        <f>E120</f>
        <v>0</v>
      </c>
      <c r="F119" s="63">
        <f t="shared" si="85"/>
        <v>0</v>
      </c>
      <c r="G119" s="229">
        <f t="shared" si="85"/>
        <v>0</v>
      </c>
      <c r="H119" s="230">
        <f t="shared" si="85"/>
        <v>0</v>
      </c>
      <c r="I119" s="63">
        <f t="shared" si="85"/>
        <v>0</v>
      </c>
      <c r="J119" s="63">
        <f t="shared" si="85"/>
        <v>0</v>
      </c>
      <c r="K119" s="63">
        <f t="shared" si="85"/>
        <v>0</v>
      </c>
      <c r="L119" s="63">
        <f t="shared" si="85"/>
        <v>0</v>
      </c>
      <c r="M119" s="63">
        <f t="shared" si="85"/>
        <v>0</v>
      </c>
      <c r="N119" s="65">
        <f t="shared" si="85"/>
        <v>0</v>
      </c>
      <c r="O119" s="230">
        <f t="shared" si="85"/>
        <v>0</v>
      </c>
      <c r="P119" s="63">
        <f t="shared" si="85"/>
        <v>0</v>
      </c>
      <c r="Q119" s="63">
        <f t="shared" si="85"/>
        <v>0</v>
      </c>
      <c r="R119" s="63">
        <f t="shared" si="85"/>
        <v>0</v>
      </c>
      <c r="S119" s="63">
        <f t="shared" si="85"/>
        <v>0</v>
      </c>
      <c r="T119" s="65">
        <f t="shared" si="85"/>
        <v>0</v>
      </c>
    </row>
    <row r="120" spans="1:21" x14ac:dyDescent="0.25">
      <c r="A120" s="237">
        <v>72101</v>
      </c>
      <c r="B120" s="66" t="s">
        <v>201</v>
      </c>
      <c r="C120" s="66"/>
      <c r="D120" s="67"/>
      <c r="E120" s="67"/>
      <c r="F120" s="67"/>
      <c r="G120" s="233">
        <f t="shared" ref="G120" si="86">C120+D120+E120+F120</f>
        <v>0</v>
      </c>
      <c r="H120" s="234"/>
      <c r="I120" s="67"/>
      <c r="J120" s="67"/>
      <c r="K120" s="67"/>
      <c r="L120" s="67"/>
      <c r="M120" s="67"/>
      <c r="N120" s="69">
        <f t="shared" ref="N120" si="87">SUM(H120:M120)</f>
        <v>0</v>
      </c>
      <c r="O120" s="234"/>
      <c r="P120" s="67"/>
      <c r="Q120" s="67"/>
      <c r="R120" s="67"/>
      <c r="S120" s="67">
        <f t="shared" ref="S120" si="88">SUM(O120:R120)</f>
        <v>0</v>
      </c>
      <c r="T120" s="68">
        <f t="shared" ref="T120" si="89">S120+N120+G120</f>
        <v>0</v>
      </c>
    </row>
    <row r="121" spans="1:21" x14ac:dyDescent="0.25">
      <c r="A121" s="231" t="s">
        <v>202</v>
      </c>
      <c r="B121" s="62" t="s">
        <v>203</v>
      </c>
      <c r="C121" s="63">
        <f>C9+C32+C81+C91+C98+C115+C118</f>
        <v>244505.59</v>
      </c>
      <c r="D121" s="63">
        <f t="shared" ref="D121:T121" si="90">D9+D32+D81+D91+D98+D115+D118</f>
        <v>110071</v>
      </c>
      <c r="E121" s="63">
        <f t="shared" si="90"/>
        <v>39543</v>
      </c>
      <c r="F121" s="63">
        <f t="shared" si="90"/>
        <v>114595.69</v>
      </c>
      <c r="G121" s="63">
        <f>G9+G32+G81+G91+G98+G115+G118</f>
        <v>508715.27999999997</v>
      </c>
      <c r="H121" s="63">
        <f t="shared" si="90"/>
        <v>65000</v>
      </c>
      <c r="I121" s="63">
        <f t="shared" si="90"/>
        <v>2246170.02</v>
      </c>
      <c r="J121" s="63">
        <f t="shared" si="90"/>
        <v>0</v>
      </c>
      <c r="K121" s="63">
        <f t="shared" si="90"/>
        <v>0</v>
      </c>
      <c r="L121" s="63">
        <f t="shared" si="90"/>
        <v>0</v>
      </c>
      <c r="M121" s="63">
        <f t="shared" si="90"/>
        <v>0</v>
      </c>
      <c r="N121" s="63">
        <f>N9+N32+N81+N91+N98+N115+N118</f>
        <v>2311170.02</v>
      </c>
      <c r="O121" s="63">
        <f t="shared" si="90"/>
        <v>248804.32</v>
      </c>
      <c r="P121" s="63">
        <f t="shared" si="90"/>
        <v>22280.959999999999</v>
      </c>
      <c r="Q121" s="63">
        <f t="shared" si="90"/>
        <v>12764.2</v>
      </c>
      <c r="R121" s="63">
        <f t="shared" si="90"/>
        <v>31265</v>
      </c>
      <c r="S121" s="63">
        <f>S9+S32+S81+S91+S98+S115+S118</f>
        <v>349204.99999999994</v>
      </c>
      <c r="T121" s="63">
        <f t="shared" si="90"/>
        <v>2875328.94</v>
      </c>
    </row>
    <row r="122" spans="1:21" x14ac:dyDescent="0.25">
      <c r="A122" s="231" t="s">
        <v>202</v>
      </c>
      <c r="B122" s="62" t="s">
        <v>204</v>
      </c>
      <c r="C122" s="63">
        <f>C121</f>
        <v>244505.59</v>
      </c>
      <c r="D122" s="63">
        <f t="shared" ref="D122:T123" si="91">D121</f>
        <v>110071</v>
      </c>
      <c r="E122" s="63">
        <f t="shared" si="91"/>
        <v>39543</v>
      </c>
      <c r="F122" s="63">
        <f t="shared" si="91"/>
        <v>114595.69</v>
      </c>
      <c r="G122" s="229">
        <f t="shared" si="91"/>
        <v>508715.27999999997</v>
      </c>
      <c r="H122" s="230">
        <f t="shared" si="91"/>
        <v>65000</v>
      </c>
      <c r="I122" s="63">
        <f t="shared" si="91"/>
        <v>2246170.02</v>
      </c>
      <c r="J122" s="63">
        <f t="shared" si="91"/>
        <v>0</v>
      </c>
      <c r="K122" s="63">
        <f t="shared" si="91"/>
        <v>0</v>
      </c>
      <c r="L122" s="63">
        <f t="shared" si="91"/>
        <v>0</v>
      </c>
      <c r="M122" s="63">
        <f t="shared" si="91"/>
        <v>0</v>
      </c>
      <c r="N122" s="65">
        <f t="shared" si="91"/>
        <v>2311170.02</v>
      </c>
      <c r="O122" s="230">
        <f t="shared" si="91"/>
        <v>248804.32</v>
      </c>
      <c r="P122" s="63">
        <f t="shared" si="91"/>
        <v>22280.959999999999</v>
      </c>
      <c r="Q122" s="63">
        <f t="shared" si="91"/>
        <v>12764.2</v>
      </c>
      <c r="R122" s="63">
        <f t="shared" si="91"/>
        <v>31265</v>
      </c>
      <c r="S122" s="63">
        <f t="shared" si="91"/>
        <v>349204.99999999994</v>
      </c>
      <c r="T122" s="65">
        <f t="shared" si="91"/>
        <v>2875328.94</v>
      </c>
    </row>
    <row r="123" spans="1:21" ht="15.75" thickBot="1" x14ac:dyDescent="0.3">
      <c r="A123" s="248" t="s">
        <v>205</v>
      </c>
      <c r="B123" s="249"/>
      <c r="C123" s="63">
        <f>C122</f>
        <v>244505.59</v>
      </c>
      <c r="D123" s="63">
        <f t="shared" si="91"/>
        <v>110071</v>
      </c>
      <c r="E123" s="63">
        <f t="shared" si="91"/>
        <v>39543</v>
      </c>
      <c r="F123" s="63">
        <f t="shared" si="91"/>
        <v>114595.69</v>
      </c>
      <c r="G123" s="229">
        <f>G122</f>
        <v>508715.27999999997</v>
      </c>
      <c r="H123" s="250">
        <f t="shared" si="91"/>
        <v>65000</v>
      </c>
      <c r="I123" s="74">
        <f t="shared" si="91"/>
        <v>2246170.02</v>
      </c>
      <c r="J123" s="74">
        <f t="shared" si="91"/>
        <v>0</v>
      </c>
      <c r="K123" s="74">
        <f t="shared" si="91"/>
        <v>0</v>
      </c>
      <c r="L123" s="74">
        <f t="shared" si="91"/>
        <v>0</v>
      </c>
      <c r="M123" s="74">
        <f t="shared" si="91"/>
        <v>0</v>
      </c>
      <c r="N123" s="75">
        <f>N122</f>
        <v>2311170.02</v>
      </c>
      <c r="O123" s="250">
        <f t="shared" si="91"/>
        <v>248804.32</v>
      </c>
      <c r="P123" s="74">
        <f t="shared" si="91"/>
        <v>22280.959999999999</v>
      </c>
      <c r="Q123" s="74">
        <f t="shared" si="91"/>
        <v>12764.2</v>
      </c>
      <c r="R123" s="74">
        <f t="shared" si="91"/>
        <v>31265</v>
      </c>
      <c r="S123" s="74">
        <f t="shared" si="91"/>
        <v>349204.99999999994</v>
      </c>
      <c r="T123" s="75">
        <f t="shared" si="91"/>
        <v>2875328.94</v>
      </c>
    </row>
    <row r="125" spans="1:21" hidden="1" x14ac:dyDescent="0.25">
      <c r="N125">
        <v>1513725.9</v>
      </c>
    </row>
    <row r="126" spans="1:21" hidden="1" x14ac:dyDescent="0.25">
      <c r="N126" s="76">
        <f>N125-N123</f>
        <v>-797444.12000000011</v>
      </c>
      <c r="T126" s="181">
        <v>285705</v>
      </c>
      <c r="U126" s="251"/>
    </row>
    <row r="127" spans="1:21" hidden="1" x14ac:dyDescent="0.25"/>
    <row r="128" spans="1:21" hidden="1" x14ac:dyDescent="0.25"/>
    <row r="129" hidden="1" x14ac:dyDescent="0.25"/>
  </sheetData>
  <mergeCells count="11">
    <mergeCell ref="C6:G6"/>
    <mergeCell ref="O6:S6"/>
    <mergeCell ref="C7:G7"/>
    <mergeCell ref="O7:S7"/>
    <mergeCell ref="A1:T1"/>
    <mergeCell ref="A2:T2"/>
    <mergeCell ref="A3:T3"/>
    <mergeCell ref="O4:S4"/>
    <mergeCell ref="C5:G5"/>
    <mergeCell ref="H5:N5"/>
    <mergeCell ref="O5:S5"/>
  </mergeCells>
  <pageMargins left="0.51181102362204722" right="0.51181102362204722" top="0.55118110236220474" bottom="0.55118110236220474" header="0.31496062992125984" footer="0.31496062992125984"/>
  <pageSetup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C165"/>
  <sheetViews>
    <sheetView zoomScale="180" zoomScaleNormal="180" workbookViewId="0">
      <selection activeCell="B169" sqref="B169"/>
    </sheetView>
  </sheetViews>
  <sheetFormatPr baseColWidth="10" defaultRowHeight="16.5" x14ac:dyDescent="0.3"/>
  <cols>
    <col min="1" max="1" width="3" style="77" customWidth="1"/>
    <col min="2" max="2" width="32.28515625" style="165" customWidth="1"/>
    <col min="3" max="3" width="18.140625" style="380" customWidth="1"/>
    <col min="4" max="4" width="11.42578125" style="166" customWidth="1"/>
    <col min="5" max="5" width="9.85546875" style="166" customWidth="1"/>
    <col min="6" max="6" width="13.5703125" style="166" customWidth="1"/>
    <col min="7" max="10" width="12.42578125" style="166" customWidth="1"/>
    <col min="11" max="11" width="13.7109375" style="166" customWidth="1"/>
    <col min="12" max="12" width="14.7109375" style="166" customWidth="1"/>
    <col min="13" max="13" width="12.28515625" style="166" customWidth="1"/>
    <col min="14" max="14" width="11.5703125" style="166" customWidth="1"/>
    <col min="15" max="15" width="15.42578125" style="166" customWidth="1"/>
    <col min="16" max="16" width="13.42578125" style="166" customWidth="1"/>
    <col min="17" max="17" width="13.28515625" style="166" customWidth="1"/>
    <col min="18" max="18" width="18.42578125" style="77" customWidth="1"/>
    <col min="19" max="19" width="11.42578125" style="95" customWidth="1"/>
    <col min="20" max="20" width="11.7109375" style="95" customWidth="1"/>
    <col min="21" max="37" width="11.42578125" style="95" customWidth="1"/>
    <col min="38" max="81" width="11.42578125" style="95"/>
    <col min="82" max="16384" width="11.42578125" style="77"/>
  </cols>
  <sheetData>
    <row r="1" spans="1:81" ht="26.25" customHeight="1" x14ac:dyDescent="0.3">
      <c r="A1" s="578" t="s">
        <v>570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</row>
    <row r="2" spans="1:81" ht="14.25" customHeight="1" x14ac:dyDescent="0.3">
      <c r="A2" s="265"/>
      <c r="B2" s="265"/>
      <c r="C2" s="352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</row>
    <row r="3" spans="1:81" ht="32.25" customHeight="1" x14ac:dyDescent="0.3">
      <c r="A3" s="78" t="s">
        <v>296</v>
      </c>
      <c r="B3" s="79" t="s">
        <v>297</v>
      </c>
      <c r="C3" s="353" t="s">
        <v>298</v>
      </c>
      <c r="D3" s="80" t="s">
        <v>299</v>
      </c>
      <c r="E3" s="80" t="s">
        <v>300</v>
      </c>
      <c r="F3" s="80" t="s">
        <v>301</v>
      </c>
      <c r="G3" s="80" t="s">
        <v>302</v>
      </c>
      <c r="H3" s="80" t="s">
        <v>577</v>
      </c>
      <c r="I3" s="80" t="s">
        <v>578</v>
      </c>
      <c r="J3" s="80" t="s">
        <v>303</v>
      </c>
      <c r="K3" s="80" t="s">
        <v>304</v>
      </c>
      <c r="L3" s="80" t="s">
        <v>305</v>
      </c>
      <c r="M3" s="80" t="s">
        <v>306</v>
      </c>
      <c r="N3" s="80" t="s">
        <v>295</v>
      </c>
      <c r="O3" s="80" t="s">
        <v>307</v>
      </c>
      <c r="P3" s="80" t="s">
        <v>308</v>
      </c>
      <c r="Q3" s="80" t="s">
        <v>309</v>
      </c>
      <c r="R3" s="78" t="s">
        <v>310</v>
      </c>
    </row>
    <row r="4" spans="1:81" ht="19.5" customHeight="1" x14ac:dyDescent="0.3">
      <c r="A4" s="81">
        <v>1</v>
      </c>
      <c r="B4" s="82" t="s">
        <v>311</v>
      </c>
      <c r="C4" s="8" t="s">
        <v>312</v>
      </c>
      <c r="D4" s="83">
        <v>2000</v>
      </c>
      <c r="E4" s="83"/>
      <c r="F4" s="83">
        <f>D4+E4</f>
        <v>2000</v>
      </c>
      <c r="G4" s="83">
        <f>F4*12</f>
        <v>24000</v>
      </c>
      <c r="H4" s="83">
        <f>F4*8</f>
        <v>16000</v>
      </c>
      <c r="I4" s="83">
        <f>F4*4</f>
        <v>8000</v>
      </c>
      <c r="J4" s="83">
        <f>F4</f>
        <v>2000</v>
      </c>
      <c r="K4" s="83">
        <f>(F4-1000)*0.075</f>
        <v>75</v>
      </c>
      <c r="L4" s="83">
        <f>F4*0.0775</f>
        <v>155</v>
      </c>
      <c r="M4" s="83"/>
      <c r="N4" s="83">
        <f>(F4-1000)*0.01</f>
        <v>10</v>
      </c>
      <c r="O4" s="83">
        <f>K4+L4+M4+N4</f>
        <v>240</v>
      </c>
      <c r="P4" s="83">
        <f>O4*12</f>
        <v>2880</v>
      </c>
      <c r="Q4" s="83">
        <f>G4+P4</f>
        <v>26880</v>
      </c>
      <c r="R4" s="82"/>
    </row>
    <row r="5" spans="1:81" ht="21" customHeight="1" x14ac:dyDescent="0.3">
      <c r="A5" s="81">
        <v>2</v>
      </c>
      <c r="B5" s="84" t="s">
        <v>313</v>
      </c>
      <c r="C5" s="8" t="s">
        <v>314</v>
      </c>
      <c r="D5" s="85">
        <v>1000</v>
      </c>
      <c r="E5" s="85"/>
      <c r="F5" s="83">
        <f>D5+E5</f>
        <v>1000</v>
      </c>
      <c r="G5" s="83">
        <f>F5*11</f>
        <v>11000</v>
      </c>
      <c r="H5" s="83">
        <f t="shared" ref="H5:H52" si="0">F5*8</f>
        <v>8000</v>
      </c>
      <c r="I5" s="83">
        <f>F5*4</f>
        <v>4000</v>
      </c>
      <c r="J5" s="83">
        <f t="shared" ref="J5:J50" si="1">F5</f>
        <v>1000</v>
      </c>
      <c r="K5" s="83">
        <f>F5*0.075</f>
        <v>75</v>
      </c>
      <c r="L5" s="83">
        <f>F5*0.0775</f>
        <v>77.5</v>
      </c>
      <c r="M5" s="85"/>
      <c r="N5" s="83">
        <f>F5*0.01</f>
        <v>10</v>
      </c>
      <c r="O5" s="83">
        <f>K5+L5+M5+N5</f>
        <v>162.5</v>
      </c>
      <c r="P5" s="83">
        <f>O5*12</f>
        <v>1950</v>
      </c>
      <c r="Q5" s="83">
        <f>G5+P5</f>
        <v>12950</v>
      </c>
      <c r="R5" s="86" t="s">
        <v>315</v>
      </c>
    </row>
    <row r="6" spans="1:81" ht="21.95" customHeight="1" x14ac:dyDescent="0.3">
      <c r="A6" s="81">
        <v>3</v>
      </c>
      <c r="B6" s="84" t="s">
        <v>316</v>
      </c>
      <c r="C6" s="8" t="s">
        <v>317</v>
      </c>
      <c r="D6" s="85">
        <v>1225</v>
      </c>
      <c r="E6" s="85">
        <v>50</v>
      </c>
      <c r="F6" s="83">
        <f>D6+E6</f>
        <v>1275</v>
      </c>
      <c r="G6" s="83">
        <f>F6*12</f>
        <v>15300</v>
      </c>
      <c r="H6" s="83">
        <f t="shared" si="0"/>
        <v>10200</v>
      </c>
      <c r="I6" s="83">
        <f>F6*4</f>
        <v>5100</v>
      </c>
      <c r="J6" s="83">
        <f t="shared" si="1"/>
        <v>1275</v>
      </c>
      <c r="K6" s="83">
        <f>(F6-275)*0.075</f>
        <v>75</v>
      </c>
      <c r="L6" s="83">
        <f>F6*0.0775</f>
        <v>98.8125</v>
      </c>
      <c r="M6" s="85"/>
      <c r="N6" s="83">
        <f>(F6-275)*0.01</f>
        <v>10</v>
      </c>
      <c r="O6" s="83">
        <f>K6+L6+M6+N6</f>
        <v>183.8125</v>
      </c>
      <c r="P6" s="83">
        <f>O6*12</f>
        <v>2205.75</v>
      </c>
      <c r="Q6" s="83">
        <f>G6+P6</f>
        <v>17505.75</v>
      </c>
      <c r="R6" s="86" t="s">
        <v>318</v>
      </c>
    </row>
    <row r="7" spans="1:81" s="90" customFormat="1" ht="24.75" customHeight="1" x14ac:dyDescent="0.3">
      <c r="A7" s="87"/>
      <c r="B7" s="88" t="s">
        <v>319</v>
      </c>
      <c r="C7" s="354"/>
      <c r="D7" s="89">
        <f>SUM(D4:D6)</f>
        <v>4225</v>
      </c>
      <c r="E7" s="89">
        <f t="shared" ref="E7:F7" si="2">SUM(E4:E6)</f>
        <v>50</v>
      </c>
      <c r="F7" s="89">
        <f t="shared" si="2"/>
        <v>4275</v>
      </c>
      <c r="G7" s="89">
        <f>SUM(G4:G6)</f>
        <v>50300</v>
      </c>
      <c r="H7" s="387">
        <f t="shared" si="0"/>
        <v>34200</v>
      </c>
      <c r="I7" s="387">
        <f>F7*4</f>
        <v>17100</v>
      </c>
      <c r="J7" s="83">
        <f t="shared" si="1"/>
        <v>4275</v>
      </c>
      <c r="K7" s="89">
        <f t="shared" ref="K7:Q7" si="3">SUM(K4:K6)</f>
        <v>225</v>
      </c>
      <c r="L7" s="89">
        <f t="shared" si="3"/>
        <v>331.3125</v>
      </c>
      <c r="M7" s="89">
        <f t="shared" si="3"/>
        <v>0</v>
      </c>
      <c r="N7" s="89">
        <f t="shared" si="3"/>
        <v>30</v>
      </c>
      <c r="O7" s="89">
        <f t="shared" si="3"/>
        <v>586.3125</v>
      </c>
      <c r="P7" s="89">
        <f t="shared" si="3"/>
        <v>7035.75</v>
      </c>
      <c r="Q7" s="89">
        <f t="shared" si="3"/>
        <v>57335.75</v>
      </c>
      <c r="R7" s="89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3"/>
      <c r="AG7" s="143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3"/>
      <c r="BE7" s="143"/>
      <c r="BF7" s="143"/>
      <c r="BG7" s="143"/>
      <c r="BH7" s="143"/>
      <c r="BI7" s="143"/>
      <c r="BJ7" s="143"/>
      <c r="BK7" s="143"/>
      <c r="BL7" s="143"/>
      <c r="BM7" s="143"/>
      <c r="BN7" s="143"/>
      <c r="BO7" s="143"/>
      <c r="BP7" s="143"/>
      <c r="BQ7" s="143"/>
      <c r="BR7" s="143"/>
      <c r="BS7" s="143"/>
      <c r="BT7" s="143"/>
      <c r="BU7" s="143"/>
      <c r="BV7" s="143"/>
      <c r="BW7" s="143"/>
      <c r="BX7" s="143"/>
      <c r="BY7" s="143"/>
      <c r="BZ7" s="143"/>
      <c r="CA7" s="143"/>
      <c r="CB7" s="143"/>
      <c r="CC7" s="143"/>
    </row>
    <row r="8" spans="1:81" ht="21.95" customHeight="1" x14ac:dyDescent="0.3">
      <c r="A8" s="81">
        <v>1</v>
      </c>
      <c r="B8" s="84" t="s">
        <v>323</v>
      </c>
      <c r="C8" s="8" t="s">
        <v>467</v>
      </c>
      <c r="D8" s="85">
        <v>600</v>
      </c>
      <c r="E8" s="85">
        <v>50</v>
      </c>
      <c r="F8" s="83">
        <f t="shared" ref="F8:F23" si="4">D8+E8</f>
        <v>650</v>
      </c>
      <c r="G8" s="83">
        <f t="shared" ref="G8:G23" si="5">F8*12</f>
        <v>7800</v>
      </c>
      <c r="H8" s="83">
        <f t="shared" si="0"/>
        <v>5200</v>
      </c>
      <c r="I8" s="83">
        <f t="shared" ref="I8:I52" si="6">F8*4</f>
        <v>2600</v>
      </c>
      <c r="J8" s="83">
        <f t="shared" si="1"/>
        <v>650</v>
      </c>
      <c r="K8" s="83">
        <f t="shared" ref="K8:K23" si="7">F8*0.075</f>
        <v>48.75</v>
      </c>
      <c r="L8" s="83">
        <f>F8*0.0775</f>
        <v>50.375</v>
      </c>
      <c r="M8" s="85"/>
      <c r="N8" s="83">
        <f>F8*0.01</f>
        <v>6.5</v>
      </c>
      <c r="O8" s="83">
        <f t="shared" ref="O8:O23" si="8">K8+L8+M8+N8</f>
        <v>105.625</v>
      </c>
      <c r="P8" s="83">
        <f t="shared" ref="P8:P23" si="9">O8*12</f>
        <v>1267.5</v>
      </c>
      <c r="Q8" s="83">
        <f>G8+P8</f>
        <v>9067.5</v>
      </c>
      <c r="R8" s="86" t="s">
        <v>318</v>
      </c>
    </row>
    <row r="9" spans="1:81" ht="21.95" customHeight="1" x14ac:dyDescent="0.3">
      <c r="A9" s="81">
        <v>2</v>
      </c>
      <c r="B9" s="84" t="s">
        <v>352</v>
      </c>
      <c r="C9" s="8" t="s">
        <v>322</v>
      </c>
      <c r="D9" s="85">
        <v>770</v>
      </c>
      <c r="E9" s="85"/>
      <c r="F9" s="83">
        <f t="shared" si="4"/>
        <v>770</v>
      </c>
      <c r="G9" s="83">
        <f t="shared" si="5"/>
        <v>9240</v>
      </c>
      <c r="H9" s="83">
        <f t="shared" si="0"/>
        <v>6160</v>
      </c>
      <c r="I9" s="83">
        <f t="shared" si="6"/>
        <v>3080</v>
      </c>
      <c r="J9" s="83">
        <f t="shared" si="1"/>
        <v>770</v>
      </c>
      <c r="K9" s="83">
        <f t="shared" si="7"/>
        <v>57.75</v>
      </c>
      <c r="L9" s="83">
        <f>F9*0.0775</f>
        <v>59.674999999999997</v>
      </c>
      <c r="M9" s="85"/>
      <c r="N9" s="83">
        <f t="shared" ref="N9:N23" si="10">F9*0.01</f>
        <v>7.7</v>
      </c>
      <c r="O9" s="83">
        <f t="shared" si="8"/>
        <v>125.125</v>
      </c>
      <c r="P9" s="83">
        <f t="shared" si="9"/>
        <v>1501.5</v>
      </c>
      <c r="Q9" s="83">
        <f>G9+P9</f>
        <v>10741.5</v>
      </c>
      <c r="R9" s="86" t="s">
        <v>318</v>
      </c>
    </row>
    <row r="10" spans="1:81" ht="21.95" customHeight="1" x14ac:dyDescent="0.3">
      <c r="A10" s="81">
        <v>3</v>
      </c>
      <c r="B10" s="84" t="s">
        <v>468</v>
      </c>
      <c r="C10" s="8" t="s">
        <v>322</v>
      </c>
      <c r="D10" s="85">
        <v>400</v>
      </c>
      <c r="E10" s="85"/>
      <c r="F10" s="83">
        <f t="shared" si="4"/>
        <v>400</v>
      </c>
      <c r="G10" s="83">
        <f t="shared" si="5"/>
        <v>4800</v>
      </c>
      <c r="H10" s="83">
        <f t="shared" si="0"/>
        <v>3200</v>
      </c>
      <c r="I10" s="83">
        <f t="shared" si="6"/>
        <v>1600</v>
      </c>
      <c r="J10" s="83">
        <f t="shared" si="1"/>
        <v>400</v>
      </c>
      <c r="K10" s="83">
        <f t="shared" si="7"/>
        <v>30</v>
      </c>
      <c r="L10" s="83">
        <f>F10*0.0775</f>
        <v>31</v>
      </c>
      <c r="M10" s="85"/>
      <c r="N10" s="83">
        <f t="shared" si="10"/>
        <v>4</v>
      </c>
      <c r="O10" s="83">
        <f t="shared" si="8"/>
        <v>65</v>
      </c>
      <c r="P10" s="83">
        <f t="shared" si="9"/>
        <v>780</v>
      </c>
      <c r="Q10" s="83"/>
      <c r="R10" s="86"/>
    </row>
    <row r="11" spans="1:81" ht="21.95" customHeight="1" x14ac:dyDescent="0.3">
      <c r="A11" s="81">
        <v>4</v>
      </c>
      <c r="B11" s="84" t="s">
        <v>324</v>
      </c>
      <c r="C11" s="8" t="s">
        <v>325</v>
      </c>
      <c r="D11" s="85">
        <v>600</v>
      </c>
      <c r="E11" s="85"/>
      <c r="F11" s="83">
        <f t="shared" si="4"/>
        <v>600</v>
      </c>
      <c r="G11" s="83">
        <f t="shared" si="5"/>
        <v>7200</v>
      </c>
      <c r="H11" s="83">
        <f t="shared" si="0"/>
        <v>4800</v>
      </c>
      <c r="I11" s="83">
        <f t="shared" si="6"/>
        <v>2400</v>
      </c>
      <c r="J11" s="83">
        <f t="shared" si="1"/>
        <v>600</v>
      </c>
      <c r="K11" s="83">
        <f t="shared" si="7"/>
        <v>45</v>
      </c>
      <c r="L11" s="83"/>
      <c r="M11" s="85">
        <f>F11*0.07</f>
        <v>42.000000000000007</v>
      </c>
      <c r="N11" s="83">
        <f t="shared" si="10"/>
        <v>6</v>
      </c>
      <c r="O11" s="83">
        <f t="shared" si="8"/>
        <v>93</v>
      </c>
      <c r="P11" s="83">
        <f t="shared" si="9"/>
        <v>1116</v>
      </c>
      <c r="Q11" s="83">
        <f t="shared" ref="Q11:Q23" si="11">G11+P11</f>
        <v>8316</v>
      </c>
      <c r="R11" s="86" t="s">
        <v>318</v>
      </c>
    </row>
    <row r="12" spans="1:81" ht="21.95" customHeight="1" x14ac:dyDescent="0.3">
      <c r="A12" s="81">
        <v>5</v>
      </c>
      <c r="B12" s="84" t="s">
        <v>344</v>
      </c>
      <c r="C12" s="8" t="s">
        <v>327</v>
      </c>
      <c r="D12" s="85">
        <v>600</v>
      </c>
      <c r="E12" s="85"/>
      <c r="F12" s="83">
        <f t="shared" si="4"/>
        <v>600</v>
      </c>
      <c r="G12" s="83">
        <f t="shared" si="5"/>
        <v>7200</v>
      </c>
      <c r="H12" s="83">
        <f t="shared" si="0"/>
        <v>4800</v>
      </c>
      <c r="I12" s="83">
        <f t="shared" si="6"/>
        <v>2400</v>
      </c>
      <c r="J12" s="83">
        <f t="shared" si="1"/>
        <v>600</v>
      </c>
      <c r="K12" s="83">
        <f t="shared" si="7"/>
        <v>45</v>
      </c>
      <c r="L12" s="83">
        <f>F12*0.0775</f>
        <v>46.5</v>
      </c>
      <c r="M12" s="85"/>
      <c r="N12" s="83">
        <f t="shared" si="10"/>
        <v>6</v>
      </c>
      <c r="O12" s="83">
        <f t="shared" si="8"/>
        <v>97.5</v>
      </c>
      <c r="P12" s="83">
        <f t="shared" si="9"/>
        <v>1170</v>
      </c>
      <c r="Q12" s="83">
        <f t="shared" si="11"/>
        <v>8370</v>
      </c>
      <c r="R12" s="86" t="s">
        <v>318</v>
      </c>
    </row>
    <row r="13" spans="1:81" ht="21.95" customHeight="1" x14ac:dyDescent="0.3">
      <c r="A13" s="81">
        <v>6</v>
      </c>
      <c r="B13" s="84" t="s">
        <v>328</v>
      </c>
      <c r="C13" s="8" t="s">
        <v>329</v>
      </c>
      <c r="D13" s="85">
        <v>700</v>
      </c>
      <c r="E13" s="85"/>
      <c r="F13" s="83">
        <f t="shared" si="4"/>
        <v>700</v>
      </c>
      <c r="G13" s="83">
        <f t="shared" si="5"/>
        <v>8400</v>
      </c>
      <c r="H13" s="83">
        <f t="shared" si="0"/>
        <v>5600</v>
      </c>
      <c r="I13" s="83">
        <f t="shared" si="6"/>
        <v>2800</v>
      </c>
      <c r="J13" s="83">
        <f t="shared" si="1"/>
        <v>700</v>
      </c>
      <c r="K13" s="83">
        <f t="shared" si="7"/>
        <v>52.5</v>
      </c>
      <c r="L13" s="83">
        <f>F13*0.0775</f>
        <v>54.25</v>
      </c>
      <c r="M13" s="85"/>
      <c r="N13" s="83">
        <f t="shared" si="10"/>
        <v>7</v>
      </c>
      <c r="O13" s="83">
        <f t="shared" si="8"/>
        <v>113.75</v>
      </c>
      <c r="P13" s="83">
        <f t="shared" si="9"/>
        <v>1365</v>
      </c>
      <c r="Q13" s="83">
        <f t="shared" si="11"/>
        <v>9765</v>
      </c>
      <c r="R13" s="86" t="s">
        <v>318</v>
      </c>
    </row>
    <row r="14" spans="1:81" ht="21.95" customHeight="1" x14ac:dyDescent="0.3">
      <c r="A14" s="81">
        <v>7</v>
      </c>
      <c r="B14" s="92" t="s">
        <v>483</v>
      </c>
      <c r="C14" s="355" t="s">
        <v>329</v>
      </c>
      <c r="D14" s="93">
        <v>400</v>
      </c>
      <c r="E14" s="85"/>
      <c r="F14" s="83">
        <f t="shared" si="4"/>
        <v>400</v>
      </c>
      <c r="G14" s="83">
        <f t="shared" si="5"/>
        <v>4800</v>
      </c>
      <c r="H14" s="83">
        <f t="shared" si="0"/>
        <v>3200</v>
      </c>
      <c r="I14" s="83">
        <f t="shared" si="6"/>
        <v>1600</v>
      </c>
      <c r="J14" s="83">
        <f t="shared" si="1"/>
        <v>400</v>
      </c>
      <c r="K14" s="83">
        <f t="shared" si="7"/>
        <v>30</v>
      </c>
      <c r="L14" s="83">
        <f>F14*0.0775</f>
        <v>31</v>
      </c>
      <c r="M14" s="85"/>
      <c r="N14" s="83">
        <f t="shared" si="10"/>
        <v>4</v>
      </c>
      <c r="O14" s="83">
        <f t="shared" si="8"/>
        <v>65</v>
      </c>
      <c r="P14" s="83">
        <f t="shared" si="9"/>
        <v>780</v>
      </c>
      <c r="Q14" s="83">
        <f t="shared" si="11"/>
        <v>5580</v>
      </c>
      <c r="R14" s="86" t="s">
        <v>318</v>
      </c>
    </row>
    <row r="15" spans="1:81" ht="18" customHeight="1" x14ac:dyDescent="0.3">
      <c r="A15" s="81">
        <v>8</v>
      </c>
      <c r="B15" s="92" t="s">
        <v>326</v>
      </c>
      <c r="C15" s="355" t="s">
        <v>484</v>
      </c>
      <c r="D15" s="93">
        <v>800</v>
      </c>
      <c r="E15" s="85"/>
      <c r="F15" s="83">
        <f t="shared" si="4"/>
        <v>800</v>
      </c>
      <c r="G15" s="83">
        <f t="shared" si="5"/>
        <v>9600</v>
      </c>
      <c r="H15" s="83">
        <f t="shared" si="0"/>
        <v>6400</v>
      </c>
      <c r="I15" s="83">
        <f t="shared" si="6"/>
        <v>3200</v>
      </c>
      <c r="J15" s="83">
        <f t="shared" si="1"/>
        <v>800</v>
      </c>
      <c r="K15" s="83">
        <f t="shared" si="7"/>
        <v>60</v>
      </c>
      <c r="L15" s="83">
        <f>F15*0.0775</f>
        <v>62</v>
      </c>
      <c r="M15" s="85"/>
      <c r="N15" s="83">
        <f t="shared" si="10"/>
        <v>8</v>
      </c>
      <c r="O15" s="83">
        <f t="shared" si="8"/>
        <v>130</v>
      </c>
      <c r="P15" s="83">
        <f t="shared" si="9"/>
        <v>1560</v>
      </c>
      <c r="Q15" s="83">
        <f t="shared" si="11"/>
        <v>11160</v>
      </c>
      <c r="R15" s="86" t="s">
        <v>318</v>
      </c>
    </row>
    <row r="16" spans="1:81" ht="21.75" customHeight="1" x14ac:dyDescent="0.3">
      <c r="A16" s="81">
        <v>9</v>
      </c>
      <c r="B16" s="84" t="s">
        <v>330</v>
      </c>
      <c r="C16" s="8" t="s">
        <v>331</v>
      </c>
      <c r="D16" s="85">
        <v>500</v>
      </c>
      <c r="E16" s="85"/>
      <c r="F16" s="83">
        <f t="shared" si="4"/>
        <v>500</v>
      </c>
      <c r="G16" s="83">
        <f t="shared" si="5"/>
        <v>6000</v>
      </c>
      <c r="H16" s="83">
        <f t="shared" si="0"/>
        <v>4000</v>
      </c>
      <c r="I16" s="83">
        <f t="shared" si="6"/>
        <v>2000</v>
      </c>
      <c r="J16" s="83">
        <f t="shared" si="1"/>
        <v>500</v>
      </c>
      <c r="K16" s="83">
        <f t="shared" si="7"/>
        <v>37.5</v>
      </c>
      <c r="L16" s="83">
        <f t="shared" ref="L16:L23" si="12">F16*0.0775</f>
        <v>38.75</v>
      </c>
      <c r="M16" s="85"/>
      <c r="N16" s="83">
        <f t="shared" si="10"/>
        <v>5</v>
      </c>
      <c r="O16" s="83">
        <f t="shared" si="8"/>
        <v>81.25</v>
      </c>
      <c r="P16" s="83">
        <f t="shared" si="9"/>
        <v>975</v>
      </c>
      <c r="Q16" s="83">
        <f t="shared" si="11"/>
        <v>6975</v>
      </c>
      <c r="R16" s="86" t="s">
        <v>318</v>
      </c>
    </row>
    <row r="17" spans="1:81" ht="21.95" customHeight="1" x14ac:dyDescent="0.3">
      <c r="A17" s="81">
        <v>10</v>
      </c>
      <c r="B17" s="84" t="s">
        <v>332</v>
      </c>
      <c r="C17" s="8" t="s">
        <v>331</v>
      </c>
      <c r="D17" s="85">
        <v>430</v>
      </c>
      <c r="E17" s="85">
        <v>50</v>
      </c>
      <c r="F17" s="83">
        <f t="shared" si="4"/>
        <v>480</v>
      </c>
      <c r="G17" s="83">
        <f t="shared" si="5"/>
        <v>5760</v>
      </c>
      <c r="H17" s="83">
        <f t="shared" si="0"/>
        <v>3840</v>
      </c>
      <c r="I17" s="83">
        <f t="shared" si="6"/>
        <v>1920</v>
      </c>
      <c r="J17" s="83">
        <f t="shared" si="1"/>
        <v>480</v>
      </c>
      <c r="K17" s="83">
        <f t="shared" si="7"/>
        <v>36</v>
      </c>
      <c r="L17" s="83">
        <f t="shared" si="12"/>
        <v>37.200000000000003</v>
      </c>
      <c r="M17" s="85"/>
      <c r="N17" s="83">
        <f t="shared" si="10"/>
        <v>4.8</v>
      </c>
      <c r="O17" s="83">
        <f t="shared" si="8"/>
        <v>78</v>
      </c>
      <c r="P17" s="83">
        <f t="shared" si="9"/>
        <v>936</v>
      </c>
      <c r="Q17" s="83">
        <f t="shared" si="11"/>
        <v>6696</v>
      </c>
      <c r="R17" s="86" t="s">
        <v>318</v>
      </c>
    </row>
    <row r="18" spans="1:81" ht="21.95" customHeight="1" x14ac:dyDescent="0.3">
      <c r="A18" s="81">
        <v>11</v>
      </c>
      <c r="B18" s="84" t="s">
        <v>333</v>
      </c>
      <c r="C18" s="8" t="s">
        <v>334</v>
      </c>
      <c r="D18" s="85">
        <v>900</v>
      </c>
      <c r="E18" s="85"/>
      <c r="F18" s="83">
        <f t="shared" si="4"/>
        <v>900</v>
      </c>
      <c r="G18" s="83">
        <f t="shared" si="5"/>
        <v>10800</v>
      </c>
      <c r="H18" s="83">
        <f t="shared" si="0"/>
        <v>7200</v>
      </c>
      <c r="I18" s="83">
        <f t="shared" si="6"/>
        <v>3600</v>
      </c>
      <c r="J18" s="83">
        <f t="shared" si="1"/>
        <v>900</v>
      </c>
      <c r="K18" s="83">
        <f t="shared" si="7"/>
        <v>67.5</v>
      </c>
      <c r="L18" s="83">
        <f t="shared" si="12"/>
        <v>69.75</v>
      </c>
      <c r="M18" s="85"/>
      <c r="N18" s="83">
        <f t="shared" si="10"/>
        <v>9</v>
      </c>
      <c r="O18" s="83">
        <f t="shared" si="8"/>
        <v>146.25</v>
      </c>
      <c r="P18" s="83">
        <f t="shared" si="9"/>
        <v>1755</v>
      </c>
      <c r="Q18" s="83">
        <f t="shared" si="11"/>
        <v>12555</v>
      </c>
      <c r="R18" s="86" t="s">
        <v>318</v>
      </c>
    </row>
    <row r="19" spans="1:81" ht="21.95" customHeight="1" x14ac:dyDescent="0.3">
      <c r="A19" s="81">
        <v>12</v>
      </c>
      <c r="B19" s="84" t="s">
        <v>335</v>
      </c>
      <c r="C19" s="8" t="s">
        <v>336</v>
      </c>
      <c r="D19" s="85">
        <v>685</v>
      </c>
      <c r="E19" s="85"/>
      <c r="F19" s="83">
        <f t="shared" si="4"/>
        <v>685</v>
      </c>
      <c r="G19" s="83">
        <f t="shared" si="5"/>
        <v>8220</v>
      </c>
      <c r="H19" s="83">
        <f t="shared" si="0"/>
        <v>5480</v>
      </c>
      <c r="I19" s="83">
        <f t="shared" si="6"/>
        <v>2740</v>
      </c>
      <c r="J19" s="83">
        <f t="shared" si="1"/>
        <v>685</v>
      </c>
      <c r="K19" s="83">
        <f t="shared" si="7"/>
        <v>51.375</v>
      </c>
      <c r="L19" s="83">
        <f t="shared" si="12"/>
        <v>53.087499999999999</v>
      </c>
      <c r="M19" s="85"/>
      <c r="N19" s="83">
        <f t="shared" si="10"/>
        <v>6.8500000000000005</v>
      </c>
      <c r="O19" s="83">
        <f t="shared" si="8"/>
        <v>111.3125</v>
      </c>
      <c r="P19" s="83">
        <f t="shared" si="9"/>
        <v>1335.75</v>
      </c>
      <c r="Q19" s="83">
        <f t="shared" si="11"/>
        <v>9555.75</v>
      </c>
      <c r="R19" s="86" t="s">
        <v>318</v>
      </c>
    </row>
    <row r="20" spans="1:81" ht="30" customHeight="1" x14ac:dyDescent="0.3">
      <c r="A20" s="81">
        <v>13</v>
      </c>
      <c r="B20" s="84" t="s">
        <v>337</v>
      </c>
      <c r="C20" s="8" t="s">
        <v>338</v>
      </c>
      <c r="D20" s="85">
        <v>700</v>
      </c>
      <c r="E20" s="85"/>
      <c r="F20" s="83">
        <f t="shared" si="4"/>
        <v>700</v>
      </c>
      <c r="G20" s="83">
        <f t="shared" si="5"/>
        <v>8400</v>
      </c>
      <c r="H20" s="83">
        <f t="shared" si="0"/>
        <v>5600</v>
      </c>
      <c r="I20" s="83">
        <f t="shared" si="6"/>
        <v>2800</v>
      </c>
      <c r="J20" s="83">
        <f t="shared" si="1"/>
        <v>700</v>
      </c>
      <c r="K20" s="83">
        <f t="shared" si="7"/>
        <v>52.5</v>
      </c>
      <c r="L20" s="83">
        <f t="shared" si="12"/>
        <v>54.25</v>
      </c>
      <c r="M20" s="85"/>
      <c r="N20" s="83">
        <f t="shared" si="10"/>
        <v>7</v>
      </c>
      <c r="O20" s="83">
        <f t="shared" si="8"/>
        <v>113.75</v>
      </c>
      <c r="P20" s="83">
        <f t="shared" si="9"/>
        <v>1365</v>
      </c>
      <c r="Q20" s="83">
        <f t="shared" si="11"/>
        <v>9765</v>
      </c>
      <c r="R20" s="86" t="s">
        <v>318</v>
      </c>
    </row>
    <row r="21" spans="1:81" s="95" customFormat="1" ht="32.25" customHeight="1" x14ac:dyDescent="0.3">
      <c r="A21" s="81">
        <v>14</v>
      </c>
      <c r="B21" s="84" t="s">
        <v>321</v>
      </c>
      <c r="C21" s="355" t="s">
        <v>485</v>
      </c>
      <c r="D21" s="93">
        <v>700</v>
      </c>
      <c r="E21" s="93"/>
      <c r="F21" s="93">
        <f t="shared" si="4"/>
        <v>700</v>
      </c>
      <c r="G21" s="93">
        <f t="shared" si="5"/>
        <v>8400</v>
      </c>
      <c r="H21" s="83">
        <f t="shared" si="0"/>
        <v>5600</v>
      </c>
      <c r="I21" s="83">
        <f t="shared" si="6"/>
        <v>2800</v>
      </c>
      <c r="J21" s="83">
        <f t="shared" si="1"/>
        <v>700</v>
      </c>
      <c r="K21" s="93">
        <f t="shared" si="7"/>
        <v>52.5</v>
      </c>
      <c r="L21" s="83">
        <f t="shared" si="12"/>
        <v>54.25</v>
      </c>
      <c r="M21" s="93"/>
      <c r="N21" s="83">
        <f t="shared" si="10"/>
        <v>7</v>
      </c>
      <c r="O21" s="93">
        <f t="shared" si="8"/>
        <v>113.75</v>
      </c>
      <c r="P21" s="93">
        <f t="shared" si="9"/>
        <v>1365</v>
      </c>
      <c r="Q21" s="93">
        <f t="shared" si="11"/>
        <v>9765</v>
      </c>
      <c r="R21" s="94" t="s">
        <v>340</v>
      </c>
    </row>
    <row r="22" spans="1:81" ht="21.95" customHeight="1" x14ac:dyDescent="0.3">
      <c r="A22" s="81">
        <v>15</v>
      </c>
      <c r="B22" s="84" t="s">
        <v>341</v>
      </c>
      <c r="C22" s="8" t="s">
        <v>342</v>
      </c>
      <c r="D22" s="85">
        <v>888.89</v>
      </c>
      <c r="E22" s="85"/>
      <c r="F22" s="83">
        <f t="shared" si="4"/>
        <v>888.89</v>
      </c>
      <c r="G22" s="83">
        <f t="shared" si="5"/>
        <v>10666.68</v>
      </c>
      <c r="H22" s="83">
        <f t="shared" si="0"/>
        <v>7111.12</v>
      </c>
      <c r="I22" s="83">
        <f t="shared" si="6"/>
        <v>3555.56</v>
      </c>
      <c r="J22" s="83">
        <f t="shared" si="1"/>
        <v>888.89</v>
      </c>
      <c r="K22" s="83">
        <f t="shared" si="7"/>
        <v>66.666749999999993</v>
      </c>
      <c r="L22" s="83">
        <f t="shared" si="12"/>
        <v>68.888975000000002</v>
      </c>
      <c r="M22" s="85"/>
      <c r="N22" s="83">
        <f t="shared" si="10"/>
        <v>8.8888999999999996</v>
      </c>
      <c r="O22" s="83">
        <f t="shared" si="8"/>
        <v>144.444625</v>
      </c>
      <c r="P22" s="83">
        <f t="shared" si="9"/>
        <v>1733.3355000000001</v>
      </c>
      <c r="Q22" s="83">
        <f t="shared" si="11"/>
        <v>12400.015500000001</v>
      </c>
      <c r="R22" s="96" t="s">
        <v>343</v>
      </c>
    </row>
    <row r="23" spans="1:81" ht="36" customHeight="1" x14ac:dyDescent="0.3">
      <c r="A23" s="81">
        <v>16</v>
      </c>
      <c r="B23" s="109" t="s">
        <v>469</v>
      </c>
      <c r="C23" s="8" t="s">
        <v>345</v>
      </c>
      <c r="D23" s="85">
        <v>350</v>
      </c>
      <c r="E23" s="85">
        <v>25</v>
      </c>
      <c r="F23" s="83">
        <f t="shared" si="4"/>
        <v>375</v>
      </c>
      <c r="G23" s="83">
        <f t="shared" si="5"/>
        <v>4500</v>
      </c>
      <c r="H23" s="83">
        <f t="shared" si="0"/>
        <v>3000</v>
      </c>
      <c r="I23" s="83">
        <f t="shared" si="6"/>
        <v>1500</v>
      </c>
      <c r="J23" s="83">
        <f t="shared" si="1"/>
        <v>375</v>
      </c>
      <c r="K23" s="83">
        <f t="shared" si="7"/>
        <v>28.125</v>
      </c>
      <c r="L23" s="83">
        <f t="shared" si="12"/>
        <v>29.0625</v>
      </c>
      <c r="M23" s="85"/>
      <c r="N23" s="83">
        <f t="shared" si="10"/>
        <v>3.75</v>
      </c>
      <c r="O23" s="83">
        <f t="shared" si="8"/>
        <v>60.9375</v>
      </c>
      <c r="P23" s="83">
        <f t="shared" si="9"/>
        <v>731.25</v>
      </c>
      <c r="Q23" s="83">
        <f t="shared" si="11"/>
        <v>5231.25</v>
      </c>
      <c r="R23" s="86" t="s">
        <v>318</v>
      </c>
    </row>
    <row r="24" spans="1:81" s="95" customFormat="1" ht="32.25" customHeight="1" x14ac:dyDescent="0.3">
      <c r="A24" s="91"/>
      <c r="B24" s="97" t="s">
        <v>346</v>
      </c>
      <c r="C24" s="356"/>
      <c r="D24" s="98">
        <f>SUM(D8:D23)</f>
        <v>10023.89</v>
      </c>
      <c r="E24" s="98">
        <f t="shared" ref="E24:F24" si="13">SUM(E8:E23)</f>
        <v>125</v>
      </c>
      <c r="F24" s="98">
        <f t="shared" si="13"/>
        <v>10148.89</v>
      </c>
      <c r="G24" s="98">
        <f>SUM(G8:G23)</f>
        <v>121786.68</v>
      </c>
      <c r="H24" s="387">
        <f t="shared" si="0"/>
        <v>81191.12</v>
      </c>
      <c r="I24" s="387">
        <f t="shared" si="6"/>
        <v>40595.56</v>
      </c>
      <c r="J24" s="83">
        <f t="shared" si="1"/>
        <v>10148.89</v>
      </c>
      <c r="K24" s="98">
        <f t="shared" ref="K24:Q24" si="14">SUM(K8:K23)</f>
        <v>761.16674999999998</v>
      </c>
      <c r="L24" s="98">
        <f t="shared" si="14"/>
        <v>740.03897499999994</v>
      </c>
      <c r="M24" s="98">
        <f t="shared" si="14"/>
        <v>42.000000000000007</v>
      </c>
      <c r="N24" s="98">
        <f t="shared" si="14"/>
        <v>101.4889</v>
      </c>
      <c r="O24" s="98">
        <f t="shared" si="14"/>
        <v>1644.6946250000001</v>
      </c>
      <c r="P24" s="98">
        <f t="shared" si="14"/>
        <v>19736.335500000001</v>
      </c>
      <c r="Q24" s="98">
        <f t="shared" si="14"/>
        <v>135943.01550000001</v>
      </c>
      <c r="R24" s="94"/>
    </row>
    <row r="25" spans="1:81" ht="21.95" customHeight="1" x14ac:dyDescent="0.3">
      <c r="A25" s="81">
        <v>1</v>
      </c>
      <c r="B25" s="84" t="s">
        <v>347</v>
      </c>
      <c r="C25" s="8" t="s">
        <v>348</v>
      </c>
      <c r="D25" s="85">
        <v>650</v>
      </c>
      <c r="E25" s="85"/>
      <c r="F25" s="83">
        <f>D25+E25</f>
        <v>650</v>
      </c>
      <c r="G25" s="83">
        <f>F25*12</f>
        <v>7800</v>
      </c>
      <c r="H25" s="83">
        <f t="shared" si="0"/>
        <v>5200</v>
      </c>
      <c r="I25" s="83">
        <f t="shared" si="6"/>
        <v>2600</v>
      </c>
      <c r="J25" s="83">
        <f t="shared" si="1"/>
        <v>650</v>
      </c>
      <c r="K25" s="83">
        <f>F25*0.075</f>
        <v>48.75</v>
      </c>
      <c r="L25" s="83">
        <f>F25*0.0775</f>
        <v>50.375</v>
      </c>
      <c r="M25" s="85"/>
      <c r="N25" s="83">
        <f>F25*0.01</f>
        <v>6.5</v>
      </c>
      <c r="O25" s="83">
        <f>K25+L25+M25+N25</f>
        <v>105.625</v>
      </c>
      <c r="P25" s="83">
        <f>O25*12</f>
        <v>1267.5</v>
      </c>
      <c r="Q25" s="83">
        <f>G25+P25</f>
        <v>9067.5</v>
      </c>
      <c r="R25" s="86" t="s">
        <v>318</v>
      </c>
    </row>
    <row r="26" spans="1:81" ht="26.25" customHeight="1" x14ac:dyDescent="0.3">
      <c r="A26" s="81">
        <v>2</v>
      </c>
      <c r="B26" s="84" t="s">
        <v>349</v>
      </c>
      <c r="C26" s="8" t="s">
        <v>350</v>
      </c>
      <c r="D26" s="85">
        <v>600</v>
      </c>
      <c r="E26" s="85"/>
      <c r="F26" s="83">
        <f>D26+E26</f>
        <v>600</v>
      </c>
      <c r="G26" s="83">
        <f>F26*12</f>
        <v>7200</v>
      </c>
      <c r="H26" s="83">
        <f t="shared" si="0"/>
        <v>4800</v>
      </c>
      <c r="I26" s="83">
        <f t="shared" si="6"/>
        <v>2400</v>
      </c>
      <c r="J26" s="83">
        <f t="shared" si="1"/>
        <v>600</v>
      </c>
      <c r="K26" s="83">
        <f>F26*0.075</f>
        <v>45</v>
      </c>
      <c r="L26" s="83">
        <f>F26*0.0775</f>
        <v>46.5</v>
      </c>
      <c r="M26" s="85"/>
      <c r="N26" s="83">
        <f t="shared" ref="N26:N28" si="15">F26*0.01</f>
        <v>6</v>
      </c>
      <c r="O26" s="83">
        <f>K26+L26+M26+N26</f>
        <v>97.5</v>
      </c>
      <c r="P26" s="83">
        <f>O26*12</f>
        <v>1170</v>
      </c>
      <c r="Q26" s="83">
        <f>G26+P26</f>
        <v>8370</v>
      </c>
      <c r="R26" s="86" t="s">
        <v>318</v>
      </c>
    </row>
    <row r="27" spans="1:81" ht="21.95" customHeight="1" x14ac:dyDescent="0.3">
      <c r="A27" s="81">
        <v>3</v>
      </c>
      <c r="B27" s="84" t="s">
        <v>351</v>
      </c>
      <c r="C27" s="8" t="s">
        <v>350</v>
      </c>
      <c r="D27" s="85">
        <v>400</v>
      </c>
      <c r="E27" s="85">
        <v>50</v>
      </c>
      <c r="F27" s="83">
        <f>D27+E27</f>
        <v>450</v>
      </c>
      <c r="G27" s="83">
        <f>F27*12</f>
        <v>5400</v>
      </c>
      <c r="H27" s="83">
        <f t="shared" si="0"/>
        <v>3600</v>
      </c>
      <c r="I27" s="83">
        <f t="shared" si="6"/>
        <v>1800</v>
      </c>
      <c r="J27" s="83">
        <f t="shared" si="1"/>
        <v>450</v>
      </c>
      <c r="K27" s="83">
        <f>F27*0.075</f>
        <v>33.75</v>
      </c>
      <c r="L27" s="83">
        <f>F27*0.0775</f>
        <v>34.875</v>
      </c>
      <c r="M27" s="85"/>
      <c r="N27" s="83">
        <f t="shared" si="15"/>
        <v>4.5</v>
      </c>
      <c r="O27" s="83">
        <f>K27+L27+M27+N27</f>
        <v>73.125</v>
      </c>
      <c r="P27" s="83">
        <f>O27*12</f>
        <v>877.5</v>
      </c>
      <c r="Q27" s="83">
        <f>G27+P27</f>
        <v>6277.5</v>
      </c>
      <c r="R27" s="86" t="s">
        <v>318</v>
      </c>
    </row>
    <row r="28" spans="1:81" ht="30" customHeight="1" x14ac:dyDescent="0.3">
      <c r="A28" s="81">
        <v>4</v>
      </c>
      <c r="B28" s="84" t="s">
        <v>353</v>
      </c>
      <c r="C28" s="8" t="s">
        <v>350</v>
      </c>
      <c r="D28" s="85">
        <v>350</v>
      </c>
      <c r="E28" s="85"/>
      <c r="F28" s="83">
        <f>D28+E28</f>
        <v>350</v>
      </c>
      <c r="G28" s="146">
        <f>F28*12</f>
        <v>4200</v>
      </c>
      <c r="H28" s="83">
        <f t="shared" si="0"/>
        <v>2800</v>
      </c>
      <c r="I28" s="83">
        <f t="shared" si="6"/>
        <v>1400</v>
      </c>
      <c r="J28" s="83">
        <f t="shared" si="1"/>
        <v>350</v>
      </c>
      <c r="K28" s="146">
        <f>F28*0.075</f>
        <v>26.25</v>
      </c>
      <c r="L28" s="146">
        <f>F28*0.0775</f>
        <v>27.125</v>
      </c>
      <c r="M28" s="333"/>
      <c r="N28" s="83">
        <f t="shared" si="15"/>
        <v>3.5</v>
      </c>
      <c r="O28" s="146">
        <f>K28+L28+M28+N28</f>
        <v>56.875</v>
      </c>
      <c r="P28" s="146">
        <f>O28*12</f>
        <v>682.5</v>
      </c>
      <c r="Q28" s="146">
        <f>G28+P28</f>
        <v>4882.5</v>
      </c>
      <c r="R28" s="334" t="s">
        <v>318</v>
      </c>
    </row>
    <row r="29" spans="1:81" ht="21.95" customHeight="1" x14ac:dyDescent="0.3">
      <c r="A29" s="81"/>
      <c r="B29" s="99" t="s">
        <v>354</v>
      </c>
      <c r="C29" s="8"/>
      <c r="D29" s="89">
        <f>SUM(D25:D28)</f>
        <v>2000</v>
      </c>
      <c r="E29" s="89">
        <f t="shared" ref="E29:F29" si="16">SUM(E25:E28)</f>
        <v>50</v>
      </c>
      <c r="F29" s="89">
        <f t="shared" si="16"/>
        <v>2050</v>
      </c>
      <c r="G29" s="335">
        <f>SUM(G25:G28)</f>
        <v>24600</v>
      </c>
      <c r="H29" s="387">
        <f t="shared" si="0"/>
        <v>16400</v>
      </c>
      <c r="I29" s="387">
        <f t="shared" si="6"/>
        <v>8200</v>
      </c>
      <c r="J29" s="83">
        <f t="shared" si="1"/>
        <v>2050</v>
      </c>
      <c r="K29" s="335">
        <f t="shared" ref="K29:Q29" si="17">SUM(K25:K28)</f>
        <v>153.75</v>
      </c>
      <c r="L29" s="335">
        <f t="shared" si="17"/>
        <v>158.875</v>
      </c>
      <c r="M29" s="335">
        <f t="shared" si="17"/>
        <v>0</v>
      </c>
      <c r="N29" s="335">
        <f t="shared" si="17"/>
        <v>20.5</v>
      </c>
      <c r="O29" s="335">
        <f t="shared" si="17"/>
        <v>333.125</v>
      </c>
      <c r="P29" s="335">
        <f t="shared" si="17"/>
        <v>3997.5</v>
      </c>
      <c r="Q29" s="335">
        <f t="shared" si="17"/>
        <v>28597.5</v>
      </c>
      <c r="R29" s="336"/>
    </row>
    <row r="30" spans="1:81" s="105" customFormat="1" ht="32.25" customHeight="1" x14ac:dyDescent="0.3">
      <c r="A30" s="100">
        <v>1</v>
      </c>
      <c r="B30" s="101" t="s">
        <v>355</v>
      </c>
      <c r="C30" s="357" t="s">
        <v>356</v>
      </c>
      <c r="D30" s="102">
        <v>450</v>
      </c>
      <c r="E30" s="102">
        <v>0</v>
      </c>
      <c r="F30" s="103">
        <f t="shared" ref="F30:F50" si="18">D30+E30</f>
        <v>450</v>
      </c>
      <c r="G30" s="103">
        <f t="shared" ref="G30:G50" si="19">F30*12</f>
        <v>5400</v>
      </c>
      <c r="H30" s="83">
        <f t="shared" si="0"/>
        <v>3600</v>
      </c>
      <c r="I30" s="83">
        <f t="shared" si="6"/>
        <v>1800</v>
      </c>
      <c r="J30" s="83">
        <f t="shared" si="1"/>
        <v>450</v>
      </c>
      <c r="K30" s="103">
        <f t="shared" ref="K30:K50" si="20">F30*0.075</f>
        <v>33.75</v>
      </c>
      <c r="L30" s="83">
        <f>F30*0.0775</f>
        <v>34.875</v>
      </c>
      <c r="M30" s="102"/>
      <c r="N30" s="103">
        <f>F30*0.01</f>
        <v>4.5</v>
      </c>
      <c r="O30" s="103">
        <f t="shared" ref="O30:O50" si="21">K30+L30+M30+N30</f>
        <v>73.125</v>
      </c>
      <c r="P30" s="103">
        <f t="shared" ref="P30:P50" si="22">O30*12</f>
        <v>877.5</v>
      </c>
      <c r="Q30" s="103">
        <f t="shared" ref="Q30:Q50" si="23">G30+P30</f>
        <v>6277.5</v>
      </c>
      <c r="R30" s="104" t="s">
        <v>318</v>
      </c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  <c r="AS30" s="164"/>
      <c r="AT30" s="164"/>
      <c r="AU30" s="164"/>
      <c r="AV30" s="164"/>
      <c r="AW30" s="164"/>
      <c r="AX30" s="164"/>
      <c r="AY30" s="164"/>
      <c r="AZ30" s="164"/>
      <c r="BA30" s="164"/>
      <c r="BB30" s="164"/>
      <c r="BC30" s="164"/>
      <c r="BD30" s="164"/>
      <c r="BE30" s="164"/>
      <c r="BF30" s="164"/>
      <c r="BG30" s="164"/>
      <c r="BH30" s="164"/>
      <c r="BI30" s="164"/>
      <c r="BJ30" s="164"/>
      <c r="BK30" s="164"/>
      <c r="BL30" s="164"/>
      <c r="BM30" s="164"/>
      <c r="BN30" s="164"/>
      <c r="BO30" s="164"/>
      <c r="BP30" s="164"/>
      <c r="BQ30" s="164"/>
      <c r="BR30" s="164"/>
      <c r="BS30" s="164"/>
      <c r="BT30" s="164"/>
      <c r="BU30" s="164"/>
      <c r="BV30" s="164"/>
      <c r="BW30" s="164"/>
      <c r="BX30" s="164"/>
      <c r="BY30" s="164"/>
      <c r="BZ30" s="164"/>
      <c r="CA30" s="164"/>
      <c r="CB30" s="164"/>
      <c r="CC30" s="164"/>
    </row>
    <row r="31" spans="1:81" s="105" customFormat="1" ht="33.75" customHeight="1" x14ac:dyDescent="0.3">
      <c r="A31" s="100">
        <v>2</v>
      </c>
      <c r="B31" s="101" t="s">
        <v>357</v>
      </c>
      <c r="C31" s="358" t="s">
        <v>358</v>
      </c>
      <c r="D31" s="102">
        <v>380</v>
      </c>
      <c r="E31" s="102">
        <v>45</v>
      </c>
      <c r="F31" s="103">
        <f t="shared" si="18"/>
        <v>425</v>
      </c>
      <c r="G31" s="103">
        <f t="shared" si="19"/>
        <v>5100</v>
      </c>
      <c r="H31" s="83">
        <f t="shared" si="0"/>
        <v>3400</v>
      </c>
      <c r="I31" s="83">
        <f t="shared" si="6"/>
        <v>1700</v>
      </c>
      <c r="J31" s="83">
        <f t="shared" si="1"/>
        <v>425</v>
      </c>
      <c r="K31" s="103">
        <f t="shared" si="20"/>
        <v>31.875</v>
      </c>
      <c r="L31" s="83">
        <f>F31*0.0775</f>
        <v>32.9375</v>
      </c>
      <c r="M31" s="102"/>
      <c r="N31" s="103">
        <f t="shared" ref="N31:N50" si="24">F31*0.01</f>
        <v>4.25</v>
      </c>
      <c r="O31" s="103">
        <f t="shared" si="21"/>
        <v>69.0625</v>
      </c>
      <c r="P31" s="103">
        <f t="shared" si="22"/>
        <v>828.75</v>
      </c>
      <c r="Q31" s="103">
        <f t="shared" si="23"/>
        <v>5928.75</v>
      </c>
      <c r="R31" s="104" t="s">
        <v>318</v>
      </c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164"/>
      <c r="AN31" s="164"/>
      <c r="AO31" s="164"/>
      <c r="AP31" s="164"/>
      <c r="AQ31" s="164"/>
      <c r="AR31" s="164"/>
      <c r="AS31" s="164"/>
      <c r="AT31" s="164"/>
      <c r="AU31" s="164"/>
      <c r="AV31" s="164"/>
      <c r="AW31" s="164"/>
      <c r="AX31" s="164"/>
      <c r="AY31" s="164"/>
      <c r="AZ31" s="164"/>
      <c r="BA31" s="164"/>
      <c r="BB31" s="164"/>
      <c r="BC31" s="164"/>
      <c r="BD31" s="164"/>
      <c r="BE31" s="164"/>
      <c r="BF31" s="164"/>
      <c r="BG31" s="164"/>
      <c r="BH31" s="164"/>
      <c r="BI31" s="164"/>
      <c r="BJ31" s="164"/>
      <c r="BK31" s="164"/>
      <c r="BL31" s="164"/>
      <c r="BM31" s="164"/>
      <c r="BN31" s="164"/>
      <c r="BO31" s="164"/>
      <c r="BP31" s="164"/>
      <c r="BQ31" s="164"/>
      <c r="BR31" s="164"/>
      <c r="BS31" s="164"/>
      <c r="BT31" s="164"/>
      <c r="BU31" s="164"/>
      <c r="BV31" s="164"/>
      <c r="BW31" s="164"/>
      <c r="BX31" s="164"/>
      <c r="BY31" s="164"/>
      <c r="BZ31" s="164"/>
      <c r="CA31" s="164"/>
      <c r="CB31" s="164"/>
      <c r="CC31" s="164"/>
    </row>
    <row r="32" spans="1:81" s="105" customFormat="1" ht="30" customHeight="1" x14ac:dyDescent="0.3">
      <c r="A32" s="100">
        <v>3</v>
      </c>
      <c r="B32" s="101" t="s">
        <v>359</v>
      </c>
      <c r="C32" s="358" t="s">
        <v>470</v>
      </c>
      <c r="D32" s="102">
        <v>425</v>
      </c>
      <c r="E32" s="102">
        <v>25</v>
      </c>
      <c r="F32" s="103">
        <f t="shared" si="18"/>
        <v>450</v>
      </c>
      <c r="G32" s="103">
        <f t="shared" si="19"/>
        <v>5400</v>
      </c>
      <c r="H32" s="83">
        <f t="shared" si="0"/>
        <v>3600</v>
      </c>
      <c r="I32" s="83">
        <f t="shared" si="6"/>
        <v>1800</v>
      </c>
      <c r="J32" s="83">
        <f t="shared" si="1"/>
        <v>450</v>
      </c>
      <c r="K32" s="103">
        <f t="shared" si="20"/>
        <v>33.75</v>
      </c>
      <c r="L32" s="83">
        <f>F32*0.0775</f>
        <v>34.875</v>
      </c>
      <c r="M32" s="102"/>
      <c r="N32" s="103">
        <f t="shared" si="24"/>
        <v>4.5</v>
      </c>
      <c r="O32" s="103">
        <f t="shared" si="21"/>
        <v>73.125</v>
      </c>
      <c r="P32" s="103">
        <f t="shared" si="22"/>
        <v>877.5</v>
      </c>
      <c r="Q32" s="103">
        <f t="shared" si="23"/>
        <v>6277.5</v>
      </c>
      <c r="R32" s="104" t="s">
        <v>318</v>
      </c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4"/>
      <c r="BC32" s="164"/>
      <c r="BD32" s="164"/>
      <c r="BE32" s="164"/>
      <c r="BF32" s="164"/>
      <c r="BG32" s="164"/>
      <c r="BH32" s="164"/>
      <c r="BI32" s="164"/>
      <c r="BJ32" s="164"/>
      <c r="BK32" s="164"/>
      <c r="BL32" s="164"/>
      <c r="BM32" s="164"/>
      <c r="BN32" s="164"/>
      <c r="BO32" s="164"/>
      <c r="BP32" s="164"/>
      <c r="BQ32" s="164"/>
      <c r="BR32" s="164"/>
      <c r="BS32" s="164"/>
      <c r="BT32" s="164"/>
      <c r="BU32" s="164"/>
      <c r="BV32" s="164"/>
      <c r="BW32" s="164"/>
      <c r="BX32" s="164"/>
      <c r="BY32" s="164"/>
      <c r="BZ32" s="164"/>
      <c r="CA32" s="164"/>
      <c r="CB32" s="164"/>
      <c r="CC32" s="164"/>
    </row>
    <row r="33" spans="1:81" s="105" customFormat="1" ht="16.5" customHeight="1" x14ac:dyDescent="0.3">
      <c r="A33" s="100">
        <v>4</v>
      </c>
      <c r="B33" s="101" t="s">
        <v>360</v>
      </c>
      <c r="C33" s="357" t="s">
        <v>361</v>
      </c>
      <c r="D33" s="102">
        <v>600</v>
      </c>
      <c r="E33" s="102"/>
      <c r="F33" s="103">
        <f t="shared" si="18"/>
        <v>600</v>
      </c>
      <c r="G33" s="103">
        <f t="shared" si="19"/>
        <v>7200</v>
      </c>
      <c r="H33" s="83">
        <f t="shared" si="0"/>
        <v>4800</v>
      </c>
      <c r="I33" s="83">
        <f t="shared" si="6"/>
        <v>2400</v>
      </c>
      <c r="J33" s="83">
        <f t="shared" si="1"/>
        <v>600</v>
      </c>
      <c r="K33" s="103">
        <f t="shared" si="20"/>
        <v>45</v>
      </c>
      <c r="L33" s="103"/>
      <c r="M33" s="102">
        <f>F33*0.07</f>
        <v>42.000000000000007</v>
      </c>
      <c r="N33" s="103">
        <f t="shared" si="24"/>
        <v>6</v>
      </c>
      <c r="O33" s="103">
        <f t="shared" si="21"/>
        <v>93</v>
      </c>
      <c r="P33" s="103">
        <f t="shared" si="22"/>
        <v>1116</v>
      </c>
      <c r="Q33" s="103">
        <f t="shared" si="23"/>
        <v>8316</v>
      </c>
      <c r="R33" s="104" t="s">
        <v>318</v>
      </c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  <c r="AK33" s="164"/>
      <c r="AL33" s="164"/>
      <c r="AM33" s="164"/>
      <c r="AN33" s="164"/>
      <c r="AO33" s="164"/>
      <c r="AP33" s="164"/>
      <c r="AQ33" s="164"/>
      <c r="AR33" s="164"/>
      <c r="AS33" s="164"/>
      <c r="AT33" s="164"/>
      <c r="AU33" s="164"/>
      <c r="AV33" s="164"/>
      <c r="AW33" s="164"/>
      <c r="AX33" s="164"/>
      <c r="AY33" s="164"/>
      <c r="AZ33" s="164"/>
      <c r="BA33" s="164"/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4"/>
      <c r="BM33" s="164"/>
      <c r="BN33" s="164"/>
      <c r="BO33" s="164"/>
      <c r="BP33" s="164"/>
      <c r="BQ33" s="164"/>
      <c r="BR33" s="164"/>
      <c r="BS33" s="164"/>
      <c r="BT33" s="164"/>
      <c r="BU33" s="164"/>
      <c r="BV33" s="164"/>
      <c r="BW33" s="164"/>
      <c r="BX33" s="164"/>
      <c r="BY33" s="164"/>
      <c r="BZ33" s="164"/>
      <c r="CA33" s="164"/>
      <c r="CB33" s="164"/>
      <c r="CC33" s="164"/>
    </row>
    <row r="34" spans="1:81" s="105" customFormat="1" ht="21.95" customHeight="1" x14ac:dyDescent="0.3">
      <c r="A34" s="100">
        <v>5</v>
      </c>
      <c r="B34" s="101" t="s">
        <v>362</v>
      </c>
      <c r="C34" s="357" t="s">
        <v>363</v>
      </c>
      <c r="D34" s="102">
        <v>300</v>
      </c>
      <c r="E34" s="102"/>
      <c r="F34" s="103">
        <f t="shared" si="18"/>
        <v>300</v>
      </c>
      <c r="G34" s="103">
        <f t="shared" si="19"/>
        <v>3600</v>
      </c>
      <c r="H34" s="83">
        <f t="shared" si="0"/>
        <v>2400</v>
      </c>
      <c r="I34" s="83">
        <f t="shared" si="6"/>
        <v>1200</v>
      </c>
      <c r="J34" s="83">
        <f t="shared" si="1"/>
        <v>300</v>
      </c>
      <c r="K34" s="103">
        <f t="shared" si="20"/>
        <v>22.5</v>
      </c>
      <c r="L34" s="83">
        <f t="shared" ref="L34:L50" si="25">F34*0.0775</f>
        <v>23.25</v>
      </c>
      <c r="M34" s="102"/>
      <c r="N34" s="103">
        <f t="shared" si="24"/>
        <v>3</v>
      </c>
      <c r="O34" s="103">
        <f t="shared" si="21"/>
        <v>48.75</v>
      </c>
      <c r="P34" s="103">
        <f t="shared" si="22"/>
        <v>585</v>
      </c>
      <c r="Q34" s="103">
        <f t="shared" si="23"/>
        <v>4185</v>
      </c>
      <c r="R34" s="10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4"/>
      <c r="BN34" s="164"/>
      <c r="BO34" s="164"/>
      <c r="BP34" s="164"/>
      <c r="BQ34" s="164"/>
      <c r="BR34" s="164"/>
      <c r="BS34" s="164"/>
      <c r="BT34" s="164"/>
      <c r="BU34" s="164"/>
      <c r="BV34" s="164"/>
      <c r="BW34" s="164"/>
      <c r="BX34" s="164"/>
      <c r="BY34" s="164"/>
      <c r="BZ34" s="164"/>
      <c r="CA34" s="164"/>
      <c r="CB34" s="164"/>
      <c r="CC34" s="164"/>
    </row>
    <row r="35" spans="1:81" s="105" customFormat="1" ht="21.95" customHeight="1" x14ac:dyDescent="0.3">
      <c r="A35" s="100">
        <v>6</v>
      </c>
      <c r="B35" s="101" t="s">
        <v>364</v>
      </c>
      <c r="C35" s="358" t="s">
        <v>363</v>
      </c>
      <c r="D35" s="102">
        <v>530</v>
      </c>
      <c r="E35" s="102">
        <v>0</v>
      </c>
      <c r="F35" s="103">
        <f t="shared" si="18"/>
        <v>530</v>
      </c>
      <c r="G35" s="103">
        <f t="shared" si="19"/>
        <v>6360</v>
      </c>
      <c r="H35" s="83">
        <f t="shared" si="0"/>
        <v>4240</v>
      </c>
      <c r="I35" s="83">
        <f t="shared" si="6"/>
        <v>2120</v>
      </c>
      <c r="J35" s="83">
        <f t="shared" si="1"/>
        <v>530</v>
      </c>
      <c r="K35" s="103">
        <f t="shared" si="20"/>
        <v>39.75</v>
      </c>
      <c r="L35" s="83">
        <f t="shared" si="25"/>
        <v>41.075000000000003</v>
      </c>
      <c r="M35" s="102"/>
      <c r="N35" s="103">
        <f t="shared" si="24"/>
        <v>5.3</v>
      </c>
      <c r="O35" s="103">
        <f t="shared" si="21"/>
        <v>86.125</v>
      </c>
      <c r="P35" s="103">
        <f t="shared" si="22"/>
        <v>1033.5</v>
      </c>
      <c r="Q35" s="103">
        <f t="shared" si="23"/>
        <v>7393.5</v>
      </c>
      <c r="R35" s="104" t="s">
        <v>318</v>
      </c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4"/>
      <c r="BN35" s="164"/>
      <c r="BO35" s="164"/>
      <c r="BP35" s="164"/>
      <c r="BQ35" s="164"/>
      <c r="BR35" s="164"/>
      <c r="BS35" s="164"/>
      <c r="BT35" s="164"/>
      <c r="BU35" s="164"/>
      <c r="BV35" s="164"/>
      <c r="BW35" s="164"/>
      <c r="BX35" s="164"/>
      <c r="BY35" s="164"/>
      <c r="BZ35" s="164"/>
      <c r="CA35" s="164"/>
      <c r="CB35" s="164"/>
      <c r="CC35" s="164"/>
    </row>
    <row r="36" spans="1:81" s="105" customFormat="1" ht="33" customHeight="1" x14ac:dyDescent="0.3">
      <c r="A36" s="100">
        <v>7</v>
      </c>
      <c r="B36" s="101" t="s">
        <v>472</v>
      </c>
      <c r="C36" s="358" t="s">
        <v>471</v>
      </c>
      <c r="D36" s="102">
        <v>500</v>
      </c>
      <c r="E36" s="102">
        <v>50</v>
      </c>
      <c r="F36" s="103">
        <f t="shared" si="18"/>
        <v>550</v>
      </c>
      <c r="G36" s="103">
        <f t="shared" si="19"/>
        <v>6600</v>
      </c>
      <c r="H36" s="83">
        <f t="shared" si="0"/>
        <v>4400</v>
      </c>
      <c r="I36" s="83">
        <f t="shared" si="6"/>
        <v>2200</v>
      </c>
      <c r="J36" s="83">
        <f t="shared" si="1"/>
        <v>550</v>
      </c>
      <c r="K36" s="103">
        <f t="shared" si="20"/>
        <v>41.25</v>
      </c>
      <c r="L36" s="83">
        <f t="shared" si="25"/>
        <v>42.625</v>
      </c>
      <c r="M36" s="102"/>
      <c r="N36" s="103">
        <f t="shared" si="24"/>
        <v>5.5</v>
      </c>
      <c r="O36" s="103">
        <f t="shared" si="21"/>
        <v>89.375</v>
      </c>
      <c r="P36" s="103">
        <f t="shared" si="22"/>
        <v>1072.5</v>
      </c>
      <c r="Q36" s="103">
        <f t="shared" si="23"/>
        <v>7672.5</v>
      </c>
      <c r="R36" s="10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  <c r="AP36" s="164"/>
      <c r="AQ36" s="164"/>
      <c r="AR36" s="164"/>
      <c r="AS36" s="164"/>
      <c r="AT36" s="164"/>
      <c r="AU36" s="164"/>
      <c r="AV36" s="164"/>
      <c r="AW36" s="164"/>
      <c r="AX36" s="164"/>
      <c r="AY36" s="164"/>
      <c r="AZ36" s="164"/>
      <c r="BA36" s="164"/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4"/>
      <c r="BM36" s="164"/>
      <c r="BN36" s="164"/>
      <c r="BO36" s="164"/>
      <c r="BP36" s="164"/>
      <c r="BQ36" s="164"/>
      <c r="BR36" s="164"/>
      <c r="BS36" s="164"/>
      <c r="BT36" s="164"/>
      <c r="BU36" s="164"/>
      <c r="BV36" s="164"/>
      <c r="BW36" s="164"/>
      <c r="BX36" s="164"/>
      <c r="BY36" s="164"/>
      <c r="BZ36" s="164"/>
      <c r="CA36" s="164"/>
      <c r="CB36" s="164"/>
      <c r="CC36" s="164"/>
    </row>
    <row r="37" spans="1:81" s="105" customFormat="1" ht="21.95" customHeight="1" x14ac:dyDescent="0.3">
      <c r="A37" s="100">
        <v>8</v>
      </c>
      <c r="B37" s="322" t="s">
        <v>430</v>
      </c>
      <c r="C37" s="357" t="s">
        <v>580</v>
      </c>
      <c r="D37" s="102">
        <v>350</v>
      </c>
      <c r="E37" s="102"/>
      <c r="F37" s="103">
        <f t="shared" si="18"/>
        <v>350</v>
      </c>
      <c r="G37" s="103">
        <f t="shared" si="19"/>
        <v>4200</v>
      </c>
      <c r="H37" s="83">
        <f t="shared" si="0"/>
        <v>2800</v>
      </c>
      <c r="I37" s="83">
        <f t="shared" si="6"/>
        <v>1400</v>
      </c>
      <c r="J37" s="83">
        <f t="shared" si="1"/>
        <v>350</v>
      </c>
      <c r="K37" s="103">
        <f t="shared" si="20"/>
        <v>26.25</v>
      </c>
      <c r="L37" s="83">
        <f t="shared" si="25"/>
        <v>27.125</v>
      </c>
      <c r="M37" s="102"/>
      <c r="N37" s="103">
        <f t="shared" si="24"/>
        <v>3.5</v>
      </c>
      <c r="O37" s="103">
        <f t="shared" si="21"/>
        <v>56.875</v>
      </c>
      <c r="P37" s="103">
        <f t="shared" si="22"/>
        <v>682.5</v>
      </c>
      <c r="Q37" s="103">
        <f t="shared" si="23"/>
        <v>4882.5</v>
      </c>
      <c r="R37" s="10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  <c r="AK37" s="164"/>
      <c r="AL37" s="164"/>
      <c r="AM37" s="164"/>
      <c r="AN37" s="164"/>
      <c r="AO37" s="164"/>
      <c r="AP37" s="164"/>
      <c r="AQ37" s="164"/>
      <c r="AR37" s="164"/>
      <c r="AS37" s="164"/>
      <c r="AT37" s="164"/>
      <c r="AU37" s="164"/>
      <c r="AV37" s="164"/>
      <c r="AW37" s="164"/>
      <c r="AX37" s="164"/>
      <c r="AY37" s="164"/>
      <c r="AZ37" s="164"/>
      <c r="BA37" s="164"/>
      <c r="BB37" s="164"/>
      <c r="BC37" s="164"/>
      <c r="BD37" s="164"/>
      <c r="BE37" s="164"/>
      <c r="BF37" s="164"/>
      <c r="BG37" s="164"/>
      <c r="BH37" s="164"/>
      <c r="BI37" s="164"/>
      <c r="BJ37" s="164"/>
      <c r="BK37" s="164"/>
      <c r="BL37" s="164"/>
      <c r="BM37" s="164"/>
      <c r="BN37" s="164"/>
      <c r="BO37" s="164"/>
      <c r="BP37" s="164"/>
      <c r="BQ37" s="164"/>
      <c r="BR37" s="164"/>
      <c r="BS37" s="164"/>
      <c r="BT37" s="164"/>
      <c r="BU37" s="164"/>
      <c r="BV37" s="164"/>
      <c r="BW37" s="164"/>
      <c r="BX37" s="164"/>
      <c r="BY37" s="164"/>
      <c r="BZ37" s="164"/>
      <c r="CA37" s="164"/>
      <c r="CB37" s="164"/>
      <c r="CC37" s="164"/>
    </row>
    <row r="38" spans="1:81" s="105" customFormat="1" ht="18" customHeight="1" x14ac:dyDescent="0.3">
      <c r="A38" s="100">
        <v>9</v>
      </c>
      <c r="B38" s="108" t="s">
        <v>365</v>
      </c>
      <c r="C38" s="8" t="s">
        <v>366</v>
      </c>
      <c r="D38" s="107">
        <v>450</v>
      </c>
      <c r="E38" s="102"/>
      <c r="F38" s="103">
        <f t="shared" si="18"/>
        <v>450</v>
      </c>
      <c r="G38" s="103">
        <f t="shared" si="19"/>
        <v>5400</v>
      </c>
      <c r="H38" s="83">
        <f t="shared" si="0"/>
        <v>3600</v>
      </c>
      <c r="I38" s="83">
        <f t="shared" si="6"/>
        <v>1800</v>
      </c>
      <c r="J38" s="83">
        <f t="shared" si="1"/>
        <v>450</v>
      </c>
      <c r="K38" s="103">
        <f t="shared" si="20"/>
        <v>33.75</v>
      </c>
      <c r="L38" s="83">
        <f t="shared" si="25"/>
        <v>34.875</v>
      </c>
      <c r="M38" s="102"/>
      <c r="N38" s="103">
        <f t="shared" si="24"/>
        <v>4.5</v>
      </c>
      <c r="O38" s="103">
        <f t="shared" si="21"/>
        <v>73.125</v>
      </c>
      <c r="P38" s="103">
        <f t="shared" si="22"/>
        <v>877.5</v>
      </c>
      <c r="Q38" s="103">
        <f t="shared" si="23"/>
        <v>6277.5</v>
      </c>
      <c r="R38" s="10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  <c r="AS38" s="164"/>
      <c r="AT38" s="164"/>
      <c r="AU38" s="164"/>
      <c r="AV38" s="164"/>
      <c r="AW38" s="164"/>
      <c r="AX38" s="164"/>
      <c r="AY38" s="164"/>
      <c r="AZ38" s="164"/>
      <c r="BA38" s="164"/>
      <c r="BB38" s="164"/>
      <c r="BC38" s="164"/>
      <c r="BD38" s="164"/>
      <c r="BE38" s="164"/>
      <c r="BF38" s="164"/>
      <c r="BG38" s="164"/>
      <c r="BH38" s="164"/>
      <c r="BI38" s="164"/>
      <c r="BJ38" s="164"/>
      <c r="BK38" s="164"/>
      <c r="BL38" s="164"/>
      <c r="BM38" s="164"/>
      <c r="BN38" s="164"/>
      <c r="BO38" s="164"/>
      <c r="BP38" s="164"/>
      <c r="BQ38" s="164"/>
      <c r="BR38" s="164"/>
      <c r="BS38" s="164"/>
      <c r="BT38" s="164"/>
      <c r="BU38" s="164"/>
      <c r="BV38" s="164"/>
      <c r="BW38" s="164"/>
      <c r="BX38" s="164"/>
      <c r="BY38" s="164"/>
      <c r="BZ38" s="164"/>
      <c r="CA38" s="164"/>
      <c r="CB38" s="164"/>
      <c r="CC38" s="164"/>
    </row>
    <row r="39" spans="1:81" s="105" customFormat="1" ht="24" customHeight="1" x14ac:dyDescent="0.3">
      <c r="A39" s="100">
        <v>10</v>
      </c>
      <c r="B39" s="106" t="s">
        <v>367</v>
      </c>
      <c r="C39" s="8" t="s">
        <v>368</v>
      </c>
      <c r="D39" s="107">
        <v>400</v>
      </c>
      <c r="E39" s="102"/>
      <c r="F39" s="103">
        <f t="shared" si="18"/>
        <v>400</v>
      </c>
      <c r="G39" s="103">
        <f t="shared" si="19"/>
        <v>4800</v>
      </c>
      <c r="H39" s="83">
        <f t="shared" si="0"/>
        <v>3200</v>
      </c>
      <c r="I39" s="83">
        <f t="shared" si="6"/>
        <v>1600</v>
      </c>
      <c r="J39" s="83">
        <f t="shared" si="1"/>
        <v>400</v>
      </c>
      <c r="K39" s="103">
        <f t="shared" si="20"/>
        <v>30</v>
      </c>
      <c r="L39" s="83">
        <f t="shared" si="25"/>
        <v>31</v>
      </c>
      <c r="M39" s="102"/>
      <c r="N39" s="103">
        <f t="shared" si="24"/>
        <v>4</v>
      </c>
      <c r="O39" s="103">
        <f t="shared" si="21"/>
        <v>65</v>
      </c>
      <c r="P39" s="103">
        <f t="shared" si="22"/>
        <v>780</v>
      </c>
      <c r="Q39" s="103">
        <f t="shared" si="23"/>
        <v>5580</v>
      </c>
      <c r="R39" s="10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4"/>
      <c r="BD39" s="164"/>
      <c r="BE39" s="164"/>
      <c r="BF39" s="164"/>
      <c r="BG39" s="164"/>
      <c r="BH39" s="164"/>
      <c r="BI39" s="164"/>
      <c r="BJ39" s="164"/>
      <c r="BK39" s="164"/>
      <c r="BL39" s="164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</row>
    <row r="40" spans="1:81" s="105" customFormat="1" ht="32.25" customHeight="1" x14ac:dyDescent="0.3">
      <c r="A40" s="100">
        <v>11</v>
      </c>
      <c r="B40" s="106" t="s">
        <v>369</v>
      </c>
      <c r="C40" s="357" t="s">
        <v>562</v>
      </c>
      <c r="D40" s="107">
        <v>325</v>
      </c>
      <c r="E40" s="102">
        <v>25</v>
      </c>
      <c r="F40" s="103">
        <f t="shared" si="18"/>
        <v>350</v>
      </c>
      <c r="G40" s="103">
        <f t="shared" si="19"/>
        <v>4200</v>
      </c>
      <c r="H40" s="83">
        <f t="shared" si="0"/>
        <v>2800</v>
      </c>
      <c r="I40" s="83">
        <f t="shared" si="6"/>
        <v>1400</v>
      </c>
      <c r="J40" s="83">
        <f t="shared" si="1"/>
        <v>350</v>
      </c>
      <c r="K40" s="103">
        <f t="shared" si="20"/>
        <v>26.25</v>
      </c>
      <c r="L40" s="83">
        <f t="shared" si="25"/>
        <v>27.125</v>
      </c>
      <c r="M40" s="102"/>
      <c r="N40" s="103">
        <f t="shared" si="24"/>
        <v>3.5</v>
      </c>
      <c r="O40" s="103">
        <f t="shared" si="21"/>
        <v>56.875</v>
      </c>
      <c r="P40" s="103">
        <f t="shared" si="22"/>
        <v>682.5</v>
      </c>
      <c r="Q40" s="103">
        <f t="shared" si="23"/>
        <v>4882.5</v>
      </c>
      <c r="R40" s="10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4"/>
      <c r="AM40" s="164"/>
      <c r="AN40" s="164"/>
      <c r="AO40" s="164"/>
      <c r="AP40" s="164"/>
      <c r="AQ40" s="164"/>
      <c r="AR40" s="164"/>
      <c r="AS40" s="164"/>
      <c r="AT40" s="164"/>
      <c r="AU40" s="164"/>
      <c r="AV40" s="164"/>
      <c r="AW40" s="164"/>
      <c r="AX40" s="164"/>
      <c r="AY40" s="164"/>
      <c r="AZ40" s="164"/>
      <c r="BA40" s="164"/>
      <c r="BB40" s="164"/>
      <c r="BC40" s="164"/>
      <c r="BD40" s="164"/>
      <c r="BE40" s="164"/>
      <c r="BF40" s="164"/>
      <c r="BG40" s="164"/>
      <c r="BH40" s="164"/>
      <c r="BI40" s="164"/>
      <c r="BJ40" s="164"/>
      <c r="BK40" s="164"/>
      <c r="BL40" s="164"/>
      <c r="BM40" s="164"/>
      <c r="BN40" s="164"/>
      <c r="BO40" s="164"/>
      <c r="BP40" s="164"/>
      <c r="BQ40" s="164"/>
      <c r="BR40" s="164"/>
      <c r="BS40" s="164"/>
      <c r="BT40" s="164"/>
      <c r="BU40" s="164"/>
      <c r="BV40" s="164"/>
      <c r="BW40" s="164"/>
      <c r="BX40" s="164"/>
      <c r="BY40" s="164"/>
      <c r="BZ40" s="164"/>
      <c r="CA40" s="164"/>
      <c r="CB40" s="164"/>
      <c r="CC40" s="164"/>
    </row>
    <row r="41" spans="1:81" s="105" customFormat="1" ht="32.25" customHeight="1" x14ac:dyDescent="0.3">
      <c r="A41" s="100">
        <v>12</v>
      </c>
      <c r="B41" s="108" t="s">
        <v>474</v>
      </c>
      <c r="C41" s="357" t="s">
        <v>579</v>
      </c>
      <c r="D41" s="107">
        <v>450</v>
      </c>
      <c r="E41" s="102">
        <v>25</v>
      </c>
      <c r="F41" s="103">
        <f t="shared" si="18"/>
        <v>475</v>
      </c>
      <c r="G41" s="103">
        <f t="shared" si="19"/>
        <v>5700</v>
      </c>
      <c r="H41" s="83">
        <f t="shared" si="0"/>
        <v>3800</v>
      </c>
      <c r="I41" s="83">
        <f t="shared" si="6"/>
        <v>1900</v>
      </c>
      <c r="J41" s="83">
        <f t="shared" si="1"/>
        <v>475</v>
      </c>
      <c r="K41" s="103">
        <f t="shared" si="20"/>
        <v>35.625</v>
      </c>
      <c r="L41" s="83">
        <f t="shared" si="25"/>
        <v>36.8125</v>
      </c>
      <c r="M41" s="102"/>
      <c r="N41" s="103">
        <f t="shared" si="24"/>
        <v>4.75</v>
      </c>
      <c r="O41" s="103">
        <f t="shared" si="21"/>
        <v>77.1875</v>
      </c>
      <c r="P41" s="103">
        <f t="shared" si="22"/>
        <v>926.25</v>
      </c>
      <c r="Q41" s="103">
        <f t="shared" si="23"/>
        <v>6626.25</v>
      </c>
      <c r="R41" s="10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4"/>
      <c r="BE41" s="164"/>
      <c r="BF41" s="164"/>
      <c r="BG41" s="164"/>
      <c r="BH41" s="164"/>
      <c r="BI41" s="164"/>
      <c r="BJ41" s="164"/>
      <c r="BK41" s="164"/>
      <c r="BL41" s="164"/>
      <c r="BM41" s="164"/>
      <c r="BN41" s="164"/>
      <c r="BO41" s="164"/>
      <c r="BP41" s="164"/>
      <c r="BQ41" s="164"/>
      <c r="BR41" s="164"/>
      <c r="BS41" s="164"/>
      <c r="BT41" s="164"/>
      <c r="BU41" s="164"/>
      <c r="BV41" s="164"/>
      <c r="BW41" s="164"/>
      <c r="BX41" s="164"/>
      <c r="BY41" s="164"/>
      <c r="BZ41" s="164"/>
      <c r="CA41" s="164"/>
      <c r="CB41" s="164"/>
      <c r="CC41" s="164"/>
    </row>
    <row r="42" spans="1:81" s="105" customFormat="1" ht="23.25" customHeight="1" x14ac:dyDescent="0.3">
      <c r="A42" s="100">
        <v>13</v>
      </c>
      <c r="B42" s="332"/>
      <c r="C42" s="8" t="s">
        <v>370</v>
      </c>
      <c r="D42" s="107">
        <v>300</v>
      </c>
      <c r="E42" s="102"/>
      <c r="F42" s="103">
        <f t="shared" si="18"/>
        <v>300</v>
      </c>
      <c r="G42" s="103">
        <f t="shared" si="19"/>
        <v>3600</v>
      </c>
      <c r="H42" s="83">
        <f t="shared" si="0"/>
        <v>2400</v>
      </c>
      <c r="I42" s="83">
        <f t="shared" si="6"/>
        <v>1200</v>
      </c>
      <c r="J42" s="83">
        <f t="shared" si="1"/>
        <v>300</v>
      </c>
      <c r="K42" s="103">
        <f t="shared" si="20"/>
        <v>22.5</v>
      </c>
      <c r="L42" s="83">
        <f t="shared" si="25"/>
        <v>23.25</v>
      </c>
      <c r="M42" s="102"/>
      <c r="N42" s="103">
        <f t="shared" si="24"/>
        <v>3</v>
      </c>
      <c r="O42" s="103">
        <f t="shared" si="21"/>
        <v>48.75</v>
      </c>
      <c r="P42" s="103">
        <f t="shared" si="22"/>
        <v>585</v>
      </c>
      <c r="Q42" s="103">
        <f t="shared" si="23"/>
        <v>4185</v>
      </c>
      <c r="R42" s="104" t="s">
        <v>318</v>
      </c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4"/>
      <c r="AH42" s="164"/>
      <c r="AI42" s="164"/>
      <c r="AJ42" s="164"/>
      <c r="AK42" s="164"/>
      <c r="AL42" s="164"/>
      <c r="AM42" s="164"/>
      <c r="AN42" s="164"/>
      <c r="AO42" s="164"/>
      <c r="AP42" s="164"/>
      <c r="AQ42" s="164"/>
      <c r="AR42" s="164"/>
      <c r="AS42" s="164"/>
      <c r="AT42" s="164"/>
      <c r="AU42" s="164"/>
      <c r="AV42" s="164"/>
      <c r="AW42" s="164"/>
      <c r="AX42" s="164"/>
      <c r="AY42" s="164"/>
      <c r="AZ42" s="164"/>
      <c r="BA42" s="164"/>
      <c r="BB42" s="164"/>
      <c r="BC42" s="164"/>
      <c r="BD42" s="164"/>
      <c r="BE42" s="164"/>
      <c r="BF42" s="164"/>
      <c r="BG42" s="164"/>
      <c r="BH42" s="164"/>
      <c r="BI42" s="164"/>
      <c r="BJ42" s="164"/>
      <c r="BK42" s="164"/>
      <c r="BL42" s="164"/>
      <c r="BM42" s="164"/>
      <c r="BN42" s="164"/>
      <c r="BO42" s="164"/>
      <c r="BP42" s="164"/>
      <c r="BQ42" s="164"/>
      <c r="BR42" s="164"/>
      <c r="BS42" s="164"/>
      <c r="BT42" s="164"/>
      <c r="BU42" s="164"/>
      <c r="BV42" s="164"/>
      <c r="BW42" s="164"/>
      <c r="BX42" s="164"/>
      <c r="BY42" s="164"/>
      <c r="BZ42" s="164"/>
      <c r="CA42" s="164"/>
      <c r="CB42" s="164"/>
      <c r="CC42" s="164"/>
    </row>
    <row r="43" spans="1:81" s="105" customFormat="1" ht="32.25" customHeight="1" x14ac:dyDescent="0.3">
      <c r="A43" s="100">
        <v>14</v>
      </c>
      <c r="B43" s="225" t="s">
        <v>320</v>
      </c>
      <c r="C43" s="359" t="s">
        <v>561</v>
      </c>
      <c r="D43" s="226">
        <v>800</v>
      </c>
      <c r="E43" s="226"/>
      <c r="F43" s="226">
        <f t="shared" si="18"/>
        <v>800</v>
      </c>
      <c r="G43" s="226">
        <f t="shared" si="19"/>
        <v>9600</v>
      </c>
      <c r="H43" s="83">
        <f t="shared" si="0"/>
        <v>6400</v>
      </c>
      <c r="I43" s="83">
        <f t="shared" si="6"/>
        <v>3200</v>
      </c>
      <c r="J43" s="83">
        <f t="shared" si="1"/>
        <v>800</v>
      </c>
      <c r="K43" s="224">
        <f t="shared" si="20"/>
        <v>60</v>
      </c>
      <c r="L43" s="226">
        <f t="shared" si="25"/>
        <v>62</v>
      </c>
      <c r="M43" s="223"/>
      <c r="N43" s="103">
        <f t="shared" si="24"/>
        <v>8</v>
      </c>
      <c r="O43" s="224">
        <f t="shared" si="21"/>
        <v>130</v>
      </c>
      <c r="P43" s="224">
        <f t="shared" si="22"/>
        <v>1560</v>
      </c>
      <c r="Q43" s="224">
        <f t="shared" si="23"/>
        <v>11160</v>
      </c>
      <c r="R43" s="110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4"/>
      <c r="AK43" s="164"/>
      <c r="AL43" s="164"/>
      <c r="AM43" s="164"/>
      <c r="AN43" s="164"/>
      <c r="AO43" s="164"/>
      <c r="AP43" s="164"/>
      <c r="AQ43" s="164"/>
      <c r="AR43" s="164"/>
      <c r="AS43" s="164"/>
      <c r="AT43" s="164"/>
      <c r="AU43" s="164"/>
      <c r="AV43" s="164"/>
      <c r="AW43" s="164"/>
      <c r="AX43" s="164"/>
      <c r="AY43" s="164"/>
      <c r="AZ43" s="164"/>
      <c r="BA43" s="164"/>
      <c r="BB43" s="164"/>
      <c r="BC43" s="164"/>
      <c r="BD43" s="164"/>
      <c r="BE43" s="164"/>
      <c r="BF43" s="164"/>
      <c r="BG43" s="164"/>
      <c r="BH43" s="164"/>
      <c r="BI43" s="164"/>
      <c r="BJ43" s="164"/>
      <c r="BK43" s="164"/>
      <c r="BL43" s="164"/>
      <c r="BM43" s="164"/>
      <c r="BN43" s="164"/>
      <c r="BO43" s="164"/>
      <c r="BP43" s="164"/>
      <c r="BQ43" s="164"/>
      <c r="BR43" s="164"/>
      <c r="BS43" s="164"/>
      <c r="BT43" s="164"/>
      <c r="BU43" s="164"/>
      <c r="BV43" s="164"/>
      <c r="BW43" s="164"/>
      <c r="BX43" s="164"/>
      <c r="BY43" s="164"/>
      <c r="BZ43" s="164"/>
      <c r="CA43" s="164"/>
      <c r="CB43" s="164"/>
      <c r="CC43" s="164"/>
    </row>
    <row r="44" spans="1:81" s="164" customFormat="1" ht="32.25" customHeight="1" x14ac:dyDescent="0.3">
      <c r="A44" s="100">
        <v>15</v>
      </c>
      <c r="B44" s="92"/>
      <c r="C44" s="355" t="s">
        <v>563</v>
      </c>
      <c r="D44" s="93">
        <v>300</v>
      </c>
      <c r="E44" s="93"/>
      <c r="F44" s="93">
        <v>350</v>
      </c>
      <c r="G44" s="93">
        <f t="shared" si="19"/>
        <v>4200</v>
      </c>
      <c r="H44" s="83">
        <f t="shared" si="0"/>
        <v>2800</v>
      </c>
      <c r="I44" s="83">
        <f t="shared" si="6"/>
        <v>1400</v>
      </c>
      <c r="J44" s="83">
        <f t="shared" si="1"/>
        <v>350</v>
      </c>
      <c r="K44" s="319">
        <f t="shared" si="20"/>
        <v>26.25</v>
      </c>
      <c r="L44" s="93">
        <f t="shared" si="25"/>
        <v>27.125</v>
      </c>
      <c r="M44" s="318"/>
      <c r="N44" s="103">
        <f t="shared" si="24"/>
        <v>3.5</v>
      </c>
      <c r="O44" s="319">
        <f t="shared" si="21"/>
        <v>56.875</v>
      </c>
      <c r="P44" s="319">
        <f t="shared" si="22"/>
        <v>682.5</v>
      </c>
      <c r="Q44" s="319">
        <f t="shared" si="23"/>
        <v>4882.5</v>
      </c>
      <c r="R44" s="320"/>
    </row>
    <row r="45" spans="1:81" s="105" customFormat="1" ht="32.25" customHeight="1" x14ac:dyDescent="0.3">
      <c r="A45" s="100">
        <v>16</v>
      </c>
      <c r="B45" s="322" t="s">
        <v>473</v>
      </c>
      <c r="C45" s="8" t="s">
        <v>560</v>
      </c>
      <c r="D45" s="85">
        <v>400</v>
      </c>
      <c r="E45" s="85"/>
      <c r="F45" s="93">
        <f t="shared" si="18"/>
        <v>400</v>
      </c>
      <c r="G45" s="93">
        <f t="shared" si="19"/>
        <v>4800</v>
      </c>
      <c r="H45" s="83">
        <f t="shared" si="0"/>
        <v>3200</v>
      </c>
      <c r="I45" s="83">
        <f t="shared" si="6"/>
        <v>1600</v>
      </c>
      <c r="J45" s="83">
        <f t="shared" si="1"/>
        <v>400</v>
      </c>
      <c r="K45" s="103">
        <f t="shared" si="20"/>
        <v>30</v>
      </c>
      <c r="L45" s="85">
        <f t="shared" si="25"/>
        <v>31</v>
      </c>
      <c r="M45" s="102"/>
      <c r="N45" s="103">
        <f t="shared" si="24"/>
        <v>4</v>
      </c>
      <c r="O45" s="103">
        <f t="shared" si="21"/>
        <v>65</v>
      </c>
      <c r="P45" s="103">
        <f t="shared" si="22"/>
        <v>780</v>
      </c>
      <c r="Q45" s="103">
        <f t="shared" si="23"/>
        <v>5580</v>
      </c>
      <c r="R45" s="110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  <c r="AR45" s="164"/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4"/>
      <c r="BD45" s="164"/>
      <c r="BE45" s="164"/>
      <c r="BF45" s="164"/>
      <c r="BG45" s="164"/>
      <c r="BH45" s="164"/>
      <c r="BI45" s="164"/>
      <c r="BJ45" s="164"/>
      <c r="BK45" s="164"/>
      <c r="BL45" s="164"/>
      <c r="BM45" s="164"/>
      <c r="BN45" s="164"/>
      <c r="BO45" s="164"/>
      <c r="BP45" s="164"/>
      <c r="BQ45" s="164"/>
      <c r="BR45" s="164"/>
      <c r="BS45" s="164"/>
      <c r="BT45" s="164"/>
      <c r="BU45" s="164"/>
      <c r="BV45" s="164"/>
      <c r="BW45" s="164"/>
      <c r="BX45" s="164"/>
      <c r="BY45" s="164"/>
      <c r="BZ45" s="164"/>
      <c r="CA45" s="164"/>
      <c r="CB45" s="164"/>
      <c r="CC45" s="164"/>
    </row>
    <row r="46" spans="1:81" s="105" customFormat="1" ht="32.25" customHeight="1" x14ac:dyDescent="0.3">
      <c r="A46" s="100">
        <v>17</v>
      </c>
      <c r="B46" s="108" t="s">
        <v>475</v>
      </c>
      <c r="C46" s="8" t="s">
        <v>476</v>
      </c>
      <c r="D46" s="85">
        <v>600</v>
      </c>
      <c r="E46" s="85"/>
      <c r="F46" s="93">
        <f t="shared" si="18"/>
        <v>600</v>
      </c>
      <c r="G46" s="93">
        <f t="shared" si="19"/>
        <v>7200</v>
      </c>
      <c r="H46" s="83">
        <f t="shared" si="0"/>
        <v>4800</v>
      </c>
      <c r="I46" s="83">
        <f t="shared" si="6"/>
        <v>2400</v>
      </c>
      <c r="J46" s="83">
        <f t="shared" si="1"/>
        <v>600</v>
      </c>
      <c r="K46" s="103">
        <f t="shared" si="20"/>
        <v>45</v>
      </c>
      <c r="L46" s="85">
        <f t="shared" si="25"/>
        <v>46.5</v>
      </c>
      <c r="M46" s="102"/>
      <c r="N46" s="103">
        <f t="shared" si="24"/>
        <v>6</v>
      </c>
      <c r="O46" s="103">
        <f t="shared" si="21"/>
        <v>97.5</v>
      </c>
      <c r="P46" s="103">
        <f t="shared" si="22"/>
        <v>1170</v>
      </c>
      <c r="Q46" s="103">
        <f t="shared" si="23"/>
        <v>8370</v>
      </c>
      <c r="R46" s="110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4"/>
      <c r="BC46" s="164"/>
      <c r="BD46" s="164"/>
      <c r="BE46" s="164"/>
      <c r="BF46" s="164"/>
      <c r="BG46" s="164"/>
      <c r="BH46" s="164"/>
      <c r="BI46" s="164"/>
      <c r="BJ46" s="164"/>
      <c r="BK46" s="164"/>
      <c r="BL46" s="164"/>
      <c r="BM46" s="164"/>
      <c r="BN46" s="164"/>
      <c r="BO46" s="164"/>
      <c r="BP46" s="164"/>
      <c r="BQ46" s="164"/>
      <c r="BR46" s="164"/>
      <c r="BS46" s="164"/>
      <c r="BT46" s="164"/>
      <c r="BU46" s="164"/>
      <c r="BV46" s="164"/>
      <c r="BW46" s="164"/>
      <c r="BX46" s="164"/>
      <c r="BY46" s="164"/>
      <c r="BZ46" s="164"/>
      <c r="CA46" s="164"/>
      <c r="CB46" s="164"/>
      <c r="CC46" s="164"/>
    </row>
    <row r="47" spans="1:81" s="105" customFormat="1" ht="32.25" customHeight="1" x14ac:dyDescent="0.3">
      <c r="A47" s="100">
        <v>18</v>
      </c>
      <c r="B47" s="108" t="s">
        <v>477</v>
      </c>
      <c r="C47" s="8" t="s">
        <v>371</v>
      </c>
      <c r="D47" s="85">
        <v>400</v>
      </c>
      <c r="E47" s="85"/>
      <c r="F47" s="93">
        <f t="shared" si="18"/>
        <v>400</v>
      </c>
      <c r="G47" s="93">
        <f t="shared" si="19"/>
        <v>4800</v>
      </c>
      <c r="H47" s="83">
        <f t="shared" si="0"/>
        <v>3200</v>
      </c>
      <c r="I47" s="83">
        <f t="shared" si="6"/>
        <v>1600</v>
      </c>
      <c r="J47" s="83">
        <f t="shared" si="1"/>
        <v>400</v>
      </c>
      <c r="K47" s="103">
        <f t="shared" si="20"/>
        <v>30</v>
      </c>
      <c r="L47" s="85">
        <f t="shared" si="25"/>
        <v>31</v>
      </c>
      <c r="M47" s="102"/>
      <c r="N47" s="103">
        <f t="shared" si="24"/>
        <v>4</v>
      </c>
      <c r="O47" s="103">
        <f t="shared" si="21"/>
        <v>65</v>
      </c>
      <c r="P47" s="103">
        <f t="shared" si="22"/>
        <v>780</v>
      </c>
      <c r="Q47" s="103">
        <f t="shared" si="23"/>
        <v>5580</v>
      </c>
      <c r="R47" s="110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164"/>
      <c r="AQ47" s="164"/>
      <c r="AR47" s="164"/>
      <c r="AS47" s="164"/>
      <c r="AT47" s="164"/>
      <c r="AU47" s="164"/>
      <c r="AV47" s="164"/>
      <c r="AW47" s="164"/>
      <c r="AX47" s="164"/>
      <c r="AY47" s="164"/>
      <c r="AZ47" s="164"/>
      <c r="BA47" s="164"/>
      <c r="BB47" s="164"/>
      <c r="BC47" s="164"/>
      <c r="BD47" s="164"/>
      <c r="BE47" s="164"/>
      <c r="BF47" s="164"/>
      <c r="BG47" s="164"/>
      <c r="BH47" s="164"/>
      <c r="BI47" s="164"/>
      <c r="BJ47" s="164"/>
      <c r="BK47" s="164"/>
      <c r="BL47" s="164"/>
      <c r="BM47" s="164"/>
      <c r="BN47" s="164"/>
      <c r="BO47" s="164"/>
      <c r="BP47" s="164"/>
      <c r="BQ47" s="164"/>
      <c r="BR47" s="164"/>
      <c r="BS47" s="164"/>
      <c r="BT47" s="164"/>
      <c r="BU47" s="164"/>
      <c r="BV47" s="164"/>
      <c r="BW47" s="164"/>
      <c r="BX47" s="164"/>
      <c r="BY47" s="164"/>
      <c r="BZ47" s="164"/>
      <c r="CA47" s="164"/>
      <c r="CB47" s="164"/>
      <c r="CC47" s="164"/>
    </row>
    <row r="48" spans="1:81" s="105" customFormat="1" ht="32.25" customHeight="1" x14ac:dyDescent="0.3">
      <c r="A48" s="100">
        <v>19</v>
      </c>
      <c r="B48" s="337" t="s">
        <v>425</v>
      </c>
      <c r="C48" s="8" t="s">
        <v>371</v>
      </c>
      <c r="D48" s="85">
        <v>500</v>
      </c>
      <c r="E48" s="85"/>
      <c r="F48" s="93">
        <f t="shared" si="18"/>
        <v>500</v>
      </c>
      <c r="G48" s="93">
        <f t="shared" si="19"/>
        <v>6000</v>
      </c>
      <c r="H48" s="83">
        <f t="shared" si="0"/>
        <v>4000</v>
      </c>
      <c r="I48" s="83">
        <f t="shared" si="6"/>
        <v>2000</v>
      </c>
      <c r="J48" s="83">
        <f t="shared" si="1"/>
        <v>500</v>
      </c>
      <c r="K48" s="103">
        <f t="shared" si="20"/>
        <v>37.5</v>
      </c>
      <c r="L48" s="85">
        <f t="shared" si="25"/>
        <v>38.75</v>
      </c>
      <c r="M48" s="102"/>
      <c r="N48" s="103">
        <f t="shared" si="24"/>
        <v>5</v>
      </c>
      <c r="O48" s="103">
        <f t="shared" si="21"/>
        <v>81.25</v>
      </c>
      <c r="P48" s="103">
        <f t="shared" si="22"/>
        <v>975</v>
      </c>
      <c r="Q48" s="103">
        <f t="shared" si="23"/>
        <v>6975</v>
      </c>
      <c r="R48" s="110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164"/>
      <c r="BB48" s="164"/>
      <c r="BC48" s="164"/>
      <c r="BD48" s="164"/>
      <c r="BE48" s="164"/>
      <c r="BF48" s="164"/>
      <c r="BG48" s="164"/>
      <c r="BH48" s="164"/>
      <c r="BI48" s="164"/>
      <c r="BJ48" s="164"/>
      <c r="BK48" s="164"/>
      <c r="BL48" s="164"/>
      <c r="BM48" s="164"/>
      <c r="BN48" s="164"/>
      <c r="BO48" s="164"/>
      <c r="BP48" s="164"/>
      <c r="BQ48" s="164"/>
      <c r="BR48" s="164"/>
      <c r="BS48" s="164"/>
      <c r="BT48" s="164"/>
      <c r="BU48" s="164"/>
      <c r="BV48" s="164"/>
      <c r="BW48" s="164"/>
      <c r="BX48" s="164"/>
      <c r="BY48" s="164"/>
      <c r="BZ48" s="164"/>
      <c r="CA48" s="164"/>
      <c r="CB48" s="164"/>
      <c r="CC48" s="164"/>
    </row>
    <row r="49" spans="1:81" s="105" customFormat="1" ht="21" customHeight="1" x14ac:dyDescent="0.3">
      <c r="A49" s="100">
        <v>20</v>
      </c>
      <c r="B49" s="92" t="s">
        <v>339</v>
      </c>
      <c r="C49" s="8" t="s">
        <v>400</v>
      </c>
      <c r="D49" s="93">
        <v>400</v>
      </c>
      <c r="E49" s="93"/>
      <c r="F49" s="93">
        <f t="shared" si="18"/>
        <v>400</v>
      </c>
      <c r="G49" s="93">
        <f t="shared" si="19"/>
        <v>4800</v>
      </c>
      <c r="H49" s="83">
        <f t="shared" si="0"/>
        <v>3200</v>
      </c>
      <c r="I49" s="83">
        <f t="shared" si="6"/>
        <v>1600</v>
      </c>
      <c r="J49" s="83">
        <f t="shared" si="1"/>
        <v>400</v>
      </c>
      <c r="K49" s="103">
        <f t="shared" si="20"/>
        <v>30</v>
      </c>
      <c r="L49" s="85">
        <f t="shared" si="25"/>
        <v>31</v>
      </c>
      <c r="M49" s="102"/>
      <c r="N49" s="103">
        <f t="shared" si="24"/>
        <v>4</v>
      </c>
      <c r="O49" s="103">
        <f t="shared" si="21"/>
        <v>65</v>
      </c>
      <c r="P49" s="103">
        <f t="shared" si="22"/>
        <v>780</v>
      </c>
      <c r="Q49" s="103">
        <f t="shared" si="23"/>
        <v>5580</v>
      </c>
      <c r="R49" s="110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4"/>
      <c r="BR49" s="164"/>
      <c r="BS49" s="164"/>
      <c r="BT49" s="164"/>
      <c r="BU49" s="164"/>
      <c r="BV49" s="164"/>
      <c r="BW49" s="164"/>
      <c r="BX49" s="164"/>
      <c r="BY49" s="164"/>
      <c r="BZ49" s="164"/>
      <c r="CA49" s="164"/>
      <c r="CB49" s="164"/>
      <c r="CC49" s="164"/>
    </row>
    <row r="50" spans="1:81" s="105" customFormat="1" ht="42.75" customHeight="1" x14ac:dyDescent="0.3">
      <c r="A50" s="100">
        <v>21</v>
      </c>
      <c r="B50" s="180" t="s">
        <v>478</v>
      </c>
      <c r="C50" s="8" t="s">
        <v>479</v>
      </c>
      <c r="D50" s="85">
        <v>350</v>
      </c>
      <c r="E50" s="85"/>
      <c r="F50" s="93">
        <f t="shared" si="18"/>
        <v>350</v>
      </c>
      <c r="G50" s="93">
        <f t="shared" si="19"/>
        <v>4200</v>
      </c>
      <c r="H50" s="83">
        <f t="shared" si="0"/>
        <v>2800</v>
      </c>
      <c r="I50" s="83">
        <f t="shared" si="6"/>
        <v>1400</v>
      </c>
      <c r="J50" s="83">
        <f t="shared" si="1"/>
        <v>350</v>
      </c>
      <c r="K50" s="103">
        <f t="shared" si="20"/>
        <v>26.25</v>
      </c>
      <c r="L50" s="85">
        <f t="shared" si="25"/>
        <v>27.125</v>
      </c>
      <c r="M50" s="102"/>
      <c r="N50" s="103">
        <f t="shared" si="24"/>
        <v>3.5</v>
      </c>
      <c r="O50" s="103">
        <f t="shared" si="21"/>
        <v>56.875</v>
      </c>
      <c r="P50" s="103">
        <f t="shared" si="22"/>
        <v>682.5</v>
      </c>
      <c r="Q50" s="103">
        <f t="shared" si="23"/>
        <v>4882.5</v>
      </c>
      <c r="R50" s="110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4"/>
      <c r="BM50" s="164"/>
      <c r="BN50" s="164"/>
      <c r="BO50" s="164"/>
      <c r="BP50" s="164"/>
      <c r="BQ50" s="164"/>
      <c r="BR50" s="164"/>
      <c r="BS50" s="164"/>
      <c r="BT50" s="164"/>
      <c r="BU50" s="164"/>
      <c r="BV50" s="164"/>
      <c r="BW50" s="164"/>
      <c r="BX50" s="164"/>
      <c r="BY50" s="164"/>
      <c r="BZ50" s="164"/>
      <c r="CA50" s="164"/>
      <c r="CB50" s="164"/>
      <c r="CC50" s="164"/>
    </row>
    <row r="51" spans="1:81" s="105" customFormat="1" ht="32.25" customHeight="1" x14ac:dyDescent="0.3">
      <c r="A51" s="100"/>
      <c r="B51" s="99" t="s">
        <v>372</v>
      </c>
      <c r="C51" s="8"/>
      <c r="D51" s="89">
        <f>SUM(D30:D50)</f>
        <v>9210</v>
      </c>
      <c r="E51" s="89">
        <f t="shared" ref="E51:F51" si="26">SUM(E30:E50)</f>
        <v>170</v>
      </c>
      <c r="F51" s="89">
        <f t="shared" si="26"/>
        <v>9430</v>
      </c>
      <c r="G51" s="89">
        <f>SUM(G30:G50)</f>
        <v>113160</v>
      </c>
      <c r="H51" s="387">
        <f t="shared" si="0"/>
        <v>75440</v>
      </c>
      <c r="I51" s="387">
        <f t="shared" si="6"/>
        <v>37720</v>
      </c>
      <c r="J51" s="387">
        <f>F51</f>
        <v>9430</v>
      </c>
      <c r="K51" s="89">
        <f>SUM(K30:K50)</f>
        <v>707.25</v>
      </c>
      <c r="L51" s="89">
        <f>SUM(L30:L50)</f>
        <v>684.32500000000005</v>
      </c>
      <c r="M51" s="89">
        <f t="shared" ref="M51:Q51" si="27">SUM(M30:M50)</f>
        <v>42.000000000000007</v>
      </c>
      <c r="N51" s="89">
        <f t="shared" si="27"/>
        <v>94.3</v>
      </c>
      <c r="O51" s="89">
        <f t="shared" si="27"/>
        <v>1527.875</v>
      </c>
      <c r="P51" s="89">
        <f t="shared" si="27"/>
        <v>18334.5</v>
      </c>
      <c r="Q51" s="89">
        <f t="shared" si="27"/>
        <v>131494.5</v>
      </c>
      <c r="R51" s="110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  <c r="BI51" s="164"/>
      <c r="BJ51" s="164"/>
      <c r="BK51" s="164"/>
      <c r="BL51" s="164"/>
      <c r="BM51" s="164"/>
      <c r="BN51" s="164"/>
      <c r="BO51" s="164"/>
      <c r="BP51" s="164"/>
      <c r="BQ51" s="164"/>
      <c r="BR51" s="164"/>
      <c r="BS51" s="164"/>
      <c r="BT51" s="164"/>
      <c r="BU51" s="164"/>
      <c r="BV51" s="164"/>
      <c r="BW51" s="164"/>
      <c r="BX51" s="164"/>
      <c r="BY51" s="164"/>
      <c r="BZ51" s="164"/>
      <c r="CA51" s="164"/>
      <c r="CB51" s="164"/>
      <c r="CC51" s="164"/>
    </row>
    <row r="52" spans="1:81" x14ac:dyDescent="0.3">
      <c r="A52" s="579" t="s">
        <v>373</v>
      </c>
      <c r="B52" s="580"/>
      <c r="C52" s="580"/>
      <c r="D52" s="89">
        <f>D7+D24+D29+D51</f>
        <v>25458.89</v>
      </c>
      <c r="E52" s="89">
        <f>E51+E29+E24+E7</f>
        <v>395</v>
      </c>
      <c r="F52" s="89">
        <f>F7+F24+F29+F51</f>
        <v>25903.89</v>
      </c>
      <c r="G52" s="112">
        <f>G7+G24+G29+G51</f>
        <v>309846.68</v>
      </c>
      <c r="H52" s="387">
        <f t="shared" si="0"/>
        <v>207231.12</v>
      </c>
      <c r="I52" s="387">
        <f t="shared" si="6"/>
        <v>103615.56</v>
      </c>
      <c r="J52" s="112">
        <f t="shared" ref="J52:Q52" si="28">J7+J24+J29+J51</f>
        <v>25903.89</v>
      </c>
      <c r="K52" s="112">
        <f>K7+K24+K29+K51</f>
        <v>1847.1667499999999</v>
      </c>
      <c r="L52" s="112">
        <f t="shared" si="28"/>
        <v>1914.551475</v>
      </c>
      <c r="M52" s="112">
        <f t="shared" si="28"/>
        <v>84.000000000000014</v>
      </c>
      <c r="N52" s="112">
        <f>N7+N24+N29+N51</f>
        <v>246.28890000000001</v>
      </c>
      <c r="O52" s="112">
        <f t="shared" si="28"/>
        <v>4092.0071250000001</v>
      </c>
      <c r="P52" s="112">
        <f t="shared" si="28"/>
        <v>49104.085500000001</v>
      </c>
      <c r="Q52" s="112">
        <f t="shared" si="28"/>
        <v>353370.76549999998</v>
      </c>
      <c r="R52" s="113"/>
    </row>
    <row r="53" spans="1:81" x14ac:dyDescent="0.3">
      <c r="A53" s="266"/>
      <c r="B53" s="116"/>
      <c r="C53" s="360" t="s">
        <v>374</v>
      </c>
      <c r="D53" s="114"/>
      <c r="E53" s="112"/>
      <c r="F53" s="112">
        <f>F52*12</f>
        <v>310846.68</v>
      </c>
      <c r="G53" s="112"/>
      <c r="H53" s="112"/>
      <c r="I53" s="112"/>
      <c r="J53" s="112"/>
      <c r="K53" s="112">
        <f>K52*12</f>
        <v>22166.000999999997</v>
      </c>
      <c r="L53" s="112">
        <f>L52*12</f>
        <v>22974.617699999999</v>
      </c>
      <c r="M53" s="112">
        <f>M52*12</f>
        <v>1008.0000000000002</v>
      </c>
      <c r="N53" s="112">
        <f>N52*12</f>
        <v>2955.4668000000001</v>
      </c>
      <c r="O53" s="112"/>
      <c r="P53" s="112"/>
      <c r="Q53" s="112"/>
      <c r="R53" s="113"/>
      <c r="S53" s="342">
        <f>F53/12</f>
        <v>25903.89</v>
      </c>
      <c r="T53" s="342">
        <f>S53*9</f>
        <v>233135.01</v>
      </c>
    </row>
    <row r="54" spans="1:81" x14ac:dyDescent="0.3">
      <c r="A54" s="115"/>
      <c r="B54" s="116"/>
      <c r="C54" s="361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3"/>
    </row>
    <row r="55" spans="1:81" x14ac:dyDescent="0.3">
      <c r="A55" s="115"/>
      <c r="B55" s="116"/>
      <c r="C55" s="361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3"/>
    </row>
    <row r="56" spans="1:81" x14ac:dyDescent="0.3">
      <c r="A56" s="115"/>
      <c r="B56" s="116"/>
      <c r="C56" s="361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3"/>
    </row>
    <row r="57" spans="1:81" x14ac:dyDescent="0.3">
      <c r="A57" s="581" t="s">
        <v>375</v>
      </c>
      <c r="B57" s="581"/>
      <c r="C57" s="581"/>
      <c r="D57" s="581"/>
      <c r="E57" s="581"/>
      <c r="F57" s="581"/>
      <c r="G57" s="581"/>
      <c r="H57" s="581"/>
      <c r="I57" s="581"/>
      <c r="J57" s="581"/>
      <c r="K57" s="581"/>
      <c r="L57" s="581"/>
      <c r="M57" s="581"/>
      <c r="N57" s="581"/>
      <c r="O57" s="581"/>
      <c r="P57" s="581"/>
      <c r="Q57" s="581"/>
      <c r="R57" s="581"/>
    </row>
    <row r="58" spans="1:81" x14ac:dyDescent="0.3">
      <c r="A58" s="583" t="s">
        <v>571</v>
      </c>
      <c r="B58" s="583"/>
      <c r="C58" s="583"/>
      <c r="D58" s="583"/>
      <c r="E58" s="583"/>
      <c r="F58" s="583"/>
      <c r="G58" s="266"/>
      <c r="H58" s="266"/>
      <c r="I58" s="266"/>
      <c r="J58" s="266"/>
      <c r="K58" s="266"/>
      <c r="L58" s="266"/>
      <c r="M58" s="266"/>
      <c r="N58" s="266"/>
      <c r="O58" s="266"/>
      <c r="P58" s="266"/>
      <c r="Q58" s="266"/>
      <c r="R58" s="266"/>
    </row>
    <row r="59" spans="1:81" s="95" customFormat="1" ht="39.75" x14ac:dyDescent="0.3">
      <c r="A59" s="91">
        <v>1</v>
      </c>
      <c r="B59" s="124" t="s">
        <v>390</v>
      </c>
      <c r="C59" s="362" t="s">
        <v>481</v>
      </c>
      <c r="D59" s="118">
        <v>300</v>
      </c>
      <c r="E59" s="93"/>
      <c r="F59" s="93">
        <f t="shared" ref="F59:F69" si="29">D59+E59</f>
        <v>300</v>
      </c>
      <c r="G59" s="93">
        <f t="shared" ref="G59:G70" si="30">F59*12</f>
        <v>3600</v>
      </c>
      <c r="H59" s="93"/>
      <c r="I59" s="93"/>
      <c r="J59" s="93">
        <f>F59</f>
        <v>300</v>
      </c>
      <c r="K59" s="103">
        <f t="shared" ref="K59:K70" si="31">F59*0.075</f>
        <v>22.5</v>
      </c>
      <c r="L59" s="83">
        <f t="shared" ref="L59:L64" si="32">F59*0.0775</f>
        <v>23.25</v>
      </c>
      <c r="M59" s="93"/>
      <c r="N59" s="93">
        <f>F59*0.01</f>
        <v>3</v>
      </c>
      <c r="O59" s="93"/>
      <c r="P59" s="93"/>
      <c r="Q59" s="93"/>
      <c r="R59" s="119"/>
    </row>
    <row r="60" spans="1:81" s="95" customFormat="1" ht="27" x14ac:dyDescent="0.3">
      <c r="A60" s="91">
        <v>2</v>
      </c>
      <c r="B60" s="117" t="s">
        <v>377</v>
      </c>
      <c r="C60" s="362" t="s">
        <v>565</v>
      </c>
      <c r="D60" s="118">
        <v>300</v>
      </c>
      <c r="E60" s="93"/>
      <c r="F60" s="93">
        <f t="shared" si="29"/>
        <v>300</v>
      </c>
      <c r="G60" s="93">
        <f t="shared" si="30"/>
        <v>3600</v>
      </c>
      <c r="H60" s="93"/>
      <c r="I60" s="93"/>
      <c r="J60" s="93">
        <f t="shared" ref="J60:J70" si="33">F60</f>
        <v>300</v>
      </c>
      <c r="K60" s="103">
        <f t="shared" si="31"/>
        <v>22.5</v>
      </c>
      <c r="L60" s="83">
        <f t="shared" si="32"/>
        <v>23.25</v>
      </c>
      <c r="M60" s="93"/>
      <c r="N60" s="93">
        <f>F60*0.01</f>
        <v>3</v>
      </c>
      <c r="O60" s="93"/>
      <c r="P60" s="93"/>
      <c r="Q60" s="93"/>
      <c r="R60" s="119"/>
    </row>
    <row r="61" spans="1:81" s="95" customFormat="1" ht="27" x14ac:dyDescent="0.3">
      <c r="A61" s="91">
        <v>3</v>
      </c>
      <c r="B61" s="117" t="s">
        <v>378</v>
      </c>
      <c r="C61" s="362" t="s">
        <v>379</v>
      </c>
      <c r="D61" s="118">
        <v>450</v>
      </c>
      <c r="E61" s="93"/>
      <c r="F61" s="93">
        <f t="shared" si="29"/>
        <v>450</v>
      </c>
      <c r="G61" s="93">
        <f t="shared" si="30"/>
        <v>5400</v>
      </c>
      <c r="H61" s="93"/>
      <c r="I61" s="93"/>
      <c r="J61" s="93">
        <f t="shared" si="33"/>
        <v>450</v>
      </c>
      <c r="K61" s="103">
        <f t="shared" si="31"/>
        <v>33.75</v>
      </c>
      <c r="L61" s="83">
        <f t="shared" si="32"/>
        <v>34.875</v>
      </c>
      <c r="M61" s="93"/>
      <c r="N61" s="93">
        <f t="shared" ref="N61:N70" si="34">F61*0.01</f>
        <v>4.5</v>
      </c>
      <c r="O61" s="93"/>
      <c r="P61" s="93"/>
      <c r="Q61" s="93"/>
      <c r="R61" s="119"/>
    </row>
    <row r="62" spans="1:81" s="95" customFormat="1" ht="27" x14ac:dyDescent="0.3">
      <c r="A62" s="91">
        <v>4</v>
      </c>
      <c r="B62" s="117" t="s">
        <v>380</v>
      </c>
      <c r="C62" s="362" t="s">
        <v>381</v>
      </c>
      <c r="D62" s="118">
        <v>360</v>
      </c>
      <c r="E62" s="93"/>
      <c r="F62" s="93">
        <f t="shared" si="29"/>
        <v>360</v>
      </c>
      <c r="G62" s="93">
        <f t="shared" si="30"/>
        <v>4320</v>
      </c>
      <c r="H62" s="93"/>
      <c r="I62" s="93"/>
      <c r="J62" s="93">
        <f t="shared" si="33"/>
        <v>360</v>
      </c>
      <c r="K62" s="103">
        <f t="shared" si="31"/>
        <v>27</v>
      </c>
      <c r="L62" s="83">
        <f t="shared" si="32"/>
        <v>27.9</v>
      </c>
      <c r="M62" s="93"/>
      <c r="N62" s="93">
        <f t="shared" si="34"/>
        <v>3.6</v>
      </c>
      <c r="O62" s="93"/>
      <c r="P62" s="93"/>
      <c r="Q62" s="93"/>
      <c r="R62" s="119"/>
    </row>
    <row r="63" spans="1:81" s="95" customFormat="1" x14ac:dyDescent="0.3">
      <c r="A63" s="91">
        <v>5</v>
      </c>
      <c r="B63" s="117" t="s">
        <v>382</v>
      </c>
      <c r="C63" s="363" t="s">
        <v>383</v>
      </c>
      <c r="D63" s="118">
        <v>300</v>
      </c>
      <c r="E63" s="93"/>
      <c r="F63" s="93">
        <f t="shared" si="29"/>
        <v>300</v>
      </c>
      <c r="G63" s="93">
        <f t="shared" si="30"/>
        <v>3600</v>
      </c>
      <c r="H63" s="93"/>
      <c r="I63" s="93"/>
      <c r="J63" s="93">
        <f t="shared" si="33"/>
        <v>300</v>
      </c>
      <c r="K63" s="103">
        <f t="shared" si="31"/>
        <v>22.5</v>
      </c>
      <c r="L63" s="83">
        <f t="shared" si="32"/>
        <v>23.25</v>
      </c>
      <c r="M63" s="93"/>
      <c r="N63" s="93">
        <f t="shared" si="34"/>
        <v>3</v>
      </c>
      <c r="O63" s="93"/>
      <c r="P63" s="93"/>
      <c r="Q63" s="93"/>
      <c r="R63" s="119"/>
    </row>
    <row r="64" spans="1:81" s="95" customFormat="1" ht="39.75" x14ac:dyDescent="0.3">
      <c r="A64" s="91">
        <v>6</v>
      </c>
      <c r="B64" s="117" t="s">
        <v>384</v>
      </c>
      <c r="C64" s="362" t="s">
        <v>385</v>
      </c>
      <c r="D64" s="118">
        <v>330.58</v>
      </c>
      <c r="E64" s="93"/>
      <c r="F64" s="93">
        <f t="shared" si="29"/>
        <v>330.58</v>
      </c>
      <c r="G64" s="93">
        <f t="shared" si="30"/>
        <v>3966.96</v>
      </c>
      <c r="H64" s="93"/>
      <c r="I64" s="93"/>
      <c r="J64" s="93">
        <f t="shared" si="33"/>
        <v>330.58</v>
      </c>
      <c r="K64" s="103">
        <f t="shared" si="31"/>
        <v>24.793499999999998</v>
      </c>
      <c r="L64" s="83">
        <f t="shared" si="32"/>
        <v>25.619949999999999</v>
      </c>
      <c r="M64" s="93"/>
      <c r="N64" s="93">
        <f t="shared" si="34"/>
        <v>3.3058000000000001</v>
      </c>
      <c r="O64" s="93"/>
      <c r="P64" s="93"/>
      <c r="Q64" s="93"/>
      <c r="R64" s="119"/>
    </row>
    <row r="65" spans="1:81" s="122" customFormat="1" ht="40.5" customHeight="1" x14ac:dyDescent="0.3">
      <c r="A65" s="91">
        <v>7</v>
      </c>
      <c r="B65" s="117" t="s">
        <v>386</v>
      </c>
      <c r="C65" s="362" t="s">
        <v>387</v>
      </c>
      <c r="D65" s="118">
        <v>300</v>
      </c>
      <c r="E65" s="93"/>
      <c r="F65" s="93">
        <f t="shared" si="29"/>
        <v>300</v>
      </c>
      <c r="G65" s="93">
        <f t="shared" si="30"/>
        <v>3600</v>
      </c>
      <c r="H65" s="93"/>
      <c r="I65" s="93"/>
      <c r="J65" s="93">
        <f t="shared" si="33"/>
        <v>300</v>
      </c>
      <c r="K65" s="103">
        <f t="shared" si="31"/>
        <v>22.5</v>
      </c>
      <c r="L65" s="123"/>
      <c r="M65" s="120"/>
      <c r="N65" s="93">
        <f t="shared" si="34"/>
        <v>3</v>
      </c>
      <c r="O65" s="120"/>
      <c r="P65" s="120"/>
      <c r="Q65" s="120"/>
      <c r="R65" s="121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95"/>
    </row>
    <row r="66" spans="1:81" s="122" customFormat="1" ht="39.75" customHeight="1" x14ac:dyDescent="0.3">
      <c r="A66" s="91">
        <v>8</v>
      </c>
      <c r="B66" s="124" t="s">
        <v>388</v>
      </c>
      <c r="C66" s="364" t="s">
        <v>389</v>
      </c>
      <c r="D66" s="125">
        <v>300</v>
      </c>
      <c r="E66" s="85"/>
      <c r="F66" s="85">
        <f t="shared" si="29"/>
        <v>300</v>
      </c>
      <c r="G66" s="85">
        <f t="shared" si="30"/>
        <v>3600</v>
      </c>
      <c r="H66" s="85"/>
      <c r="I66" s="85"/>
      <c r="J66" s="93">
        <f t="shared" si="33"/>
        <v>300</v>
      </c>
      <c r="K66" s="103">
        <f t="shared" si="31"/>
        <v>22.5</v>
      </c>
      <c r="L66" s="83">
        <f>F66*0.0775</f>
        <v>23.25</v>
      </c>
      <c r="M66" s="93"/>
      <c r="N66" s="93">
        <f t="shared" si="34"/>
        <v>3</v>
      </c>
      <c r="O66" s="93"/>
      <c r="P66" s="93"/>
      <c r="Q66" s="93"/>
      <c r="R66" s="121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</row>
    <row r="67" spans="1:81" s="122" customFormat="1" ht="51.75" customHeight="1" x14ac:dyDescent="0.3">
      <c r="A67" s="91">
        <v>9</v>
      </c>
      <c r="B67" s="117" t="s">
        <v>376</v>
      </c>
      <c r="C67" s="364" t="s">
        <v>391</v>
      </c>
      <c r="D67" s="125">
        <v>300</v>
      </c>
      <c r="E67" s="93"/>
      <c r="F67" s="93">
        <f t="shared" si="29"/>
        <v>300</v>
      </c>
      <c r="G67" s="93">
        <f t="shared" si="30"/>
        <v>3600</v>
      </c>
      <c r="H67" s="93"/>
      <c r="I67" s="93"/>
      <c r="J67" s="93">
        <f t="shared" si="33"/>
        <v>300</v>
      </c>
      <c r="K67" s="103">
        <f t="shared" si="31"/>
        <v>22.5</v>
      </c>
      <c r="L67" s="83">
        <f>F67*0.0775</f>
        <v>23.25</v>
      </c>
      <c r="M67" s="93"/>
      <c r="N67" s="93">
        <f t="shared" si="34"/>
        <v>3</v>
      </c>
      <c r="O67" s="93"/>
      <c r="P67" s="93"/>
      <c r="Q67" s="93"/>
      <c r="R67" s="121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</row>
    <row r="68" spans="1:81" s="122" customFormat="1" ht="36.75" customHeight="1" x14ac:dyDescent="0.3">
      <c r="A68" s="91">
        <v>10</v>
      </c>
      <c r="B68" s="124" t="s">
        <v>392</v>
      </c>
      <c r="C68" s="365" t="s">
        <v>393</v>
      </c>
      <c r="D68" s="125">
        <v>330</v>
      </c>
      <c r="E68" s="93"/>
      <c r="F68" s="93">
        <f t="shared" si="29"/>
        <v>330</v>
      </c>
      <c r="G68" s="93">
        <f t="shared" si="30"/>
        <v>3960</v>
      </c>
      <c r="H68" s="93"/>
      <c r="I68" s="93"/>
      <c r="J68" s="93">
        <f t="shared" si="33"/>
        <v>330</v>
      </c>
      <c r="K68" s="103">
        <f t="shared" si="31"/>
        <v>24.75</v>
      </c>
      <c r="L68" s="83">
        <f>F68*0.0775</f>
        <v>25.574999999999999</v>
      </c>
      <c r="M68" s="93"/>
      <c r="N68" s="93">
        <f t="shared" si="34"/>
        <v>3.3000000000000003</v>
      </c>
      <c r="O68" s="93"/>
      <c r="P68" s="93"/>
      <c r="Q68" s="93"/>
      <c r="R68" s="121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</row>
    <row r="69" spans="1:81" s="122" customFormat="1" ht="51.75" customHeight="1" x14ac:dyDescent="0.3">
      <c r="A69" s="91">
        <v>11</v>
      </c>
      <c r="B69" s="124" t="s">
        <v>394</v>
      </c>
      <c r="C69" s="365" t="s">
        <v>395</v>
      </c>
      <c r="D69" s="125">
        <v>250</v>
      </c>
      <c r="E69" s="93"/>
      <c r="F69" s="93">
        <f t="shared" si="29"/>
        <v>250</v>
      </c>
      <c r="G69" s="93">
        <f t="shared" si="30"/>
        <v>3000</v>
      </c>
      <c r="H69" s="93"/>
      <c r="I69" s="93"/>
      <c r="J69" s="93">
        <f t="shared" si="33"/>
        <v>250</v>
      </c>
      <c r="K69" s="103">
        <f t="shared" si="31"/>
        <v>18.75</v>
      </c>
      <c r="L69" s="83">
        <f>F69*0.0775</f>
        <v>19.375</v>
      </c>
      <c r="M69" s="93"/>
      <c r="N69" s="93">
        <f t="shared" si="34"/>
        <v>2.5</v>
      </c>
      <c r="O69" s="93"/>
      <c r="P69" s="93"/>
      <c r="Q69" s="93"/>
      <c r="R69" s="121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</row>
    <row r="70" spans="1:81" s="122" customFormat="1" ht="39.75" customHeight="1" x14ac:dyDescent="0.3">
      <c r="A70" s="91">
        <v>12</v>
      </c>
      <c r="B70" s="124" t="s">
        <v>505</v>
      </c>
      <c r="C70" s="365" t="s">
        <v>480</v>
      </c>
      <c r="D70" s="125">
        <v>255</v>
      </c>
      <c r="E70" s="93">
        <v>45</v>
      </c>
      <c r="F70" s="93">
        <f t="shared" ref="F70" si="35">D70+E70</f>
        <v>300</v>
      </c>
      <c r="G70" s="93">
        <f t="shared" si="30"/>
        <v>3600</v>
      </c>
      <c r="H70" s="93"/>
      <c r="I70" s="93"/>
      <c r="J70" s="93">
        <f t="shared" si="33"/>
        <v>300</v>
      </c>
      <c r="K70" s="103">
        <f t="shared" si="31"/>
        <v>22.5</v>
      </c>
      <c r="L70" s="83">
        <f>F70*0.0775</f>
        <v>23.25</v>
      </c>
      <c r="M70" s="93"/>
      <c r="N70" s="93">
        <f t="shared" si="34"/>
        <v>3</v>
      </c>
      <c r="O70" s="93"/>
      <c r="P70" s="93"/>
      <c r="Q70" s="93"/>
      <c r="R70" s="121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</row>
    <row r="71" spans="1:81" s="95" customFormat="1" ht="30" customHeight="1" x14ac:dyDescent="0.3">
      <c r="A71" s="582" t="s">
        <v>396</v>
      </c>
      <c r="B71" s="582"/>
      <c r="C71" s="582"/>
      <c r="D71" s="127">
        <f>SUM(D59:D70)</f>
        <v>3775.58</v>
      </c>
      <c r="E71" s="127">
        <f>SUM(E59:E70)</f>
        <v>45</v>
      </c>
      <c r="F71" s="127">
        <f>SUM(F59:F70)</f>
        <v>3820.58</v>
      </c>
      <c r="G71" s="127">
        <f>SUM(G59:G70)</f>
        <v>45846.96</v>
      </c>
      <c r="H71" s="127"/>
      <c r="I71" s="127"/>
      <c r="J71" s="127">
        <f t="shared" ref="J71:Q71" si="36">SUM(J59:J70)</f>
        <v>3820.58</v>
      </c>
      <c r="K71" s="127">
        <f>SUM(K59:K70)</f>
        <v>286.54349999999999</v>
      </c>
      <c r="L71" s="127">
        <f t="shared" si="36"/>
        <v>272.84494999999998</v>
      </c>
      <c r="M71" s="127">
        <f t="shared" si="36"/>
        <v>0</v>
      </c>
      <c r="N71" s="127">
        <f>SUM(N59:N70)</f>
        <v>38.205800000000004</v>
      </c>
      <c r="O71" s="127">
        <f t="shared" si="36"/>
        <v>0</v>
      </c>
      <c r="P71" s="127">
        <f t="shared" si="36"/>
        <v>0</v>
      </c>
      <c r="Q71" s="127">
        <f t="shared" si="36"/>
        <v>0</v>
      </c>
      <c r="R71" s="119"/>
    </row>
    <row r="72" spans="1:81" s="131" customFormat="1" ht="33.75" customHeight="1" x14ac:dyDescent="0.3">
      <c r="A72" s="128"/>
      <c r="B72" s="128"/>
      <c r="C72" s="366"/>
      <c r="D72" s="129"/>
      <c r="E72" s="130" t="s">
        <v>374</v>
      </c>
      <c r="F72" s="130">
        <f>F71*12</f>
        <v>45846.96</v>
      </c>
      <c r="G72" s="130"/>
      <c r="H72" s="130"/>
      <c r="I72" s="130"/>
      <c r="J72" s="130"/>
      <c r="K72" s="129"/>
      <c r="L72" s="129"/>
      <c r="M72" s="129"/>
      <c r="N72" s="129"/>
      <c r="O72" s="129"/>
      <c r="P72" s="129"/>
      <c r="Q72" s="129"/>
      <c r="R72" s="119"/>
    </row>
    <row r="73" spans="1:81" s="131" customFormat="1" ht="33.75" customHeight="1" x14ac:dyDescent="0.3">
      <c r="A73" s="128"/>
      <c r="B73" s="128"/>
      <c r="C73" s="366"/>
      <c r="D73" s="129"/>
      <c r="E73" s="130"/>
      <c r="F73" s="130"/>
      <c r="G73" s="130"/>
      <c r="H73" s="130"/>
      <c r="I73" s="130"/>
      <c r="J73" s="130"/>
      <c r="K73" s="129"/>
      <c r="L73" s="129"/>
      <c r="M73" s="129"/>
      <c r="N73" s="129"/>
      <c r="O73" s="129"/>
      <c r="P73" s="129"/>
      <c r="Q73" s="129"/>
      <c r="R73" s="119"/>
    </row>
    <row r="74" spans="1:81" s="131" customFormat="1" ht="33.75" customHeight="1" x14ac:dyDescent="0.3">
      <c r="A74" s="128"/>
      <c r="B74" s="128"/>
      <c r="C74" s="366"/>
      <c r="D74" s="129"/>
      <c r="E74" s="130"/>
      <c r="F74" s="130"/>
      <c r="G74" s="130"/>
      <c r="H74" s="130"/>
      <c r="I74" s="130"/>
      <c r="J74" s="130"/>
      <c r="K74" s="129"/>
      <c r="L74" s="129"/>
      <c r="M74" s="129"/>
      <c r="N74" s="129"/>
      <c r="O74" s="129"/>
      <c r="P74" s="129"/>
      <c r="Q74" s="129"/>
      <c r="R74" s="119"/>
    </row>
    <row r="75" spans="1:81" s="131" customFormat="1" ht="33.75" customHeight="1" x14ac:dyDescent="0.3">
      <c r="A75" s="128"/>
      <c r="B75" s="128"/>
      <c r="C75" s="366"/>
      <c r="D75" s="129"/>
      <c r="E75" s="130"/>
      <c r="F75" s="130"/>
      <c r="G75" s="130"/>
      <c r="H75" s="130"/>
      <c r="I75" s="130"/>
      <c r="J75" s="130"/>
      <c r="K75" s="129"/>
      <c r="L75" s="129"/>
      <c r="M75" s="129"/>
      <c r="N75" s="129"/>
      <c r="O75" s="129"/>
      <c r="P75" s="129"/>
      <c r="Q75" s="129"/>
      <c r="R75" s="119"/>
    </row>
    <row r="76" spans="1:81" s="131" customFormat="1" ht="33.75" customHeight="1" x14ac:dyDescent="0.3">
      <c r="A76" s="128"/>
      <c r="B76" s="128"/>
      <c r="C76" s="366"/>
      <c r="D76" s="129"/>
      <c r="E76" s="130"/>
      <c r="F76" s="130"/>
      <c r="G76" s="130"/>
      <c r="H76" s="130"/>
      <c r="I76" s="130"/>
      <c r="J76" s="130"/>
      <c r="K76" s="129"/>
      <c r="L76" s="129"/>
      <c r="M76" s="129"/>
      <c r="N76" s="129"/>
      <c r="O76" s="129"/>
      <c r="P76" s="129"/>
      <c r="Q76" s="129"/>
      <c r="R76" s="119"/>
    </row>
    <row r="77" spans="1:81" s="131" customFormat="1" ht="33.75" customHeight="1" x14ac:dyDescent="0.3">
      <c r="A77" s="128"/>
      <c r="B77" s="128"/>
      <c r="C77" s="366"/>
      <c r="D77" s="129"/>
      <c r="E77" s="130"/>
      <c r="F77" s="130"/>
      <c r="G77" s="130"/>
      <c r="H77" s="130"/>
      <c r="I77" s="130"/>
      <c r="J77" s="130"/>
      <c r="K77" s="129"/>
      <c r="L77" s="129"/>
      <c r="M77" s="129"/>
      <c r="N77" s="129"/>
      <c r="O77" s="129"/>
      <c r="P77" s="129"/>
      <c r="Q77" s="129"/>
      <c r="R77" s="119"/>
    </row>
    <row r="78" spans="1:81" s="131" customFormat="1" ht="18.75" customHeight="1" x14ac:dyDescent="0.3">
      <c r="A78" s="128"/>
      <c r="B78" s="584" t="s">
        <v>576</v>
      </c>
      <c r="C78" s="584"/>
      <c r="D78" s="584"/>
      <c r="E78" s="584"/>
      <c r="F78" s="584"/>
      <c r="G78" s="130"/>
      <c r="H78" s="130"/>
      <c r="I78" s="130"/>
      <c r="J78" s="130"/>
      <c r="K78" s="129"/>
      <c r="L78" s="129"/>
      <c r="M78" s="129"/>
      <c r="N78" s="129"/>
      <c r="O78" s="129"/>
      <c r="P78" s="129"/>
      <c r="Q78" s="129"/>
      <c r="R78" s="119"/>
    </row>
    <row r="79" spans="1:81" s="95" customFormat="1" x14ac:dyDescent="0.3">
      <c r="A79" s="91">
        <v>1</v>
      </c>
      <c r="B79" s="137" t="s">
        <v>397</v>
      </c>
      <c r="C79" s="347" t="s">
        <v>398</v>
      </c>
      <c r="D79" s="138">
        <v>150</v>
      </c>
      <c r="E79" s="111"/>
      <c r="F79" s="111">
        <f t="shared" ref="F79:F96" si="37">D79+E79</f>
        <v>150</v>
      </c>
      <c r="G79" s="133">
        <f t="shared" ref="G79:G96" si="38">F79*12</f>
        <v>1800</v>
      </c>
      <c r="H79" s="133"/>
      <c r="I79" s="133"/>
      <c r="J79" s="133">
        <f>F79</f>
        <v>150</v>
      </c>
      <c r="K79" s="134">
        <f t="shared" ref="K79:K96" si="39">F79*0.075</f>
        <v>11.25</v>
      </c>
      <c r="L79" s="135">
        <f>F79*0.0775</f>
        <v>11.625</v>
      </c>
      <c r="M79" s="136"/>
      <c r="N79" s="136">
        <f>F79*0.01</f>
        <v>1.5</v>
      </c>
      <c r="O79" s="136"/>
      <c r="P79" s="136"/>
      <c r="Q79" s="136"/>
      <c r="R79" s="119"/>
    </row>
    <row r="80" spans="1:81" s="95" customFormat="1" x14ac:dyDescent="0.3">
      <c r="A80" s="91">
        <v>2</v>
      </c>
      <c r="B80" s="137" t="s">
        <v>399</v>
      </c>
      <c r="C80" s="347" t="s">
        <v>400</v>
      </c>
      <c r="D80" s="138">
        <v>572</v>
      </c>
      <c r="E80" s="111">
        <v>28</v>
      </c>
      <c r="F80" s="111">
        <f t="shared" si="37"/>
        <v>600</v>
      </c>
      <c r="G80" s="111">
        <f t="shared" si="38"/>
        <v>7200</v>
      </c>
      <c r="H80" s="111"/>
      <c r="I80" s="111"/>
      <c r="J80" s="133">
        <f>F80</f>
        <v>600</v>
      </c>
      <c r="K80" s="139">
        <f t="shared" si="39"/>
        <v>45</v>
      </c>
      <c r="L80" s="140">
        <f>F80*0.0775</f>
        <v>46.5</v>
      </c>
      <c r="M80" s="93"/>
      <c r="N80" s="136">
        <f t="shared" ref="N80:N96" si="40">F80*0.01</f>
        <v>6</v>
      </c>
      <c r="O80" s="93"/>
      <c r="P80" s="93"/>
      <c r="Q80" s="93"/>
      <c r="R80" s="119"/>
    </row>
    <row r="81" spans="1:18" s="95" customFormat="1" x14ac:dyDescent="0.3">
      <c r="A81" s="91">
        <v>3</v>
      </c>
      <c r="B81" s="137" t="s">
        <v>401</v>
      </c>
      <c r="C81" s="347" t="s">
        <v>398</v>
      </c>
      <c r="D81" s="138">
        <v>360</v>
      </c>
      <c r="E81" s="111"/>
      <c r="F81" s="111">
        <f t="shared" si="37"/>
        <v>360</v>
      </c>
      <c r="G81" s="111">
        <f t="shared" si="38"/>
        <v>4320</v>
      </c>
      <c r="H81" s="111"/>
      <c r="I81" s="111"/>
      <c r="J81" s="133">
        <f t="shared" ref="J81:J96" si="41">F81</f>
        <v>360</v>
      </c>
      <c r="K81" s="139">
        <f t="shared" si="39"/>
        <v>27</v>
      </c>
      <c r="L81" s="123"/>
      <c r="M81" s="93"/>
      <c r="N81" s="136">
        <f t="shared" si="40"/>
        <v>3.6</v>
      </c>
      <c r="O81" s="93"/>
      <c r="P81" s="93"/>
      <c r="Q81" s="93"/>
      <c r="R81" s="119"/>
    </row>
    <row r="82" spans="1:18" s="95" customFormat="1" x14ac:dyDescent="0.3">
      <c r="A82" s="91">
        <v>4</v>
      </c>
      <c r="B82" s="137" t="s">
        <v>402</v>
      </c>
      <c r="C82" s="347" t="s">
        <v>398</v>
      </c>
      <c r="D82" s="138">
        <v>360</v>
      </c>
      <c r="E82" s="111"/>
      <c r="F82" s="111">
        <f t="shared" si="37"/>
        <v>360</v>
      </c>
      <c r="G82" s="111">
        <f t="shared" si="38"/>
        <v>4320</v>
      </c>
      <c r="H82" s="111"/>
      <c r="I82" s="111"/>
      <c r="J82" s="133">
        <f t="shared" si="41"/>
        <v>360</v>
      </c>
      <c r="K82" s="139">
        <f t="shared" si="39"/>
        <v>27</v>
      </c>
      <c r="L82" s="140">
        <f t="shared" ref="L82:L96" si="42">F82*0.0775</f>
        <v>27.9</v>
      </c>
      <c r="M82" s="93"/>
      <c r="N82" s="136">
        <f t="shared" si="40"/>
        <v>3.6</v>
      </c>
      <c r="O82" s="93"/>
      <c r="P82" s="93"/>
      <c r="Q82" s="93"/>
      <c r="R82" s="119"/>
    </row>
    <row r="83" spans="1:18" s="95" customFormat="1" x14ac:dyDescent="0.3">
      <c r="A83" s="91">
        <v>5</v>
      </c>
      <c r="B83" s="137" t="s">
        <v>403</v>
      </c>
      <c r="C83" s="347" t="s">
        <v>398</v>
      </c>
      <c r="D83" s="138">
        <v>360</v>
      </c>
      <c r="E83" s="111"/>
      <c r="F83" s="111">
        <f t="shared" si="37"/>
        <v>360</v>
      </c>
      <c r="G83" s="111">
        <f t="shared" si="38"/>
        <v>4320</v>
      </c>
      <c r="H83" s="111"/>
      <c r="I83" s="111"/>
      <c r="J83" s="133">
        <f t="shared" si="41"/>
        <v>360</v>
      </c>
      <c r="K83" s="139">
        <f t="shared" si="39"/>
        <v>27</v>
      </c>
      <c r="L83" s="140">
        <f t="shared" si="42"/>
        <v>27.9</v>
      </c>
      <c r="M83" s="93"/>
      <c r="N83" s="136">
        <f t="shared" si="40"/>
        <v>3.6</v>
      </c>
      <c r="O83" s="93"/>
      <c r="P83" s="93"/>
      <c r="Q83" s="93"/>
      <c r="R83" s="119"/>
    </row>
    <row r="84" spans="1:18" s="95" customFormat="1" ht="27" x14ac:dyDescent="0.3">
      <c r="A84" s="91">
        <v>6</v>
      </c>
      <c r="B84" s="137" t="s">
        <v>404</v>
      </c>
      <c r="C84" s="347" t="s">
        <v>405</v>
      </c>
      <c r="D84" s="138">
        <v>302.22000000000003</v>
      </c>
      <c r="E84" s="111"/>
      <c r="F84" s="111">
        <f t="shared" si="37"/>
        <v>302.22000000000003</v>
      </c>
      <c r="G84" s="111">
        <f t="shared" si="38"/>
        <v>3626.6400000000003</v>
      </c>
      <c r="H84" s="111"/>
      <c r="I84" s="111"/>
      <c r="J84" s="133">
        <f t="shared" si="41"/>
        <v>302.22000000000003</v>
      </c>
      <c r="K84" s="139">
        <f t="shared" si="39"/>
        <v>22.666500000000003</v>
      </c>
      <c r="L84" s="140">
        <f t="shared" si="42"/>
        <v>23.422050000000002</v>
      </c>
      <c r="M84" s="93"/>
      <c r="N84" s="136">
        <f t="shared" si="40"/>
        <v>3.0222000000000002</v>
      </c>
      <c r="O84" s="93"/>
      <c r="P84" s="93"/>
      <c r="Q84" s="93"/>
      <c r="R84" s="119"/>
    </row>
    <row r="85" spans="1:18" s="95" customFormat="1" ht="27" x14ac:dyDescent="0.3">
      <c r="A85" s="91">
        <v>7</v>
      </c>
      <c r="B85" s="137" t="s">
        <v>406</v>
      </c>
      <c r="C85" s="346" t="s">
        <v>407</v>
      </c>
      <c r="D85" s="138">
        <v>335.56</v>
      </c>
      <c r="E85" s="111"/>
      <c r="F85" s="111">
        <f t="shared" si="37"/>
        <v>335.56</v>
      </c>
      <c r="G85" s="111">
        <f t="shared" si="38"/>
        <v>4026.7200000000003</v>
      </c>
      <c r="H85" s="111"/>
      <c r="I85" s="111"/>
      <c r="J85" s="133">
        <f t="shared" si="41"/>
        <v>335.56</v>
      </c>
      <c r="K85" s="139">
        <f t="shared" si="39"/>
        <v>25.166999999999998</v>
      </c>
      <c r="L85" s="140">
        <f t="shared" si="42"/>
        <v>26.0059</v>
      </c>
      <c r="M85" s="93"/>
      <c r="N85" s="136">
        <f t="shared" si="40"/>
        <v>3.3555999999999999</v>
      </c>
      <c r="O85" s="93"/>
      <c r="P85" s="93"/>
      <c r="Q85" s="93"/>
      <c r="R85" s="119"/>
    </row>
    <row r="86" spans="1:18" s="95" customFormat="1" x14ac:dyDescent="0.3">
      <c r="A86" s="91">
        <v>8</v>
      </c>
      <c r="B86" s="137" t="s">
        <v>408</v>
      </c>
      <c r="C86" s="347" t="s">
        <v>409</v>
      </c>
      <c r="D86" s="138">
        <v>335.56</v>
      </c>
      <c r="E86" s="111"/>
      <c r="F86" s="111">
        <f t="shared" si="37"/>
        <v>335.56</v>
      </c>
      <c r="G86" s="111">
        <f t="shared" si="38"/>
        <v>4026.7200000000003</v>
      </c>
      <c r="H86" s="111"/>
      <c r="I86" s="111"/>
      <c r="J86" s="133">
        <f t="shared" si="41"/>
        <v>335.56</v>
      </c>
      <c r="K86" s="139">
        <f t="shared" si="39"/>
        <v>25.166999999999998</v>
      </c>
      <c r="L86" s="140">
        <f t="shared" si="42"/>
        <v>26.0059</v>
      </c>
      <c r="M86" s="93"/>
      <c r="N86" s="136">
        <f t="shared" si="40"/>
        <v>3.3555999999999999</v>
      </c>
      <c r="O86" s="93"/>
      <c r="P86" s="93"/>
      <c r="Q86" s="93"/>
      <c r="R86" s="119"/>
    </row>
    <row r="87" spans="1:18" s="95" customFormat="1" x14ac:dyDescent="0.3">
      <c r="A87" s="91">
        <v>9</v>
      </c>
      <c r="B87" s="137" t="s">
        <v>410</v>
      </c>
      <c r="C87" s="347" t="s">
        <v>411</v>
      </c>
      <c r="D87" s="138">
        <v>300</v>
      </c>
      <c r="E87" s="111"/>
      <c r="F87" s="111">
        <f t="shared" si="37"/>
        <v>300</v>
      </c>
      <c r="G87" s="111">
        <f t="shared" si="38"/>
        <v>3600</v>
      </c>
      <c r="H87" s="111"/>
      <c r="I87" s="111"/>
      <c r="J87" s="133">
        <f t="shared" si="41"/>
        <v>300</v>
      </c>
      <c r="K87" s="139">
        <f t="shared" si="39"/>
        <v>22.5</v>
      </c>
      <c r="L87" s="140">
        <f t="shared" si="42"/>
        <v>23.25</v>
      </c>
      <c r="M87" s="93"/>
      <c r="N87" s="136">
        <f t="shared" si="40"/>
        <v>3</v>
      </c>
      <c r="O87" s="93"/>
      <c r="P87" s="93"/>
      <c r="Q87" s="93"/>
      <c r="R87" s="119"/>
    </row>
    <row r="88" spans="1:18" s="95" customFormat="1" x14ac:dyDescent="0.3">
      <c r="A88" s="91">
        <v>10</v>
      </c>
      <c r="B88" s="137" t="s">
        <v>412</v>
      </c>
      <c r="C88" s="367" t="s">
        <v>413</v>
      </c>
      <c r="D88" s="138">
        <v>300</v>
      </c>
      <c r="E88" s="111"/>
      <c r="F88" s="111">
        <f t="shared" si="37"/>
        <v>300</v>
      </c>
      <c r="G88" s="111">
        <f t="shared" si="38"/>
        <v>3600</v>
      </c>
      <c r="H88" s="111"/>
      <c r="I88" s="111"/>
      <c r="J88" s="133">
        <f t="shared" si="41"/>
        <v>300</v>
      </c>
      <c r="K88" s="139">
        <f t="shared" si="39"/>
        <v>22.5</v>
      </c>
      <c r="L88" s="140">
        <f t="shared" si="42"/>
        <v>23.25</v>
      </c>
      <c r="M88" s="93"/>
      <c r="N88" s="136">
        <f t="shared" si="40"/>
        <v>3</v>
      </c>
      <c r="O88" s="93"/>
      <c r="P88" s="93"/>
      <c r="Q88" s="93"/>
      <c r="R88" s="119"/>
    </row>
    <row r="89" spans="1:18" s="95" customFormat="1" x14ac:dyDescent="0.3">
      <c r="A89" s="91">
        <v>11</v>
      </c>
      <c r="B89" s="137" t="s">
        <v>414</v>
      </c>
      <c r="C89" s="347" t="s">
        <v>409</v>
      </c>
      <c r="D89" s="138">
        <v>300</v>
      </c>
      <c r="E89" s="111"/>
      <c r="F89" s="111">
        <f t="shared" si="37"/>
        <v>300</v>
      </c>
      <c r="G89" s="111">
        <f t="shared" si="38"/>
        <v>3600</v>
      </c>
      <c r="H89" s="111"/>
      <c r="I89" s="111"/>
      <c r="J89" s="133">
        <f t="shared" si="41"/>
        <v>300</v>
      </c>
      <c r="K89" s="139">
        <f t="shared" si="39"/>
        <v>22.5</v>
      </c>
      <c r="L89" s="140">
        <f t="shared" si="42"/>
        <v>23.25</v>
      </c>
      <c r="M89" s="93"/>
      <c r="N89" s="136">
        <f t="shared" si="40"/>
        <v>3</v>
      </c>
      <c r="O89" s="93"/>
      <c r="P89" s="93"/>
      <c r="Q89" s="93"/>
      <c r="R89" s="119"/>
    </row>
    <row r="90" spans="1:18" s="95" customFormat="1" x14ac:dyDescent="0.3">
      <c r="A90" s="91">
        <v>12</v>
      </c>
      <c r="B90" s="137" t="s">
        <v>415</v>
      </c>
      <c r="C90" s="347" t="s">
        <v>416</v>
      </c>
      <c r="D90" s="138">
        <v>300</v>
      </c>
      <c r="E90" s="111"/>
      <c r="F90" s="111">
        <f t="shared" si="37"/>
        <v>300</v>
      </c>
      <c r="G90" s="111">
        <f t="shared" si="38"/>
        <v>3600</v>
      </c>
      <c r="H90" s="111"/>
      <c r="I90" s="111"/>
      <c r="J90" s="133">
        <f t="shared" si="41"/>
        <v>300</v>
      </c>
      <c r="K90" s="139">
        <f t="shared" si="39"/>
        <v>22.5</v>
      </c>
      <c r="L90" s="140">
        <f t="shared" si="42"/>
        <v>23.25</v>
      </c>
      <c r="M90" s="93"/>
      <c r="N90" s="136">
        <f t="shared" si="40"/>
        <v>3</v>
      </c>
      <c r="O90" s="93"/>
      <c r="P90" s="93"/>
      <c r="Q90" s="93"/>
      <c r="R90" s="119"/>
    </row>
    <row r="91" spans="1:18" s="95" customFormat="1" x14ac:dyDescent="0.3">
      <c r="A91" s="91">
        <v>13</v>
      </c>
      <c r="B91" s="322" t="s">
        <v>556</v>
      </c>
      <c r="C91" s="368" t="s">
        <v>398</v>
      </c>
      <c r="D91" s="138">
        <v>350</v>
      </c>
      <c r="E91" s="111"/>
      <c r="F91" s="111">
        <f t="shared" si="37"/>
        <v>350</v>
      </c>
      <c r="G91" s="111">
        <f t="shared" si="38"/>
        <v>4200</v>
      </c>
      <c r="H91" s="111"/>
      <c r="I91" s="111"/>
      <c r="J91" s="133">
        <f t="shared" si="41"/>
        <v>350</v>
      </c>
      <c r="K91" s="139">
        <f t="shared" si="39"/>
        <v>26.25</v>
      </c>
      <c r="L91" s="140">
        <f t="shared" si="42"/>
        <v>27.125</v>
      </c>
      <c r="M91" s="93"/>
      <c r="N91" s="136">
        <f t="shared" si="40"/>
        <v>3.5</v>
      </c>
      <c r="O91" s="93"/>
      <c r="P91" s="93"/>
      <c r="Q91" s="93"/>
      <c r="R91" s="119"/>
    </row>
    <row r="92" spans="1:18" s="95" customFormat="1" x14ac:dyDescent="0.3">
      <c r="A92" s="91">
        <v>14</v>
      </c>
      <c r="B92" s="322" t="s">
        <v>564</v>
      </c>
      <c r="C92" s="368" t="s">
        <v>566</v>
      </c>
      <c r="D92" s="138">
        <v>350</v>
      </c>
      <c r="E92" s="111"/>
      <c r="F92" s="111">
        <f t="shared" si="37"/>
        <v>350</v>
      </c>
      <c r="G92" s="111">
        <f t="shared" si="38"/>
        <v>4200</v>
      </c>
      <c r="H92" s="111"/>
      <c r="I92" s="111"/>
      <c r="J92" s="133">
        <f t="shared" si="41"/>
        <v>350</v>
      </c>
      <c r="K92" s="139">
        <f t="shared" si="39"/>
        <v>26.25</v>
      </c>
      <c r="L92" s="140">
        <f t="shared" si="42"/>
        <v>27.125</v>
      </c>
      <c r="M92" s="93"/>
      <c r="N92" s="136">
        <f t="shared" si="40"/>
        <v>3.5</v>
      </c>
      <c r="O92" s="93"/>
      <c r="P92" s="93"/>
      <c r="Q92" s="93"/>
      <c r="R92" s="119"/>
    </row>
    <row r="93" spans="1:18" s="95" customFormat="1" x14ac:dyDescent="0.3">
      <c r="A93" s="91">
        <v>15</v>
      </c>
      <c r="B93" s="141" t="s">
        <v>417</v>
      </c>
      <c r="C93" s="369" t="s">
        <v>418</v>
      </c>
      <c r="D93" s="142">
        <v>300</v>
      </c>
      <c r="E93" s="93"/>
      <c r="F93" s="93">
        <f t="shared" si="37"/>
        <v>300</v>
      </c>
      <c r="G93" s="93">
        <f t="shared" si="38"/>
        <v>3600</v>
      </c>
      <c r="H93" s="93"/>
      <c r="I93" s="93"/>
      <c r="J93" s="133">
        <f t="shared" si="41"/>
        <v>300</v>
      </c>
      <c r="K93" s="139">
        <f t="shared" si="39"/>
        <v>22.5</v>
      </c>
      <c r="L93" s="140">
        <f t="shared" si="42"/>
        <v>23.25</v>
      </c>
      <c r="M93" s="93"/>
      <c r="N93" s="136">
        <f t="shared" si="40"/>
        <v>3</v>
      </c>
      <c r="O93" s="93"/>
      <c r="P93" s="93"/>
      <c r="Q93" s="93"/>
      <c r="R93" s="119"/>
    </row>
    <row r="94" spans="1:18" s="95" customFormat="1" x14ac:dyDescent="0.3">
      <c r="A94" s="91">
        <v>16</v>
      </c>
      <c r="B94" s="141" t="s">
        <v>419</v>
      </c>
      <c r="C94" s="369" t="s">
        <v>420</v>
      </c>
      <c r="D94" s="142">
        <v>170</v>
      </c>
      <c r="E94" s="93"/>
      <c r="F94" s="93">
        <f t="shared" si="37"/>
        <v>170</v>
      </c>
      <c r="G94" s="93">
        <f t="shared" si="38"/>
        <v>2040</v>
      </c>
      <c r="H94" s="93"/>
      <c r="I94" s="93"/>
      <c r="J94" s="133">
        <f t="shared" si="41"/>
        <v>170</v>
      </c>
      <c r="K94" s="139">
        <f t="shared" si="39"/>
        <v>12.75</v>
      </c>
      <c r="L94" s="140">
        <f t="shared" si="42"/>
        <v>13.175000000000001</v>
      </c>
      <c r="M94" s="93"/>
      <c r="N94" s="136">
        <f t="shared" si="40"/>
        <v>1.7</v>
      </c>
      <c r="O94" s="93"/>
      <c r="P94" s="93"/>
      <c r="Q94" s="93"/>
      <c r="R94" s="119"/>
    </row>
    <row r="95" spans="1:18" s="95" customFormat="1" x14ac:dyDescent="0.3">
      <c r="A95" s="91">
        <v>17</v>
      </c>
      <c r="B95" s="141" t="s">
        <v>421</v>
      </c>
      <c r="C95" s="369" t="s">
        <v>422</v>
      </c>
      <c r="D95" s="142">
        <v>300</v>
      </c>
      <c r="E95" s="93"/>
      <c r="F95" s="93">
        <f t="shared" si="37"/>
        <v>300</v>
      </c>
      <c r="G95" s="93">
        <f t="shared" si="38"/>
        <v>3600</v>
      </c>
      <c r="H95" s="93"/>
      <c r="I95" s="93"/>
      <c r="J95" s="133">
        <f t="shared" si="41"/>
        <v>300</v>
      </c>
      <c r="K95" s="139">
        <f t="shared" si="39"/>
        <v>22.5</v>
      </c>
      <c r="L95" s="140">
        <f t="shared" si="42"/>
        <v>23.25</v>
      </c>
      <c r="M95" s="93"/>
      <c r="N95" s="136">
        <f t="shared" si="40"/>
        <v>3</v>
      </c>
      <c r="O95" s="93"/>
      <c r="P95" s="93"/>
      <c r="Q95" s="93"/>
      <c r="R95" s="119"/>
    </row>
    <row r="96" spans="1:18" s="95" customFormat="1" x14ac:dyDescent="0.3">
      <c r="A96" s="91">
        <v>18</v>
      </c>
      <c r="B96" s="141" t="s">
        <v>423</v>
      </c>
      <c r="C96" s="369" t="s">
        <v>418</v>
      </c>
      <c r="D96" s="142">
        <v>170</v>
      </c>
      <c r="E96" s="93"/>
      <c r="F96" s="93">
        <f t="shared" si="37"/>
        <v>170</v>
      </c>
      <c r="G96" s="93">
        <f t="shared" si="38"/>
        <v>2040</v>
      </c>
      <c r="H96" s="93"/>
      <c r="I96" s="93"/>
      <c r="J96" s="133">
        <f t="shared" si="41"/>
        <v>170</v>
      </c>
      <c r="K96" s="139">
        <f t="shared" si="39"/>
        <v>12.75</v>
      </c>
      <c r="L96" s="140">
        <f t="shared" si="42"/>
        <v>13.175000000000001</v>
      </c>
      <c r="M96" s="93"/>
      <c r="N96" s="136">
        <f t="shared" si="40"/>
        <v>1.7</v>
      </c>
      <c r="O96" s="93"/>
      <c r="P96" s="93"/>
      <c r="Q96" s="93"/>
      <c r="R96" s="119"/>
    </row>
    <row r="97" spans="1:81" s="95" customFormat="1" ht="21" customHeight="1" x14ac:dyDescent="0.3">
      <c r="A97" s="91"/>
      <c r="B97" s="585" t="s">
        <v>424</v>
      </c>
      <c r="C97" s="586"/>
      <c r="D97" s="343">
        <f>SUM(D79:D96)</f>
        <v>5615.34</v>
      </c>
      <c r="E97" s="343">
        <f t="shared" ref="E97:F97" si="43">SUM(E79:E96)</f>
        <v>28</v>
      </c>
      <c r="F97" s="343">
        <f t="shared" si="43"/>
        <v>5643.34</v>
      </c>
      <c r="G97" s="144">
        <f t="shared" ref="G97:P97" si="44">SUM(G79:G96)</f>
        <v>67720.08</v>
      </c>
      <c r="H97" s="144"/>
      <c r="I97" s="144"/>
      <c r="J97" s="144">
        <f>SUM(J79:J96)</f>
        <v>5643.34</v>
      </c>
      <c r="K97" s="144">
        <f>SUM(K79:K96)</f>
        <v>423.25049999999999</v>
      </c>
      <c r="L97" s="144">
        <f>SUM(L79:L96)</f>
        <v>409.45885000000004</v>
      </c>
      <c r="M97" s="144">
        <f t="shared" si="44"/>
        <v>0</v>
      </c>
      <c r="N97" s="144">
        <f>SUM(N79:N96)</f>
        <v>56.433400000000006</v>
      </c>
      <c r="O97" s="144">
        <f t="shared" si="44"/>
        <v>0</v>
      </c>
      <c r="P97" s="144">
        <f t="shared" si="44"/>
        <v>0</v>
      </c>
      <c r="Q97" s="130"/>
      <c r="R97" s="119"/>
    </row>
    <row r="98" spans="1:81" s="95" customFormat="1" ht="18" customHeight="1" x14ac:dyDescent="0.3">
      <c r="A98" s="132"/>
      <c r="B98" s="131"/>
      <c r="C98" s="370"/>
      <c r="D98" s="351"/>
      <c r="E98" s="351" t="s">
        <v>302</v>
      </c>
      <c r="F98" s="344">
        <f>F97*12</f>
        <v>67720.08</v>
      </c>
      <c r="M98" s="145"/>
      <c r="N98" s="145"/>
      <c r="O98" s="145"/>
      <c r="P98" s="145"/>
      <c r="Q98" s="145"/>
      <c r="R98" s="119"/>
    </row>
    <row r="99" spans="1:81" s="95" customFormat="1" x14ac:dyDescent="0.3">
      <c r="A99" s="132"/>
      <c r="B99" s="164"/>
      <c r="C99" s="371"/>
      <c r="D99" s="164"/>
      <c r="M99" s="145"/>
      <c r="N99" s="145"/>
      <c r="O99" s="145"/>
      <c r="P99" s="145"/>
      <c r="Q99" s="145"/>
      <c r="R99" s="119"/>
    </row>
    <row r="100" spans="1:81" s="131" customFormat="1" x14ac:dyDescent="0.3">
      <c r="A100" s="132"/>
      <c r="B100" s="341" t="s">
        <v>572</v>
      </c>
      <c r="C100" s="372"/>
      <c r="D100" s="147"/>
      <c r="E100" s="145"/>
      <c r="F100" s="145"/>
      <c r="G100" s="145"/>
      <c r="H100" s="145"/>
      <c r="I100" s="145"/>
      <c r="J100" s="145"/>
      <c r="K100" s="148"/>
      <c r="L100" s="149"/>
      <c r="M100" s="145"/>
      <c r="N100" s="145"/>
      <c r="O100" s="145"/>
      <c r="P100" s="145"/>
      <c r="Q100" s="145"/>
      <c r="R100" s="119"/>
    </row>
    <row r="101" spans="1:81" s="95" customFormat="1" x14ac:dyDescent="0.3">
      <c r="A101" s="91">
        <v>1</v>
      </c>
      <c r="B101" s="339" t="s">
        <v>426</v>
      </c>
      <c r="C101" s="373" t="s">
        <v>427</v>
      </c>
      <c r="D101" s="340">
        <v>468.32</v>
      </c>
      <c r="E101" s="93"/>
      <c r="F101" s="93">
        <f>D101+E101</f>
        <v>468.32</v>
      </c>
      <c r="G101" s="136">
        <f>F101*12</f>
        <v>5619.84</v>
      </c>
      <c r="H101" s="136"/>
      <c r="I101" s="136"/>
      <c r="J101" s="136">
        <f>F101</f>
        <v>468.32</v>
      </c>
      <c r="K101" s="150">
        <f>F101*0.075</f>
        <v>35.123999999999995</v>
      </c>
      <c r="L101" s="151">
        <f>F101*0.0775</f>
        <v>36.294800000000002</v>
      </c>
      <c r="M101" s="145"/>
      <c r="N101" s="93">
        <f>F101*0.01</f>
        <v>4.6832000000000003</v>
      </c>
      <c r="O101" s="145"/>
      <c r="P101" s="145"/>
      <c r="Q101" s="145"/>
      <c r="R101" s="119"/>
    </row>
    <row r="102" spans="1:81" s="95" customFormat="1" x14ac:dyDescent="0.3">
      <c r="A102" s="91">
        <v>2</v>
      </c>
      <c r="B102" s="152" t="s">
        <v>482</v>
      </c>
      <c r="C102" s="374" t="s">
        <v>428</v>
      </c>
      <c r="D102" s="153">
        <v>300</v>
      </c>
      <c r="E102" s="93"/>
      <c r="F102" s="93">
        <f>D102+E102</f>
        <v>300</v>
      </c>
      <c r="G102" s="93">
        <f>F102*12</f>
        <v>3600</v>
      </c>
      <c r="H102" s="93"/>
      <c r="I102" s="93"/>
      <c r="J102" s="93">
        <f>F102</f>
        <v>300</v>
      </c>
      <c r="K102" s="103">
        <f>F102*0.075</f>
        <v>22.5</v>
      </c>
      <c r="L102" s="83">
        <f>F102*0.0775</f>
        <v>23.25</v>
      </c>
      <c r="M102" s="145"/>
      <c r="N102" s="93">
        <f>F102*0.01</f>
        <v>3</v>
      </c>
      <c r="O102" s="145"/>
      <c r="P102" s="145"/>
      <c r="Q102" s="145"/>
      <c r="R102" s="119"/>
    </row>
    <row r="103" spans="1:81" s="95" customFormat="1" x14ac:dyDescent="0.3">
      <c r="A103" s="91"/>
      <c r="B103" s="588" t="s">
        <v>429</v>
      </c>
      <c r="C103" s="589"/>
      <c r="D103" s="589"/>
      <c r="E103" s="590"/>
      <c r="F103" s="98">
        <f t="shared" ref="F103:R103" si="45">SUM(F101:F102)</f>
        <v>768.31999999999994</v>
      </c>
      <c r="G103" s="154">
        <f t="shared" si="45"/>
        <v>9219.84</v>
      </c>
      <c r="H103" s="154"/>
      <c r="I103" s="154"/>
      <c r="J103" s="154">
        <f t="shared" si="45"/>
        <v>768.31999999999994</v>
      </c>
      <c r="K103" s="154">
        <f>SUM(K101:K102)</f>
        <v>57.623999999999995</v>
      </c>
      <c r="L103" s="154">
        <f>SUM(L101:L102)</f>
        <v>59.544800000000002</v>
      </c>
      <c r="M103" s="154">
        <f t="shared" si="45"/>
        <v>0</v>
      </c>
      <c r="N103" s="154">
        <f>SUM(N101:N102)</f>
        <v>7.6832000000000003</v>
      </c>
      <c r="O103" s="154">
        <f t="shared" si="45"/>
        <v>0</v>
      </c>
      <c r="P103" s="154">
        <f t="shared" si="45"/>
        <v>0</v>
      </c>
      <c r="Q103" s="154">
        <f t="shared" si="45"/>
        <v>0</v>
      </c>
      <c r="R103" s="154">
        <f t="shared" si="45"/>
        <v>0</v>
      </c>
    </row>
    <row r="104" spans="1:81" s="95" customFormat="1" ht="13.5" customHeight="1" x14ac:dyDescent="0.3">
      <c r="A104" s="132"/>
      <c r="B104" s="155"/>
      <c r="C104" s="375"/>
      <c r="D104" s="587" t="s">
        <v>302</v>
      </c>
      <c r="E104" s="587"/>
      <c r="F104" s="130">
        <f>F103*12</f>
        <v>9219.84</v>
      </c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</row>
    <row r="105" spans="1:81" s="131" customFormat="1" x14ac:dyDescent="0.3">
      <c r="A105" s="132"/>
      <c r="B105" s="155" t="s">
        <v>574</v>
      </c>
      <c r="C105" s="375"/>
      <c r="D105" s="156"/>
      <c r="E105" s="130"/>
      <c r="F105" s="130"/>
      <c r="G105" s="130"/>
      <c r="H105" s="130"/>
      <c r="I105" s="130"/>
      <c r="J105" s="130"/>
      <c r="K105" s="157"/>
      <c r="L105" s="149"/>
      <c r="M105" s="145"/>
      <c r="N105" s="145"/>
      <c r="O105" s="145"/>
      <c r="P105" s="145"/>
      <c r="Q105" s="145"/>
      <c r="R105" s="119"/>
    </row>
    <row r="106" spans="1:81" s="131" customFormat="1" ht="30" customHeight="1" x14ac:dyDescent="0.3">
      <c r="A106" s="349"/>
      <c r="B106" s="338"/>
      <c r="C106" s="376" t="s">
        <v>569</v>
      </c>
      <c r="D106" s="329">
        <v>450</v>
      </c>
      <c r="E106" s="98"/>
      <c r="F106" s="98">
        <v>450</v>
      </c>
      <c r="G106" s="130"/>
      <c r="H106" s="130"/>
      <c r="I106" s="130"/>
      <c r="J106" s="130">
        <v>0</v>
      </c>
      <c r="K106" s="157"/>
      <c r="L106" s="149"/>
      <c r="M106" s="145"/>
      <c r="N106" s="145"/>
      <c r="O106" s="145"/>
      <c r="P106" s="145"/>
      <c r="Q106" s="145"/>
      <c r="R106" s="119"/>
    </row>
    <row r="107" spans="1:81" s="131" customFormat="1" ht="12.75" customHeight="1" x14ac:dyDescent="0.3">
      <c r="A107" s="132"/>
      <c r="B107" s="155"/>
      <c r="C107" s="375"/>
      <c r="D107" s="587" t="s">
        <v>302</v>
      </c>
      <c r="E107" s="587"/>
      <c r="F107" s="130">
        <f>F106*12</f>
        <v>5400</v>
      </c>
      <c r="G107" s="130"/>
      <c r="H107" s="130"/>
      <c r="I107" s="130"/>
      <c r="J107" s="130"/>
      <c r="K107" s="157"/>
      <c r="L107" s="149"/>
      <c r="M107" s="145"/>
      <c r="N107" s="145"/>
      <c r="O107" s="145"/>
      <c r="P107" s="145"/>
      <c r="Q107" s="145"/>
      <c r="R107" s="119"/>
    </row>
    <row r="108" spans="1:81" s="131" customFormat="1" x14ac:dyDescent="0.3">
      <c r="A108" s="132"/>
      <c r="B108" s="155" t="s">
        <v>573</v>
      </c>
      <c r="C108" s="377"/>
      <c r="D108" s="158"/>
      <c r="E108" s="145"/>
      <c r="F108" s="145"/>
      <c r="G108" s="145"/>
      <c r="H108" s="145"/>
      <c r="I108" s="145"/>
      <c r="J108" s="145"/>
      <c r="K108" s="148"/>
      <c r="L108" s="149"/>
      <c r="M108" s="145"/>
      <c r="N108" s="145"/>
      <c r="O108" s="145"/>
      <c r="P108" s="145"/>
      <c r="Q108" s="145"/>
      <c r="R108" s="119"/>
    </row>
    <row r="109" spans="1:81" s="95" customFormat="1" ht="21" customHeight="1" x14ac:dyDescent="0.3">
      <c r="A109" s="349">
        <v>1</v>
      </c>
      <c r="B109" s="326"/>
      <c r="C109" s="378" t="s">
        <v>431</v>
      </c>
      <c r="D109" s="327">
        <v>300</v>
      </c>
      <c r="E109" s="321"/>
      <c r="F109" s="321">
        <f>D109+E109</f>
        <v>300</v>
      </c>
      <c r="G109" s="93">
        <f>F109*12</f>
        <v>3600</v>
      </c>
      <c r="H109" s="93"/>
      <c r="I109" s="93"/>
      <c r="J109" s="93">
        <v>0</v>
      </c>
      <c r="K109" s="126"/>
      <c r="L109" s="123"/>
      <c r="M109" s="93"/>
      <c r="N109" s="93"/>
      <c r="O109" s="93"/>
      <c r="P109" s="93"/>
      <c r="Q109" s="93"/>
      <c r="R109" s="94"/>
    </row>
    <row r="110" spans="1:81" s="105" customFormat="1" ht="28.5" customHeight="1" x14ac:dyDescent="0.3">
      <c r="A110" s="350">
        <v>2</v>
      </c>
      <c r="B110" s="328" t="s">
        <v>443</v>
      </c>
      <c r="C110" s="345" t="s">
        <v>432</v>
      </c>
      <c r="D110" s="329">
        <v>300</v>
      </c>
      <c r="E110" s="330"/>
      <c r="F110" s="331">
        <f>D110+E110</f>
        <v>300</v>
      </c>
      <c r="G110" s="93">
        <f>F110*12</f>
        <v>3600</v>
      </c>
      <c r="H110" s="93"/>
      <c r="I110" s="93"/>
      <c r="J110" s="139">
        <v>0</v>
      </c>
      <c r="K110" s="139">
        <v>0</v>
      </c>
      <c r="L110" s="140">
        <v>0</v>
      </c>
      <c r="M110" s="102"/>
      <c r="N110" s="93">
        <v>0</v>
      </c>
      <c r="O110" s="103"/>
      <c r="P110" s="103"/>
      <c r="Q110" s="103"/>
      <c r="R110" s="104"/>
      <c r="S110" s="164"/>
      <c r="T110" s="164"/>
      <c r="U110" s="164"/>
      <c r="V110" s="164"/>
      <c r="W110" s="164"/>
      <c r="X110" s="164"/>
      <c r="Y110" s="164"/>
      <c r="Z110" s="164"/>
      <c r="AA110" s="164"/>
      <c r="AB110" s="164"/>
      <c r="AC110" s="164"/>
      <c r="AD110" s="164"/>
      <c r="AE110" s="164"/>
      <c r="AF110" s="164"/>
      <c r="AG110" s="164"/>
      <c r="AH110" s="164"/>
      <c r="AI110" s="164"/>
      <c r="AJ110" s="164"/>
      <c r="AK110" s="164"/>
      <c r="AL110" s="164"/>
      <c r="AM110" s="164"/>
      <c r="AN110" s="164"/>
      <c r="AO110" s="164"/>
      <c r="AP110" s="164"/>
      <c r="AQ110" s="164"/>
      <c r="AR110" s="164"/>
      <c r="AS110" s="164"/>
      <c r="AT110" s="164"/>
      <c r="AU110" s="164"/>
      <c r="AV110" s="164"/>
      <c r="AW110" s="164"/>
      <c r="AX110" s="164"/>
      <c r="AY110" s="164"/>
      <c r="AZ110" s="164"/>
      <c r="BA110" s="164"/>
      <c r="BB110" s="164"/>
      <c r="BC110" s="164"/>
      <c r="BD110" s="164"/>
      <c r="BE110" s="164"/>
      <c r="BF110" s="164"/>
      <c r="BG110" s="164"/>
      <c r="BH110" s="164"/>
      <c r="BI110" s="164"/>
      <c r="BJ110" s="164"/>
      <c r="BK110" s="164"/>
      <c r="BL110" s="164"/>
      <c r="BM110" s="164"/>
      <c r="BN110" s="164"/>
      <c r="BO110" s="164"/>
      <c r="BP110" s="164"/>
      <c r="BQ110" s="164"/>
      <c r="BR110" s="164"/>
      <c r="BS110" s="164"/>
      <c r="BT110" s="164"/>
      <c r="BU110" s="164"/>
      <c r="BV110" s="164"/>
      <c r="BW110" s="164"/>
      <c r="BX110" s="164"/>
      <c r="BY110" s="164"/>
      <c r="BZ110" s="164"/>
      <c r="CA110" s="164"/>
      <c r="CB110" s="164"/>
      <c r="CC110" s="164"/>
    </row>
    <row r="111" spans="1:81" s="105" customFormat="1" ht="17.25" customHeight="1" x14ac:dyDescent="0.3">
      <c r="A111" s="350">
        <v>3</v>
      </c>
      <c r="B111" s="328" t="s">
        <v>568</v>
      </c>
      <c r="C111" s="345" t="s">
        <v>567</v>
      </c>
      <c r="D111" s="329">
        <v>400</v>
      </c>
      <c r="E111" s="330"/>
      <c r="F111" s="331">
        <v>400</v>
      </c>
      <c r="G111" s="348"/>
      <c r="H111" s="348"/>
      <c r="I111" s="348"/>
      <c r="J111" s="159"/>
      <c r="K111" s="159"/>
      <c r="L111" s="160"/>
      <c r="M111" s="102"/>
      <c r="N111" s="93"/>
      <c r="O111" s="103"/>
      <c r="P111" s="103"/>
      <c r="Q111" s="103"/>
      <c r="R111" s="104"/>
      <c r="S111" s="164"/>
      <c r="T111" s="164"/>
      <c r="U111" s="164"/>
      <c r="V111" s="164"/>
      <c r="W111" s="164"/>
      <c r="X111" s="164"/>
      <c r="Y111" s="164"/>
      <c r="Z111" s="164"/>
      <c r="AA111" s="164"/>
      <c r="AB111" s="164"/>
      <c r="AC111" s="164"/>
      <c r="AD111" s="164"/>
      <c r="AE111" s="164"/>
      <c r="AF111" s="164"/>
      <c r="AG111" s="164"/>
      <c r="AH111" s="164"/>
      <c r="AI111" s="164"/>
      <c r="AJ111" s="164"/>
      <c r="AK111" s="164"/>
      <c r="AL111" s="164"/>
      <c r="AM111" s="164"/>
      <c r="AN111" s="164"/>
      <c r="AO111" s="164"/>
      <c r="AP111" s="164"/>
      <c r="AQ111" s="164"/>
      <c r="AR111" s="164"/>
      <c r="AS111" s="164"/>
      <c r="AT111" s="164"/>
      <c r="AU111" s="164"/>
      <c r="AV111" s="164"/>
      <c r="AW111" s="164"/>
      <c r="AX111" s="164"/>
      <c r="AY111" s="164"/>
      <c r="AZ111" s="164"/>
      <c r="BA111" s="164"/>
      <c r="BB111" s="164"/>
      <c r="BC111" s="164"/>
      <c r="BD111" s="164"/>
      <c r="BE111" s="164"/>
      <c r="BF111" s="164"/>
      <c r="BG111" s="164"/>
      <c r="BH111" s="164"/>
      <c r="BI111" s="164"/>
      <c r="BJ111" s="164"/>
      <c r="BK111" s="164"/>
      <c r="BL111" s="164"/>
      <c r="BM111" s="164"/>
      <c r="BN111" s="164"/>
      <c r="BO111" s="164"/>
      <c r="BP111" s="164"/>
      <c r="BQ111" s="164"/>
      <c r="BR111" s="164"/>
      <c r="BS111" s="164"/>
      <c r="BT111" s="164"/>
      <c r="BU111" s="164"/>
      <c r="BV111" s="164"/>
      <c r="BW111" s="164"/>
      <c r="BX111" s="164"/>
      <c r="BY111" s="164"/>
      <c r="BZ111" s="164"/>
      <c r="CA111" s="164"/>
      <c r="CB111" s="164"/>
      <c r="CC111" s="164"/>
    </row>
    <row r="112" spans="1:81" s="105" customFormat="1" ht="17.25" customHeight="1" x14ac:dyDescent="0.3">
      <c r="A112" s="350">
        <v>4</v>
      </c>
      <c r="B112" s="328"/>
      <c r="C112" s="345" t="s">
        <v>575</v>
      </c>
      <c r="D112" s="329">
        <v>150</v>
      </c>
      <c r="E112" s="330"/>
      <c r="F112" s="331">
        <v>150</v>
      </c>
      <c r="G112" s="145"/>
      <c r="H112" s="145"/>
      <c r="I112" s="145"/>
      <c r="J112" s="323"/>
      <c r="K112" s="323"/>
      <c r="L112" s="324"/>
      <c r="M112" s="325"/>
      <c r="N112" s="145"/>
      <c r="O112" s="263"/>
      <c r="P112" s="263"/>
      <c r="Q112" s="263"/>
      <c r="R112" s="110"/>
      <c r="S112" s="164"/>
      <c r="T112" s="164"/>
      <c r="U112" s="164"/>
      <c r="V112" s="164"/>
      <c r="W112" s="164"/>
      <c r="X112" s="164"/>
      <c r="Y112" s="164"/>
      <c r="Z112" s="164"/>
      <c r="AA112" s="164"/>
      <c r="AB112" s="164"/>
      <c r="AC112" s="164"/>
      <c r="AD112" s="164"/>
      <c r="AE112" s="164"/>
      <c r="AF112" s="164"/>
      <c r="AG112" s="164"/>
      <c r="AH112" s="164"/>
      <c r="AI112" s="164"/>
      <c r="AJ112" s="164"/>
      <c r="AK112" s="164"/>
      <c r="AL112" s="164"/>
      <c r="AM112" s="164"/>
      <c r="AN112" s="164"/>
      <c r="AO112" s="164"/>
      <c r="AP112" s="164"/>
      <c r="AQ112" s="164"/>
      <c r="AR112" s="164"/>
      <c r="AS112" s="164"/>
      <c r="AT112" s="164"/>
      <c r="AU112" s="164"/>
      <c r="AV112" s="164"/>
      <c r="AW112" s="164"/>
      <c r="AX112" s="164"/>
      <c r="AY112" s="164"/>
      <c r="AZ112" s="164"/>
      <c r="BA112" s="164"/>
      <c r="BB112" s="164"/>
      <c r="BC112" s="164"/>
      <c r="BD112" s="164"/>
      <c r="BE112" s="164"/>
      <c r="BF112" s="164"/>
      <c r="BG112" s="164"/>
      <c r="BH112" s="164"/>
      <c r="BI112" s="164"/>
      <c r="BJ112" s="164"/>
      <c r="BK112" s="164"/>
      <c r="BL112" s="164"/>
      <c r="BM112" s="164"/>
      <c r="BN112" s="164"/>
      <c r="BO112" s="164"/>
      <c r="BP112" s="164"/>
      <c r="BQ112" s="164"/>
      <c r="BR112" s="164"/>
      <c r="BS112" s="164"/>
      <c r="BT112" s="164"/>
      <c r="BU112" s="164"/>
      <c r="BV112" s="164"/>
      <c r="BW112" s="164"/>
      <c r="BX112" s="164"/>
      <c r="BY112" s="164"/>
      <c r="BZ112" s="164"/>
      <c r="CA112" s="164"/>
      <c r="CB112" s="164"/>
      <c r="CC112" s="164"/>
    </row>
    <row r="113" spans="1:23" s="164" customFormat="1" ht="32.25" customHeight="1" x14ac:dyDescent="0.3">
      <c r="A113" s="128"/>
      <c r="B113" s="161" t="s">
        <v>433</v>
      </c>
      <c r="C113" s="379"/>
      <c r="D113" s="162">
        <f>SUM(D109:D111)</f>
        <v>1000</v>
      </c>
      <c r="E113" s="162">
        <f t="shared" ref="E113" si="46">SUM(E109:E111)</f>
        <v>0</v>
      </c>
      <c r="F113" s="162">
        <f>SUM(F109:F112)</f>
        <v>1150</v>
      </c>
      <c r="G113" s="162">
        <f>SUM(G109:G110)</f>
        <v>7200</v>
      </c>
      <c r="H113" s="162"/>
      <c r="I113" s="162"/>
      <c r="J113" s="162">
        <f t="shared" ref="J113:S113" si="47">SUM(J109:J110)</f>
        <v>0</v>
      </c>
      <c r="K113" s="162">
        <f t="shared" si="47"/>
        <v>0</v>
      </c>
      <c r="L113" s="162">
        <f t="shared" si="47"/>
        <v>0</v>
      </c>
      <c r="M113" s="162">
        <f t="shared" si="47"/>
        <v>0</v>
      </c>
      <c r="N113" s="162">
        <f>SUM(N109:N110)</f>
        <v>0</v>
      </c>
      <c r="O113" s="162">
        <f t="shared" si="47"/>
        <v>0</v>
      </c>
      <c r="P113" s="162">
        <f t="shared" si="47"/>
        <v>0</v>
      </c>
      <c r="Q113" s="162">
        <f t="shared" si="47"/>
        <v>0</v>
      </c>
      <c r="R113" s="162">
        <f t="shared" si="47"/>
        <v>0</v>
      </c>
      <c r="S113" s="162">
        <f t="shared" si="47"/>
        <v>0</v>
      </c>
      <c r="T113" s="162">
        <f>SUM(T110:T110)</f>
        <v>0</v>
      </c>
      <c r="U113" s="162">
        <f>SUM(U110:U110)</f>
        <v>0</v>
      </c>
      <c r="V113" s="163"/>
    </row>
    <row r="114" spans="1:23" s="164" customFormat="1" ht="11.25" customHeight="1" x14ac:dyDescent="0.3">
      <c r="A114" s="128"/>
      <c r="B114" s="161"/>
      <c r="C114" s="379"/>
      <c r="E114" s="162" t="s">
        <v>302</v>
      </c>
      <c r="F114" s="162">
        <f>F113*12</f>
        <v>13800</v>
      </c>
      <c r="G114" s="162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3"/>
    </row>
    <row r="115" spans="1:23" s="164" customFormat="1" ht="20.25" customHeight="1" x14ac:dyDescent="0.3">
      <c r="A115" s="128"/>
      <c r="B115" s="161" t="s">
        <v>586</v>
      </c>
      <c r="C115" s="379"/>
      <c r="E115" s="162"/>
      <c r="F115" s="162"/>
      <c r="G115" s="162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3"/>
    </row>
    <row r="116" spans="1:23" s="164" customFormat="1" ht="19.5" customHeight="1" x14ac:dyDescent="0.3">
      <c r="A116" s="128"/>
      <c r="B116" s="161"/>
      <c r="C116" s="379"/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3"/>
    </row>
    <row r="117" spans="1:23" s="164" customFormat="1" ht="11.25" customHeight="1" x14ac:dyDescent="0.3">
      <c r="A117" s="128"/>
      <c r="B117" s="161" t="s">
        <v>581</v>
      </c>
      <c r="C117" s="379"/>
      <c r="E117" s="162"/>
      <c r="F117" s="162"/>
      <c r="G117" s="162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3"/>
    </row>
    <row r="118" spans="1:23" s="164" customFormat="1" ht="11.25" customHeight="1" x14ac:dyDescent="0.3">
      <c r="A118" s="128"/>
      <c r="B118" s="161"/>
      <c r="C118" s="379"/>
      <c r="E118" s="162"/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3"/>
    </row>
    <row r="119" spans="1:23" s="164" customFormat="1" ht="19.5" customHeight="1" x14ac:dyDescent="0.3">
      <c r="A119" s="128"/>
      <c r="B119" s="392" t="s">
        <v>582</v>
      </c>
      <c r="C119" s="356"/>
      <c r="D119" s="393">
        <v>5500</v>
      </c>
      <c r="E119" s="394"/>
      <c r="F119" s="395">
        <f>5500</f>
        <v>5500</v>
      </c>
      <c r="G119" s="395">
        <f>F119*12</f>
        <v>66000</v>
      </c>
      <c r="H119" s="395"/>
      <c r="I119" s="395"/>
      <c r="J119" s="395"/>
      <c r="K119" s="395">
        <f>G119*0.075</f>
        <v>4950</v>
      </c>
      <c r="L119" s="395">
        <f>G119*0.0775</f>
        <v>5115</v>
      </c>
      <c r="M119" s="394"/>
      <c r="N119" s="394">
        <f>G119*0.001</f>
        <v>66</v>
      </c>
      <c r="O119" s="394"/>
      <c r="P119" s="394"/>
      <c r="Q119" s="394"/>
      <c r="R119" s="394"/>
      <c r="S119" s="162"/>
      <c r="T119" s="162"/>
      <c r="U119" s="162"/>
      <c r="V119" s="163"/>
    </row>
    <row r="120" spans="1:23" s="164" customFormat="1" ht="19.5" customHeight="1" x14ac:dyDescent="0.3">
      <c r="A120" s="128"/>
      <c r="B120" s="392" t="s">
        <v>583</v>
      </c>
      <c r="C120" s="356"/>
      <c r="D120" s="393">
        <v>500</v>
      </c>
      <c r="E120" s="394"/>
      <c r="F120" s="395">
        <v>500</v>
      </c>
      <c r="G120" s="395">
        <f>F120*1</f>
        <v>500</v>
      </c>
      <c r="H120" s="395"/>
      <c r="I120" s="395"/>
      <c r="J120" s="395"/>
      <c r="K120" s="395">
        <f>G120*0.075</f>
        <v>37.5</v>
      </c>
      <c r="L120" s="395">
        <f>G120*0.0775</f>
        <v>38.75</v>
      </c>
      <c r="M120" s="394"/>
      <c r="N120" s="394">
        <f>G120*0.001</f>
        <v>0.5</v>
      </c>
      <c r="O120" s="394"/>
      <c r="P120" s="394"/>
      <c r="Q120" s="394"/>
      <c r="R120" s="394"/>
      <c r="S120" s="162"/>
      <c r="T120" s="162"/>
      <c r="U120" s="162"/>
      <c r="V120" s="163"/>
    </row>
    <row r="121" spans="1:23" s="164" customFormat="1" ht="32.25" customHeight="1" x14ac:dyDescent="0.3">
      <c r="A121" s="128"/>
      <c r="B121" s="161" t="s">
        <v>584</v>
      </c>
      <c r="C121" s="379"/>
      <c r="D121" s="162">
        <f>D119+D120</f>
        <v>6000</v>
      </c>
      <c r="E121" s="162"/>
      <c r="F121" s="162">
        <f>F119+F120</f>
        <v>6000</v>
      </c>
      <c r="G121" s="162">
        <f>G119+G120</f>
        <v>66500</v>
      </c>
      <c r="H121" s="162">
        <f t="shared" ref="H121:J121" si="48">H119+H120</f>
        <v>0</v>
      </c>
      <c r="I121" s="162">
        <f t="shared" si="48"/>
        <v>0</v>
      </c>
      <c r="J121" s="162">
        <f t="shared" si="48"/>
        <v>0</v>
      </c>
      <c r="K121" s="162">
        <f>K119+K120</f>
        <v>4987.5</v>
      </c>
      <c r="L121" s="162">
        <f>L119+L120</f>
        <v>5153.75</v>
      </c>
      <c r="M121" s="162">
        <f>M119+M120</f>
        <v>0</v>
      </c>
      <c r="N121" s="162">
        <f>N119+N120</f>
        <v>66.5</v>
      </c>
      <c r="O121" s="162">
        <f t="shared" ref="O121" si="49">O119+O120</f>
        <v>0</v>
      </c>
      <c r="P121" s="162">
        <f t="shared" ref="P121" si="50">P119+P120</f>
        <v>0</v>
      </c>
      <c r="Q121" s="162">
        <f t="shared" ref="Q121" si="51">Q119+Q120</f>
        <v>0</v>
      </c>
      <c r="R121" s="162">
        <f t="shared" ref="R121" si="52">R119+R120</f>
        <v>0</v>
      </c>
      <c r="S121" s="162"/>
      <c r="T121" s="162"/>
      <c r="U121" s="162"/>
      <c r="V121" s="163"/>
    </row>
    <row r="122" spans="1:23" s="164" customFormat="1" ht="32.25" customHeight="1" x14ac:dyDescent="0.3">
      <c r="A122" s="128"/>
      <c r="B122" s="161" t="s">
        <v>585</v>
      </c>
      <c r="C122" s="379"/>
      <c r="D122" s="162"/>
      <c r="E122" s="162"/>
      <c r="F122" s="162"/>
      <c r="G122" s="162"/>
      <c r="H122" s="162"/>
      <c r="I122" s="162"/>
      <c r="J122" s="162"/>
      <c r="K122" s="170">
        <f>((K52+K71+K97+K103+K113)*12)+K121</f>
        <v>36362.517</v>
      </c>
      <c r="L122" s="170">
        <f>((L52+L71+L97+L103+L113)*12)+L121</f>
        <v>37030.550900000002</v>
      </c>
      <c r="M122" s="162"/>
      <c r="N122" s="170">
        <f>((N52+N71+N97+N103+N113)*12)+N121</f>
        <v>4249.8356000000003</v>
      </c>
      <c r="O122" s="162"/>
      <c r="P122" s="162"/>
      <c r="Q122" s="162"/>
      <c r="R122" s="162"/>
      <c r="S122" s="162"/>
      <c r="T122" s="162"/>
      <c r="U122" s="162"/>
      <c r="V122" s="163"/>
    </row>
    <row r="123" spans="1:23" s="164" customFormat="1" ht="32.25" customHeight="1" x14ac:dyDescent="0.3">
      <c r="A123" s="128"/>
      <c r="B123" s="161"/>
      <c r="C123" s="379"/>
      <c r="D123" s="162"/>
      <c r="E123" s="162"/>
      <c r="F123" s="162"/>
      <c r="G123" s="162"/>
      <c r="H123" s="162"/>
      <c r="I123" s="162"/>
      <c r="J123" s="162"/>
      <c r="K123" s="162"/>
      <c r="L123" s="162"/>
      <c r="M123" s="162"/>
      <c r="N123" s="162"/>
      <c r="O123" s="162"/>
      <c r="P123" s="162"/>
      <c r="Q123" s="162"/>
      <c r="R123" s="162"/>
      <c r="S123" s="162"/>
      <c r="T123" s="162"/>
      <c r="U123" s="162"/>
      <c r="V123" s="163"/>
    </row>
    <row r="124" spans="1:23" s="164" customFormat="1" ht="32.25" customHeight="1" x14ac:dyDescent="0.3">
      <c r="A124" s="128"/>
      <c r="B124" s="161"/>
      <c r="C124" s="379"/>
      <c r="D124" s="162"/>
      <c r="E124" s="162"/>
      <c r="F124" s="162"/>
      <c r="G124" s="162"/>
      <c r="H124" s="162"/>
      <c r="I124" s="162" t="s">
        <v>303</v>
      </c>
      <c r="J124" s="162">
        <f>J103+J97+J71+J52</f>
        <v>36136.129999999997</v>
      </c>
      <c r="K124" s="162"/>
      <c r="L124" s="162"/>
      <c r="M124" s="162"/>
      <c r="N124" s="162"/>
      <c r="O124" s="162"/>
      <c r="P124" s="162"/>
      <c r="Q124" s="162"/>
      <c r="R124" s="162"/>
      <c r="S124" s="162"/>
      <c r="T124" s="162"/>
      <c r="U124" s="162"/>
      <c r="V124" s="163"/>
    </row>
    <row r="125" spans="1:23" ht="39.75" x14ac:dyDescent="0.3">
      <c r="A125" s="167"/>
      <c r="B125" s="168"/>
      <c r="C125" s="381" t="s">
        <v>434</v>
      </c>
      <c r="D125" s="170">
        <f>SUM(D59:D105)</f>
        <v>19550.159999999996</v>
      </c>
      <c r="E125" s="170">
        <f>SUM(E59:E105)</f>
        <v>146</v>
      </c>
      <c r="F125" s="170"/>
      <c r="G125" s="170"/>
      <c r="H125" s="170"/>
      <c r="I125" s="170"/>
      <c r="J125" s="170">
        <f>J113+J103+J97+J71+J52</f>
        <v>36136.129999999997</v>
      </c>
      <c r="K125" s="170">
        <f>K103+K97+K71+K52</f>
        <v>2614.58475</v>
      </c>
      <c r="L125" s="170">
        <f>L113+L103+L97+L71+L52</f>
        <v>2656.400075</v>
      </c>
      <c r="M125" s="170">
        <f>M113+M103+M97+M71+M52</f>
        <v>84.000000000000014</v>
      </c>
      <c r="N125" s="170">
        <f>N113+N103+N97+N71+N52+N121</f>
        <v>415.11130000000003</v>
      </c>
      <c r="O125" s="170">
        <f t="shared" ref="O125:W125" si="53">O113+O103+O97+O71+O52</f>
        <v>4092.0071250000001</v>
      </c>
      <c r="P125" s="170">
        <f t="shared" si="53"/>
        <v>49104.085500000001</v>
      </c>
      <c r="Q125" s="170">
        <f t="shared" si="53"/>
        <v>353370.76549999998</v>
      </c>
      <c r="R125" s="170">
        <f t="shared" si="53"/>
        <v>0</v>
      </c>
      <c r="S125" s="170">
        <f t="shared" si="53"/>
        <v>0</v>
      </c>
      <c r="T125" s="170">
        <f t="shared" si="53"/>
        <v>0</v>
      </c>
      <c r="U125" s="170">
        <f t="shared" si="53"/>
        <v>0</v>
      </c>
      <c r="V125" s="170">
        <f t="shared" si="53"/>
        <v>0</v>
      </c>
      <c r="W125" s="170">
        <f t="shared" si="53"/>
        <v>0</v>
      </c>
    </row>
    <row r="126" spans="1:23" x14ac:dyDescent="0.3">
      <c r="A126" s="169"/>
      <c r="B126" s="169"/>
      <c r="C126" s="381"/>
      <c r="D126" s="170"/>
      <c r="E126" s="170"/>
      <c r="F126" s="170"/>
      <c r="G126" s="170"/>
      <c r="H126" s="170"/>
      <c r="I126" s="170"/>
      <c r="J126" s="170"/>
      <c r="K126" s="170">
        <f>(K125*12)+K121</f>
        <v>36362.517</v>
      </c>
      <c r="L126" s="170"/>
      <c r="M126" s="170"/>
      <c r="N126" s="170"/>
      <c r="O126" s="170"/>
      <c r="P126" s="170"/>
      <c r="Q126" s="170"/>
    </row>
    <row r="127" spans="1:23" x14ac:dyDescent="0.3">
      <c r="A127" s="169"/>
      <c r="B127" s="169"/>
      <c r="C127" s="381"/>
      <c r="D127" s="170"/>
      <c r="E127" s="170"/>
      <c r="F127" s="170"/>
      <c r="G127" s="170"/>
      <c r="H127" s="170"/>
      <c r="I127" s="170"/>
      <c r="J127" s="170"/>
      <c r="K127" s="170"/>
      <c r="L127" s="170"/>
      <c r="M127" s="170"/>
      <c r="N127" s="170"/>
      <c r="O127" s="170"/>
      <c r="P127" s="170"/>
      <c r="Q127" s="170"/>
    </row>
    <row r="128" spans="1:23" ht="27" x14ac:dyDescent="0.3">
      <c r="A128" s="169"/>
      <c r="C128" s="381" t="s">
        <v>435</v>
      </c>
      <c r="D128" s="170"/>
      <c r="E128" s="170"/>
      <c r="F128" s="170"/>
      <c r="G128" s="170">
        <f>G52</f>
        <v>309846.68</v>
      </c>
      <c r="H128" s="170"/>
      <c r="I128" s="170"/>
      <c r="J128" s="170">
        <f>G128/12</f>
        <v>25820.556666666667</v>
      </c>
      <c r="K128" s="170">
        <f>J128*9</f>
        <v>232385.01</v>
      </c>
      <c r="L128" s="170"/>
      <c r="M128" s="170"/>
      <c r="N128" s="170"/>
      <c r="O128" s="170"/>
      <c r="P128" s="170"/>
      <c r="Q128" s="170"/>
    </row>
    <row r="129" spans="1:18" x14ac:dyDescent="0.3">
      <c r="A129" s="169"/>
      <c r="C129" s="381" t="s">
        <v>436</v>
      </c>
      <c r="D129" s="170"/>
      <c r="E129" s="170"/>
      <c r="F129" s="170"/>
      <c r="G129" s="170">
        <f>((K113+K103+K97+K71+K52)*12)+K121</f>
        <v>36362.517</v>
      </c>
      <c r="H129" s="170"/>
      <c r="I129" s="170"/>
      <c r="K129" s="170"/>
      <c r="L129" s="170"/>
      <c r="M129" s="170"/>
      <c r="N129" s="170"/>
      <c r="O129" s="170"/>
      <c r="P129" s="170"/>
      <c r="Q129" s="170"/>
    </row>
    <row r="130" spans="1:18" ht="22.5" customHeight="1" x14ac:dyDescent="0.3">
      <c r="A130" s="169"/>
      <c r="C130" s="381" t="s">
        <v>437</v>
      </c>
      <c r="D130" s="170"/>
      <c r="E130" s="170"/>
      <c r="F130" s="170"/>
      <c r="G130" s="170">
        <f>((L113+L103+L97+L71+L52)*12)+L121</f>
        <v>37030.550900000002</v>
      </c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</row>
    <row r="131" spans="1:18" x14ac:dyDescent="0.3">
      <c r="A131" s="169"/>
      <c r="C131" s="381" t="s">
        <v>438</v>
      </c>
      <c r="D131" s="170"/>
      <c r="E131" s="170"/>
      <c r="F131" s="170"/>
      <c r="G131" s="170">
        <f>M52*12</f>
        <v>1008.0000000000002</v>
      </c>
      <c r="H131" s="170" t="s">
        <v>588</v>
      </c>
      <c r="I131" s="170"/>
      <c r="J131" s="170"/>
      <c r="K131" s="170"/>
      <c r="L131" s="170"/>
      <c r="M131" s="170"/>
      <c r="N131" s="170"/>
      <c r="O131" s="170"/>
      <c r="P131" s="170"/>
      <c r="Q131" s="170"/>
    </row>
    <row r="132" spans="1:18" x14ac:dyDescent="0.3">
      <c r="A132" s="169"/>
      <c r="B132" s="169"/>
      <c r="C132" s="381" t="s">
        <v>439</v>
      </c>
      <c r="D132" s="170"/>
      <c r="E132" s="170"/>
      <c r="F132" s="170"/>
      <c r="G132" s="170">
        <f>((N113+N103+N97+N71+N52)*12)+N121</f>
        <v>4249.8356000000003</v>
      </c>
      <c r="H132" s="170"/>
      <c r="I132" s="170"/>
      <c r="J132" s="170"/>
      <c r="K132" s="170"/>
      <c r="L132" s="170"/>
      <c r="M132" s="170"/>
      <c r="N132" s="170"/>
      <c r="O132" s="170"/>
      <c r="P132" s="170"/>
      <c r="Q132" s="170"/>
    </row>
    <row r="133" spans="1:18" x14ac:dyDescent="0.3">
      <c r="A133" s="169"/>
      <c r="B133" s="169"/>
      <c r="C133" s="381"/>
      <c r="D133" s="170"/>
      <c r="E133" s="170"/>
      <c r="F133" s="170"/>
      <c r="G133" s="170"/>
      <c r="H133" s="170"/>
      <c r="I133" s="170"/>
      <c r="J133" s="170"/>
      <c r="K133" s="170"/>
      <c r="L133" s="170"/>
      <c r="M133" s="170"/>
      <c r="N133" s="170"/>
      <c r="O133" s="170"/>
      <c r="P133" s="170"/>
      <c r="Q133" s="170"/>
    </row>
    <row r="134" spans="1:18" ht="27" x14ac:dyDescent="0.3">
      <c r="A134" s="169"/>
      <c r="B134" s="169"/>
      <c r="C134" s="381" t="s">
        <v>440</v>
      </c>
      <c r="D134" s="170"/>
      <c r="E134" s="170"/>
      <c r="F134" s="170"/>
      <c r="G134" s="170">
        <f>(K113+K103+K97+K71)*12</f>
        <v>9209.0159999999996</v>
      </c>
      <c r="H134" s="170"/>
      <c r="I134" s="170"/>
      <c r="J134" s="170"/>
      <c r="K134" s="170"/>
      <c r="L134" s="170"/>
      <c r="M134" s="170"/>
      <c r="N134" s="170"/>
      <c r="O134" s="170"/>
      <c r="P134" s="170"/>
      <c r="Q134" s="170"/>
    </row>
    <row r="135" spans="1:18" x14ac:dyDescent="0.3">
      <c r="A135" s="169"/>
      <c r="B135" s="169"/>
      <c r="C135" s="381" t="s">
        <v>441</v>
      </c>
      <c r="D135" s="170"/>
      <c r="E135" s="170"/>
      <c r="F135" s="170"/>
      <c r="G135" s="170">
        <f>(L113+L103+L97+L71)*12</f>
        <v>8902.1831999999995</v>
      </c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</row>
    <row r="136" spans="1:18" ht="27" x14ac:dyDescent="0.3">
      <c r="A136" s="169"/>
      <c r="B136" s="169"/>
      <c r="C136" s="381" t="s">
        <v>442</v>
      </c>
      <c r="D136" s="170"/>
      <c r="E136" s="170"/>
      <c r="F136" s="170"/>
      <c r="G136" s="170">
        <v>11878.8</v>
      </c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</row>
    <row r="137" spans="1:18" x14ac:dyDescent="0.3">
      <c r="A137" s="169"/>
      <c r="B137" s="169"/>
      <c r="C137" s="381"/>
      <c r="D137" s="170"/>
      <c r="E137" s="170"/>
      <c r="F137" s="170"/>
      <c r="G137" s="170"/>
      <c r="H137" s="170"/>
      <c r="I137" s="170"/>
      <c r="J137" s="170"/>
      <c r="K137" s="170"/>
      <c r="L137" s="170"/>
      <c r="M137" s="170"/>
      <c r="N137" s="170"/>
      <c r="O137" s="170"/>
      <c r="P137" s="170"/>
      <c r="Q137" s="170"/>
    </row>
    <row r="138" spans="1:18" x14ac:dyDescent="0.3">
      <c r="A138" s="169"/>
      <c r="B138" s="169"/>
      <c r="C138" s="381"/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</row>
    <row r="139" spans="1:18" x14ac:dyDescent="0.3">
      <c r="A139" s="169"/>
      <c r="B139" s="169"/>
      <c r="C139" s="381"/>
      <c r="D139" s="170"/>
      <c r="E139" s="170"/>
      <c r="F139" s="170"/>
      <c r="G139" s="170"/>
      <c r="H139" s="170"/>
      <c r="I139" s="170"/>
      <c r="J139" s="170"/>
      <c r="K139" s="170"/>
      <c r="L139" s="170"/>
      <c r="M139" s="170"/>
      <c r="N139" s="170"/>
      <c r="O139" s="170"/>
      <c r="P139" s="170"/>
      <c r="Q139" s="170"/>
    </row>
    <row r="140" spans="1:18" x14ac:dyDescent="0.3">
      <c r="A140" s="169"/>
      <c r="B140" s="169"/>
      <c r="C140" s="381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0"/>
      <c r="O140" s="170"/>
      <c r="P140" s="170"/>
      <c r="Q140" s="170"/>
    </row>
    <row r="141" spans="1:18" s="95" customFormat="1" x14ac:dyDescent="0.3">
      <c r="A141" s="132"/>
      <c r="B141" s="171"/>
      <c r="C141" s="382"/>
      <c r="D141" s="145"/>
      <c r="E141" s="145"/>
      <c r="F141" s="145"/>
      <c r="G141" s="145"/>
      <c r="H141" s="145"/>
      <c r="I141" s="145"/>
      <c r="J141" s="145"/>
      <c r="K141" s="145"/>
      <c r="L141" s="145"/>
      <c r="M141" s="145"/>
      <c r="N141" s="145"/>
      <c r="O141" s="145"/>
      <c r="P141" s="145"/>
      <c r="Q141" s="145"/>
      <c r="R141" s="119"/>
    </row>
    <row r="142" spans="1:18" s="95" customFormat="1" x14ac:dyDescent="0.3">
      <c r="A142" s="172"/>
      <c r="B142" s="173" t="s">
        <v>444</v>
      </c>
      <c r="C142" s="379" t="s">
        <v>445</v>
      </c>
      <c r="D142" s="145" t="s">
        <v>446</v>
      </c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19"/>
    </row>
    <row r="143" spans="1:18" s="95" customFormat="1" x14ac:dyDescent="0.3">
      <c r="A143" s="132"/>
      <c r="B143" s="171" t="s">
        <v>447</v>
      </c>
      <c r="C143" s="383">
        <f>G143</f>
        <v>5118.72</v>
      </c>
      <c r="D143" s="174">
        <v>4</v>
      </c>
      <c r="E143" s="174">
        <v>96</v>
      </c>
      <c r="F143" s="145">
        <v>13.33</v>
      </c>
      <c r="G143" s="145">
        <f t="shared" ref="G143:G148" si="54">D143*E143*F143</f>
        <v>5118.72</v>
      </c>
      <c r="H143" s="145"/>
      <c r="I143" s="145"/>
      <c r="J143" s="145"/>
      <c r="K143" s="145"/>
      <c r="L143" s="145"/>
      <c r="M143" s="145"/>
      <c r="N143" s="145"/>
      <c r="O143" s="145"/>
      <c r="P143" s="145"/>
      <c r="Q143" s="145"/>
      <c r="R143" s="119"/>
    </row>
    <row r="144" spans="1:18" s="95" customFormat="1" x14ac:dyDescent="0.3">
      <c r="A144" s="132">
        <v>2</v>
      </c>
      <c r="B144" s="171" t="s">
        <v>448</v>
      </c>
      <c r="C144" s="383">
        <f>G144</f>
        <v>559.86</v>
      </c>
      <c r="D144" s="174">
        <v>6</v>
      </c>
      <c r="E144" s="174">
        <v>7</v>
      </c>
      <c r="F144" s="145">
        <v>13.33</v>
      </c>
      <c r="G144" s="130">
        <f t="shared" si="54"/>
        <v>559.86</v>
      </c>
      <c r="H144" s="130"/>
      <c r="I144" s="130"/>
      <c r="J144" s="145"/>
      <c r="K144" s="145"/>
      <c r="L144" s="145"/>
      <c r="M144" s="145"/>
      <c r="N144" s="145"/>
      <c r="O144" s="145"/>
      <c r="P144" s="145"/>
      <c r="Q144" s="145"/>
      <c r="R144" s="119"/>
    </row>
    <row r="145" spans="1:18" s="95" customFormat="1" x14ac:dyDescent="0.3">
      <c r="A145" s="132"/>
      <c r="B145" s="171" t="s">
        <v>449</v>
      </c>
      <c r="C145" s="383">
        <f>G145</f>
        <v>746.48</v>
      </c>
      <c r="D145" s="174">
        <v>8</v>
      </c>
      <c r="E145" s="174">
        <v>7</v>
      </c>
      <c r="F145" s="145">
        <v>13.33</v>
      </c>
      <c r="G145" s="130">
        <f t="shared" si="54"/>
        <v>746.48</v>
      </c>
      <c r="H145" s="130"/>
      <c r="I145" s="130"/>
      <c r="J145" s="145"/>
      <c r="K145" s="145"/>
      <c r="L145" s="145"/>
      <c r="M145" s="145"/>
      <c r="N145" s="145"/>
      <c r="O145" s="145"/>
      <c r="P145" s="145"/>
      <c r="Q145" s="145"/>
      <c r="R145" s="119"/>
    </row>
    <row r="146" spans="1:18" s="95" customFormat="1" ht="33" x14ac:dyDescent="0.3">
      <c r="A146" s="132"/>
      <c r="B146" s="171" t="s">
        <v>450</v>
      </c>
      <c r="C146" s="383">
        <f>G146</f>
        <v>1466.3</v>
      </c>
      <c r="D146" s="174">
        <v>10</v>
      </c>
      <c r="E146" s="174">
        <v>11</v>
      </c>
      <c r="F146" s="145">
        <v>13.33</v>
      </c>
      <c r="G146" s="130">
        <f t="shared" si="54"/>
        <v>1466.3</v>
      </c>
      <c r="H146" s="130"/>
      <c r="I146" s="130"/>
      <c r="J146" s="145"/>
      <c r="K146" s="145"/>
      <c r="L146" s="145"/>
      <c r="M146" s="145"/>
      <c r="N146" s="145"/>
      <c r="O146" s="145"/>
      <c r="P146" s="145"/>
      <c r="Q146" s="145"/>
      <c r="R146" s="119"/>
    </row>
    <row r="147" spans="1:18" s="95" customFormat="1" ht="14.25" customHeight="1" x14ac:dyDescent="0.3">
      <c r="A147" s="132"/>
      <c r="B147" s="171" t="s">
        <v>451</v>
      </c>
      <c r="C147" s="384">
        <v>1279.68</v>
      </c>
      <c r="D147" s="174">
        <v>4</v>
      </c>
      <c r="E147" s="174">
        <v>24</v>
      </c>
      <c r="F147" s="145">
        <v>13.33</v>
      </c>
      <c r="G147" s="130">
        <f t="shared" si="54"/>
        <v>1279.68</v>
      </c>
      <c r="H147" s="130"/>
      <c r="I147" s="130"/>
      <c r="J147" s="145"/>
      <c r="K147" s="145"/>
      <c r="L147" s="145"/>
      <c r="M147" s="145"/>
      <c r="N147" s="145"/>
      <c r="O147" s="145"/>
      <c r="P147" s="145"/>
      <c r="Q147" s="145"/>
      <c r="R147" s="119"/>
    </row>
    <row r="148" spans="1:18" s="95" customFormat="1" x14ac:dyDescent="0.3">
      <c r="A148" s="132"/>
      <c r="B148" s="171" t="s">
        <v>452</v>
      </c>
      <c r="C148" s="383">
        <f>G148</f>
        <v>1439.64</v>
      </c>
      <c r="D148" s="174">
        <v>1</v>
      </c>
      <c r="E148" s="174">
        <v>108</v>
      </c>
      <c r="F148" s="145">
        <v>13.33</v>
      </c>
      <c r="G148" s="130">
        <f t="shared" si="54"/>
        <v>1439.64</v>
      </c>
      <c r="H148" s="130"/>
      <c r="I148" s="130"/>
      <c r="J148" s="145"/>
      <c r="K148" s="145"/>
      <c r="L148" s="145"/>
      <c r="M148" s="145"/>
      <c r="N148" s="145"/>
      <c r="O148" s="145"/>
      <c r="P148" s="145"/>
      <c r="Q148" s="145"/>
      <c r="R148" s="119"/>
    </row>
    <row r="149" spans="1:18" s="95" customFormat="1" ht="33" x14ac:dyDescent="0.3">
      <c r="A149" s="175"/>
      <c r="B149" s="176" t="s">
        <v>453</v>
      </c>
      <c r="C149" s="385">
        <f>G149*12</f>
        <v>4800</v>
      </c>
      <c r="D149" s="177"/>
      <c r="E149" s="174"/>
      <c r="F149" s="145"/>
      <c r="G149" s="130">
        <v>400</v>
      </c>
      <c r="H149" s="130"/>
      <c r="I149" s="130"/>
      <c r="J149" s="145"/>
      <c r="K149" s="145"/>
      <c r="L149" s="145"/>
      <c r="M149" s="145"/>
      <c r="N149" s="145"/>
      <c r="O149" s="145"/>
      <c r="P149" s="145"/>
      <c r="Q149" s="145"/>
      <c r="R149" s="119"/>
    </row>
    <row r="150" spans="1:18" s="95" customFormat="1" ht="33" x14ac:dyDescent="0.3">
      <c r="A150" s="132"/>
      <c r="B150" s="171" t="s">
        <v>454</v>
      </c>
      <c r="C150" s="383">
        <f>350*12</f>
        <v>4200</v>
      </c>
      <c r="D150" s="145"/>
      <c r="E150" s="174"/>
      <c r="F150" s="145"/>
      <c r="G150" s="130"/>
      <c r="H150" s="130"/>
      <c r="I150" s="130"/>
      <c r="J150" s="145"/>
      <c r="K150" s="145"/>
      <c r="L150" s="145"/>
      <c r="M150" s="145"/>
      <c r="N150" s="145"/>
      <c r="O150" s="145"/>
      <c r="P150" s="145"/>
      <c r="Q150" s="145"/>
      <c r="R150" s="119"/>
    </row>
    <row r="151" spans="1:18" s="95" customFormat="1" x14ac:dyDescent="0.3">
      <c r="A151" s="132">
        <v>4</v>
      </c>
      <c r="B151" s="171" t="s">
        <v>455</v>
      </c>
      <c r="C151" s="383">
        <f>4*15*166.67</f>
        <v>10000.199999999999</v>
      </c>
      <c r="D151" s="145" t="s">
        <v>456</v>
      </c>
      <c r="E151" s="174"/>
      <c r="F151" s="145"/>
      <c r="G151" s="130"/>
      <c r="H151" s="130"/>
      <c r="I151" s="130"/>
      <c r="J151" s="145"/>
      <c r="K151" s="145"/>
      <c r="L151" s="145"/>
      <c r="M151" s="145"/>
      <c r="N151" s="145"/>
      <c r="O151" s="145"/>
      <c r="P151" s="145"/>
      <c r="Q151" s="145"/>
      <c r="R151" s="119"/>
    </row>
    <row r="152" spans="1:18" s="95" customFormat="1" x14ac:dyDescent="0.3">
      <c r="A152" s="132"/>
      <c r="B152" s="173" t="s">
        <v>2</v>
      </c>
      <c r="C152" s="386">
        <f>SUM(C143:C151)</f>
        <v>29610.879999999997</v>
      </c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19"/>
    </row>
    <row r="153" spans="1:18" s="95" customFormat="1" x14ac:dyDescent="0.3">
      <c r="A153" s="132"/>
      <c r="B153" s="171"/>
      <c r="C153" s="382"/>
      <c r="D153" s="145"/>
      <c r="E153" s="145"/>
      <c r="F153" s="145"/>
      <c r="G153" s="145"/>
      <c r="H153" s="145"/>
      <c r="I153" s="145"/>
      <c r="J153" s="145"/>
      <c r="K153" s="145"/>
      <c r="L153" s="145"/>
      <c r="M153" s="145"/>
      <c r="N153" s="145"/>
      <c r="O153" s="145"/>
      <c r="P153" s="145"/>
      <c r="Q153" s="145"/>
      <c r="R153" s="119"/>
    </row>
    <row r="154" spans="1:18" ht="24.75" customHeight="1" x14ac:dyDescent="0.3">
      <c r="A154" s="577" t="s">
        <v>457</v>
      </c>
      <c r="B154" s="577"/>
      <c r="C154" s="577"/>
      <c r="D154" s="577"/>
      <c r="E154" s="577"/>
      <c r="F154" s="577"/>
      <c r="G154" s="577"/>
      <c r="H154" s="264"/>
      <c r="I154" s="264"/>
      <c r="J154" s="165"/>
      <c r="K154" s="178"/>
    </row>
    <row r="155" spans="1:18" ht="60" customHeight="1" x14ac:dyDescent="0.3">
      <c r="A155" s="577" t="s">
        <v>458</v>
      </c>
      <c r="B155" s="577"/>
      <c r="C155" s="577"/>
      <c r="D155" s="577"/>
      <c r="E155" s="577"/>
      <c r="F155" s="577"/>
      <c r="G155" s="577"/>
      <c r="H155" s="577"/>
      <c r="I155" s="577"/>
      <c r="J155" s="577"/>
      <c r="K155" s="577"/>
    </row>
    <row r="156" spans="1:18" ht="60" customHeight="1" x14ac:dyDescent="0.3">
      <c r="A156" s="577" t="s">
        <v>459</v>
      </c>
      <c r="B156" s="577"/>
      <c r="C156" s="577"/>
      <c r="D156" s="577"/>
      <c r="E156" s="577"/>
      <c r="F156" s="577"/>
      <c r="G156" s="577"/>
      <c r="H156" s="264"/>
      <c r="I156" s="264"/>
      <c r="J156" s="165"/>
      <c r="K156" s="179" t="e">
        <f>#REF!+K125+K52</f>
        <v>#REF!</v>
      </c>
      <c r="L156" s="179" t="e">
        <f>#REF!+L125+L52</f>
        <v>#REF!</v>
      </c>
      <c r="M156" s="179" t="e">
        <f>#REF!+M125+M52</f>
        <v>#REF!</v>
      </c>
      <c r="N156" s="179" t="e">
        <f>#REF!+N125+N52</f>
        <v>#REF!</v>
      </c>
      <c r="O156" s="179" t="e">
        <f>#REF!+O125+O52</f>
        <v>#REF!</v>
      </c>
      <c r="P156" s="179" t="e">
        <f>#REF!+P125+P52</f>
        <v>#REF!</v>
      </c>
      <c r="Q156" s="179" t="e">
        <f>#REF!+Q125+Q52</f>
        <v>#REF!</v>
      </c>
    </row>
    <row r="157" spans="1:18" ht="60" customHeight="1" x14ac:dyDescent="0.3">
      <c r="A157" s="577" t="s">
        <v>460</v>
      </c>
      <c r="B157" s="577"/>
      <c r="C157" s="577"/>
      <c r="D157" s="577"/>
      <c r="E157" s="577"/>
      <c r="F157" s="577"/>
      <c r="G157" s="577"/>
      <c r="H157" s="264"/>
      <c r="I157" s="264"/>
      <c r="J157" s="165"/>
      <c r="K157" s="178" t="e">
        <f>K156*12</f>
        <v>#REF!</v>
      </c>
      <c r="L157" s="178" t="e">
        <f>L156*12</f>
        <v>#REF!</v>
      </c>
      <c r="M157" s="178" t="e">
        <f>M156*12</f>
        <v>#REF!</v>
      </c>
      <c r="N157" s="178" t="e">
        <f>N156*12</f>
        <v>#REF!</v>
      </c>
      <c r="O157" s="178" t="e">
        <f>O156*12</f>
        <v>#REF!</v>
      </c>
    </row>
    <row r="158" spans="1:18" ht="60" customHeight="1" x14ac:dyDescent="0.3">
      <c r="A158" s="577" t="s">
        <v>461</v>
      </c>
      <c r="B158" s="577"/>
      <c r="C158" s="577"/>
      <c r="D158" s="577"/>
      <c r="E158" s="577"/>
      <c r="F158" s="577"/>
      <c r="G158" s="577"/>
      <c r="H158" s="264"/>
      <c r="I158" s="264"/>
      <c r="J158" s="165"/>
      <c r="K158" s="178"/>
    </row>
    <row r="159" spans="1:18" ht="60" customHeight="1" x14ac:dyDescent="0.3">
      <c r="A159" s="577" t="s">
        <v>462</v>
      </c>
      <c r="B159" s="577"/>
      <c r="C159" s="577"/>
      <c r="D159" s="577"/>
      <c r="E159" s="577"/>
      <c r="F159" s="577"/>
      <c r="G159" s="577"/>
      <c r="H159" s="264"/>
      <c r="I159" s="264"/>
      <c r="J159" s="165"/>
      <c r="K159" s="178"/>
    </row>
    <row r="160" spans="1:18" ht="60" customHeight="1" x14ac:dyDescent="0.3">
      <c r="A160" s="577" t="s">
        <v>463</v>
      </c>
      <c r="B160" s="577"/>
      <c r="C160" s="577"/>
      <c r="D160" s="577"/>
      <c r="E160" s="577"/>
      <c r="F160" s="577"/>
      <c r="G160" s="577"/>
      <c r="H160" s="264"/>
      <c r="I160" s="264"/>
      <c r="J160" s="165"/>
      <c r="K160" s="178"/>
      <c r="O160" s="166" t="e">
        <f>O157+[1]FODES!N56</f>
        <v>#REF!</v>
      </c>
    </row>
    <row r="161" spans="1:11" ht="60" customHeight="1" x14ac:dyDescent="0.3">
      <c r="A161" s="577" t="s">
        <v>464</v>
      </c>
      <c r="B161" s="577"/>
      <c r="C161" s="577"/>
      <c r="D161" s="577"/>
      <c r="E161" s="178"/>
      <c r="F161" s="178"/>
      <c r="G161" s="178"/>
      <c r="H161" s="178"/>
      <c r="I161" s="178"/>
      <c r="J161" s="178"/>
      <c r="K161" s="178"/>
    </row>
    <row r="162" spans="1:11" ht="60" customHeight="1" x14ac:dyDescent="0.3">
      <c r="A162" s="577" t="s">
        <v>465</v>
      </c>
      <c r="B162" s="577"/>
      <c r="C162" s="577"/>
      <c r="D162" s="577"/>
      <c r="E162" s="577"/>
      <c r="F162" s="577"/>
      <c r="G162" s="577"/>
      <c r="H162" s="264"/>
      <c r="I162" s="264"/>
      <c r="J162" s="165"/>
      <c r="K162" s="178"/>
    </row>
    <row r="163" spans="1:11" ht="36" customHeight="1" x14ac:dyDescent="0.3">
      <c r="A163" s="577" t="s">
        <v>466</v>
      </c>
      <c r="B163" s="577"/>
      <c r="C163" s="577"/>
      <c r="D163" s="577"/>
      <c r="E163" s="577"/>
      <c r="F163" s="577"/>
      <c r="G163" s="577"/>
      <c r="H163" s="264"/>
      <c r="I163" s="264"/>
      <c r="J163" s="165"/>
    </row>
    <row r="165" spans="1:11" ht="31.5" customHeight="1" x14ac:dyDescent="0.3"/>
  </sheetData>
  <sheetProtection password="C872" sheet="1" objects="1" scenarios="1" selectLockedCells="1" selectUnlockedCells="1"/>
  <mergeCells count="20">
    <mergeCell ref="A154:G154"/>
    <mergeCell ref="A1:R1"/>
    <mergeCell ref="A52:C52"/>
    <mergeCell ref="A57:R57"/>
    <mergeCell ref="A71:C71"/>
    <mergeCell ref="A58:F58"/>
    <mergeCell ref="B78:F78"/>
    <mergeCell ref="B97:C97"/>
    <mergeCell ref="D107:E107"/>
    <mergeCell ref="B103:E103"/>
    <mergeCell ref="D104:E104"/>
    <mergeCell ref="A161:D161"/>
    <mergeCell ref="A162:G162"/>
    <mergeCell ref="A163:G163"/>
    <mergeCell ref="A155:K155"/>
    <mergeCell ref="A156:G156"/>
    <mergeCell ref="A157:G157"/>
    <mergeCell ref="A158:G158"/>
    <mergeCell ref="A159:G159"/>
    <mergeCell ref="A160:G160"/>
  </mergeCells>
  <pageMargins left="0.7" right="0.7" top="0.75" bottom="0.75" header="0.3" footer="0.3"/>
  <pageSetup orientation="portrait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42"/>
  <sheetViews>
    <sheetView zoomScale="200" zoomScaleNormal="200" workbookViewId="0">
      <selection activeCell="A51" sqref="A51"/>
    </sheetView>
  </sheetViews>
  <sheetFormatPr baseColWidth="10" defaultRowHeight="15" x14ac:dyDescent="0.25"/>
  <cols>
    <col min="1" max="1" width="45.42578125" customWidth="1"/>
    <col min="2" max="2" width="18" customWidth="1"/>
    <col min="3" max="3" width="14.28515625" style="252" customWidth="1"/>
    <col min="4" max="4" width="12" style="252" customWidth="1"/>
    <col min="6" max="6" width="14.85546875" bestFit="1" customWidth="1"/>
  </cols>
  <sheetData>
    <row r="1" spans="1:4" ht="18.75" x14ac:dyDescent="0.3">
      <c r="A1" s="262" t="s">
        <v>554</v>
      </c>
      <c r="B1" s="262" t="s">
        <v>553</v>
      </c>
      <c r="C1" s="261" t="s">
        <v>552</v>
      </c>
    </row>
    <row r="2" spans="1:4" x14ac:dyDescent="0.25">
      <c r="A2" s="254" t="s">
        <v>551</v>
      </c>
      <c r="B2" s="254"/>
      <c r="C2" s="256"/>
      <c r="D2" s="259">
        <f>SUM(C3:C6)</f>
        <v>70000</v>
      </c>
    </row>
    <row r="3" spans="1:4" ht="26.25" x14ac:dyDescent="0.25">
      <c r="A3" s="258" t="s">
        <v>550</v>
      </c>
      <c r="B3" s="258" t="s">
        <v>513</v>
      </c>
      <c r="C3" s="257">
        <v>30000</v>
      </c>
      <c r="D3" s="256"/>
    </row>
    <row r="4" spans="1:4" x14ac:dyDescent="0.25">
      <c r="A4" s="258" t="s">
        <v>549</v>
      </c>
      <c r="B4" s="258" t="s">
        <v>548</v>
      </c>
      <c r="C4" s="257">
        <v>10000</v>
      </c>
      <c r="D4" s="256"/>
    </row>
    <row r="5" spans="1:4" ht="13.5" customHeight="1" x14ac:dyDescent="0.25">
      <c r="A5" s="258" t="s">
        <v>547</v>
      </c>
      <c r="B5" s="258" t="s">
        <v>513</v>
      </c>
      <c r="C5" s="257">
        <v>20000</v>
      </c>
      <c r="D5" s="256"/>
    </row>
    <row r="6" spans="1:4" x14ac:dyDescent="0.25">
      <c r="A6" s="258" t="s">
        <v>546</v>
      </c>
      <c r="B6" s="258" t="s">
        <v>509</v>
      </c>
      <c r="C6" s="257">
        <v>10000</v>
      </c>
      <c r="D6" s="256"/>
    </row>
    <row r="7" spans="1:4" x14ac:dyDescent="0.25">
      <c r="A7" s="254" t="s">
        <v>545</v>
      </c>
      <c r="B7" s="254"/>
      <c r="C7" s="256"/>
      <c r="D7" s="253">
        <f>SUM(C8:C12)</f>
        <v>150000</v>
      </c>
    </row>
    <row r="8" spans="1:4" ht="15.75" customHeight="1" x14ac:dyDescent="0.25">
      <c r="A8" s="258" t="s">
        <v>544</v>
      </c>
      <c r="B8" s="258" t="s">
        <v>513</v>
      </c>
      <c r="C8" s="257">
        <v>35000</v>
      </c>
      <c r="D8" s="256"/>
    </row>
    <row r="9" spans="1:4" ht="26.25" customHeight="1" x14ac:dyDescent="0.25">
      <c r="A9" s="258" t="s">
        <v>543</v>
      </c>
      <c r="B9" s="258" t="s">
        <v>511</v>
      </c>
      <c r="C9" s="257">
        <v>65000</v>
      </c>
      <c r="D9" s="256"/>
    </row>
    <row r="10" spans="1:4" ht="18.75" customHeight="1" x14ac:dyDescent="0.25">
      <c r="A10" s="258" t="s">
        <v>542</v>
      </c>
      <c r="B10" s="258" t="s">
        <v>511</v>
      </c>
      <c r="C10" s="257">
        <v>15000</v>
      </c>
      <c r="D10" s="256"/>
    </row>
    <row r="11" spans="1:4" ht="28.5" customHeight="1" x14ac:dyDescent="0.25">
      <c r="A11" s="258" t="s">
        <v>541</v>
      </c>
      <c r="B11" s="258" t="s">
        <v>509</v>
      </c>
      <c r="C11" s="257">
        <v>20000</v>
      </c>
      <c r="D11" s="256"/>
    </row>
    <row r="12" spans="1:4" ht="26.25" x14ac:dyDescent="0.25">
      <c r="A12" s="258" t="s">
        <v>540</v>
      </c>
      <c r="B12" s="258" t="s">
        <v>509</v>
      </c>
      <c r="C12" s="257">
        <v>15000</v>
      </c>
      <c r="D12" s="256"/>
    </row>
    <row r="13" spans="1:4" x14ac:dyDescent="0.25">
      <c r="A13" s="254" t="s">
        <v>539</v>
      </c>
      <c r="B13" s="254"/>
      <c r="C13" s="256"/>
      <c r="D13" s="257">
        <f>SUM(C14:C17)</f>
        <v>70000</v>
      </c>
    </row>
    <row r="14" spans="1:4" ht="15.75" customHeight="1" x14ac:dyDescent="0.25">
      <c r="A14" s="258" t="s">
        <v>538</v>
      </c>
      <c r="B14" s="258" t="s">
        <v>513</v>
      </c>
      <c r="C14" s="257">
        <v>30000</v>
      </c>
      <c r="D14" s="256"/>
    </row>
    <row r="15" spans="1:4" x14ac:dyDescent="0.25">
      <c r="A15" s="258" t="s">
        <v>537</v>
      </c>
      <c r="B15" s="258" t="s">
        <v>509</v>
      </c>
      <c r="C15" s="257">
        <v>20000</v>
      </c>
      <c r="D15" s="256"/>
    </row>
    <row r="16" spans="1:4" x14ac:dyDescent="0.25">
      <c r="A16" s="258" t="s">
        <v>536</v>
      </c>
      <c r="B16" s="258" t="s">
        <v>511</v>
      </c>
      <c r="C16" s="257">
        <v>15000</v>
      </c>
      <c r="D16" s="256"/>
    </row>
    <row r="17" spans="1:4" ht="26.25" x14ac:dyDescent="0.25">
      <c r="A17" s="258" t="s">
        <v>535</v>
      </c>
      <c r="B17" s="258" t="s">
        <v>516</v>
      </c>
      <c r="C17" s="257">
        <v>5000</v>
      </c>
      <c r="D17" s="256"/>
    </row>
    <row r="18" spans="1:4" x14ac:dyDescent="0.25">
      <c r="A18" s="254" t="s">
        <v>534</v>
      </c>
      <c r="B18" s="254"/>
      <c r="C18" s="256"/>
      <c r="D18" s="257">
        <f>SUM(C19:C20)</f>
        <v>50000</v>
      </c>
    </row>
    <row r="19" spans="1:4" ht="26.25" x14ac:dyDescent="0.25">
      <c r="A19" s="258" t="s">
        <v>533</v>
      </c>
      <c r="B19" s="258" t="s">
        <v>509</v>
      </c>
      <c r="C19" s="257">
        <v>30000</v>
      </c>
      <c r="D19" s="256"/>
    </row>
    <row r="20" spans="1:4" ht="15.75" customHeight="1" x14ac:dyDescent="0.25">
      <c r="A20" s="258" t="s">
        <v>532</v>
      </c>
      <c r="B20" s="258" t="s">
        <v>509</v>
      </c>
      <c r="C20" s="257">
        <v>20000</v>
      </c>
      <c r="D20" s="256"/>
    </row>
    <row r="21" spans="1:4" x14ac:dyDescent="0.25">
      <c r="A21" s="254" t="s">
        <v>531</v>
      </c>
      <c r="B21" s="254"/>
      <c r="C21" s="256"/>
      <c r="D21" s="257">
        <f>SUM(C22:C25)</f>
        <v>91000</v>
      </c>
    </row>
    <row r="22" spans="1:4" ht="30" customHeight="1" x14ac:dyDescent="0.25">
      <c r="A22" s="258" t="s">
        <v>530</v>
      </c>
      <c r="B22" s="258" t="s">
        <v>509</v>
      </c>
      <c r="C22" s="257">
        <v>46000</v>
      </c>
      <c r="D22" s="256"/>
    </row>
    <row r="23" spans="1:4" x14ac:dyDescent="0.25">
      <c r="A23" s="258" t="s">
        <v>529</v>
      </c>
      <c r="B23" s="258" t="s">
        <v>511</v>
      </c>
      <c r="C23" s="257">
        <v>10000</v>
      </c>
      <c r="D23" s="256"/>
    </row>
    <row r="24" spans="1:4" ht="17.25" customHeight="1" x14ac:dyDescent="0.25">
      <c r="A24" s="258" t="s">
        <v>528</v>
      </c>
      <c r="B24" s="258" t="s">
        <v>509</v>
      </c>
      <c r="C24" s="257">
        <v>25000</v>
      </c>
      <c r="D24" s="256"/>
    </row>
    <row r="25" spans="1:4" x14ac:dyDescent="0.25">
      <c r="A25" s="258" t="s">
        <v>527</v>
      </c>
      <c r="B25" s="258" t="s">
        <v>511</v>
      </c>
      <c r="C25" s="257">
        <v>10000</v>
      </c>
      <c r="D25" s="256"/>
    </row>
    <row r="26" spans="1:4" x14ac:dyDescent="0.25">
      <c r="A26" s="254" t="s">
        <v>526</v>
      </c>
      <c r="B26" s="254"/>
      <c r="C26" s="256"/>
      <c r="D26" s="257">
        <f>SUM(C27:C29)</f>
        <v>115000</v>
      </c>
    </row>
    <row r="27" spans="1:4" x14ac:dyDescent="0.25">
      <c r="A27" s="258" t="s">
        <v>525</v>
      </c>
      <c r="B27" s="258"/>
      <c r="C27" s="257">
        <v>55000</v>
      </c>
      <c r="D27" s="256"/>
    </row>
    <row r="28" spans="1:4" ht="30" customHeight="1" x14ac:dyDescent="0.25">
      <c r="A28" s="258" t="s">
        <v>524</v>
      </c>
      <c r="B28" s="258" t="s">
        <v>509</v>
      </c>
      <c r="C28" s="257">
        <v>20000</v>
      </c>
      <c r="D28" s="256"/>
    </row>
    <row r="29" spans="1:4" ht="26.25" x14ac:dyDescent="0.25">
      <c r="A29" s="258" t="s">
        <v>523</v>
      </c>
      <c r="B29" s="258" t="s">
        <v>509</v>
      </c>
      <c r="C29" s="257">
        <v>40000</v>
      </c>
      <c r="D29" s="256"/>
    </row>
    <row r="30" spans="1:4" x14ac:dyDescent="0.25">
      <c r="A30" s="254" t="s">
        <v>522</v>
      </c>
      <c r="B30" s="254"/>
      <c r="C30" s="256"/>
      <c r="D30" s="259">
        <f>SUM(C31:C32)</f>
        <v>65000</v>
      </c>
    </row>
    <row r="31" spans="1:4" ht="18" customHeight="1" x14ac:dyDescent="0.25">
      <c r="A31" s="258" t="s">
        <v>521</v>
      </c>
      <c r="B31" s="258" t="s">
        <v>509</v>
      </c>
      <c r="C31" s="257">
        <v>40000</v>
      </c>
      <c r="D31" s="256"/>
    </row>
    <row r="32" spans="1:4" ht="30" customHeight="1" x14ac:dyDescent="0.25">
      <c r="A32" s="258" t="s">
        <v>520</v>
      </c>
      <c r="B32" s="258" t="s">
        <v>509</v>
      </c>
      <c r="C32" s="257">
        <v>25000</v>
      </c>
      <c r="D32" s="256"/>
    </row>
    <row r="33" spans="1:6" x14ac:dyDescent="0.25">
      <c r="A33" s="254" t="s">
        <v>519</v>
      </c>
      <c r="B33" s="254"/>
      <c r="C33" s="256"/>
      <c r="D33" s="259">
        <f>SUM(C34:C35)</f>
        <v>40000</v>
      </c>
    </row>
    <row r="34" spans="1:6" ht="15" customHeight="1" x14ac:dyDescent="0.25">
      <c r="A34" s="258" t="s">
        <v>518</v>
      </c>
      <c r="B34" s="258" t="s">
        <v>509</v>
      </c>
      <c r="C34" s="257">
        <v>30000</v>
      </c>
      <c r="D34" s="256"/>
    </row>
    <row r="35" spans="1:6" ht="26.25" x14ac:dyDescent="0.25">
      <c r="A35" s="258" t="s">
        <v>517</v>
      </c>
      <c r="B35" s="258" t="s">
        <v>516</v>
      </c>
      <c r="C35" s="257">
        <v>10000</v>
      </c>
      <c r="D35" s="256"/>
    </row>
    <row r="36" spans="1:6" x14ac:dyDescent="0.25">
      <c r="A36" s="254" t="s">
        <v>515</v>
      </c>
      <c r="B36" s="260"/>
      <c r="C36" s="257"/>
      <c r="D36" s="259">
        <f>SUM(C37:C41)</f>
        <v>155000</v>
      </c>
    </row>
    <row r="37" spans="1:6" ht="26.25" x14ac:dyDescent="0.25">
      <c r="A37" s="258" t="s">
        <v>514</v>
      </c>
      <c r="B37" s="258" t="s">
        <v>513</v>
      </c>
      <c r="C37" s="257">
        <v>30000</v>
      </c>
      <c r="D37" s="256"/>
    </row>
    <row r="38" spans="1:6" x14ac:dyDescent="0.25">
      <c r="A38" s="258" t="s">
        <v>512</v>
      </c>
      <c r="B38" s="258" t="s">
        <v>511</v>
      </c>
      <c r="C38" s="257">
        <v>35000</v>
      </c>
      <c r="D38" s="256"/>
    </row>
    <row r="39" spans="1:6" x14ac:dyDescent="0.25">
      <c r="A39" s="258" t="s">
        <v>510</v>
      </c>
      <c r="B39" s="258" t="s">
        <v>509</v>
      </c>
      <c r="C39" s="257">
        <v>40000</v>
      </c>
      <c r="D39" s="256"/>
    </row>
    <row r="40" spans="1:6" x14ac:dyDescent="0.25">
      <c r="A40" s="258" t="s">
        <v>508</v>
      </c>
      <c r="B40" s="258" t="s">
        <v>506</v>
      </c>
      <c r="C40" s="257">
        <v>30000</v>
      </c>
      <c r="D40" s="256"/>
    </row>
    <row r="41" spans="1:6" x14ac:dyDescent="0.25">
      <c r="A41" s="258" t="s">
        <v>507</v>
      </c>
      <c r="B41" s="258" t="s">
        <v>506</v>
      </c>
      <c r="C41" s="257">
        <v>20000</v>
      </c>
      <c r="D41" s="256"/>
    </row>
    <row r="42" spans="1:6" x14ac:dyDescent="0.25">
      <c r="A42" s="255" t="s">
        <v>24</v>
      </c>
      <c r="B42" s="254"/>
      <c r="C42" s="253">
        <f>SUM(C2:C41)</f>
        <v>806000</v>
      </c>
      <c r="D42" s="253">
        <f>SUM(D2:D41)</f>
        <v>806000</v>
      </c>
      <c r="F42" s="64"/>
    </row>
  </sheetData>
  <sheetProtection password="C872" sheet="1" objects="1" scenarios="1" selectLockedCells="1" selectUnlockedCells="1"/>
  <autoFilter ref="A1:F42" xr:uid="{00000000-0009-0000-0000-000006000000}"/>
  <pageMargins left="0.7" right="0.7" top="0.75" bottom="0.75" header="0.3" footer="0.3"/>
  <pageSetup paperSize="9" scale="94" orientation="portrait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Ingresos</vt:lpstr>
      <vt:lpstr>Proyeccion FP 2019</vt:lpstr>
      <vt:lpstr>FODES25%</vt:lpstr>
      <vt:lpstr>Fondos Propios</vt:lpstr>
      <vt:lpstr>FODES 75%</vt:lpstr>
      <vt:lpstr>Sueldo Jornal (2)</vt:lpstr>
      <vt:lpstr>Inversion</vt:lpstr>
      <vt:lpstr>Inversion!Área_de_impresión</vt:lpstr>
      <vt:lpstr>'FODES25%'!Títulos_a_imprimir</vt:lpstr>
      <vt:lpstr>'Fondos Propios'!Títulos_a_imprimir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Fredis Herrera</cp:lastModifiedBy>
  <cp:lastPrinted>2020-01-10T20:57:56Z</cp:lastPrinted>
  <dcterms:created xsi:type="dcterms:W3CDTF">2018-11-20T14:07:24Z</dcterms:created>
  <dcterms:modified xsi:type="dcterms:W3CDTF">2020-08-13T14:42:59Z</dcterms:modified>
</cp:coreProperties>
</file>